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hidePivotFieldList="1"/>
  <xr:revisionPtr revIDLastSave="896" documentId="13_ncr:1_{E084CE9B-523E-4065-AE93-DEA845FFE3F2}" xr6:coauthVersionLast="47" xr6:coauthVersionMax="47" xr10:uidLastSave="{636AAA7B-185E-41D9-AB15-75D9BC755E47}"/>
  <bookViews>
    <workbookView xWindow="28680" yWindow="-120" windowWidth="29040" windowHeight="15840" tabRatio="881" activeTab="4" xr2:uid="{00000000-000D-0000-FFFF-FFFF00000000}"/>
  </bookViews>
  <sheets>
    <sheet name="Istoric" sheetId="1" r:id="rId1"/>
    <sheet name="Barem" sheetId="3" r:id="rId2"/>
    <sheet name="Regulament S16" sheetId="7" r:id="rId3"/>
    <sheet name="5 ani SYR" sheetId="24" state="hidden" r:id="rId4"/>
    <sheet name="Participanti" sheetId="5" r:id="rId5"/>
    <sheet name="Data" sheetId="4" r:id="rId6"/>
    <sheet name="#ligaSYR" sheetId="8" r:id="rId7"/>
    <sheet name="Open M" sheetId="13" r:id="rId8"/>
    <sheet name="Open F" sheetId="12" r:id="rId9"/>
    <sheet name="Prezente" sheetId="33" r:id="rId10"/>
    <sheet name="Debutanti" sheetId="25" r:id="rId11"/>
    <sheet name="Cataratorii" sheetId="22" r:id="rId12"/>
    <sheet name="Vitezistii" sheetId="20" r:id="rId13"/>
    <sheet name="Povestitorii" sheetId="31" r:id="rId14"/>
    <sheet name="Echipe" sheetId="19" r:id="rId15"/>
    <sheet name="Data_Echipe" sheetId="26" r:id="rId16"/>
    <sheet name="de alocat" sheetId="32" state="hidden" r:id="rId17"/>
    <sheet name="Premiu_ASC" sheetId="27" state="hidden" r:id="rId18"/>
  </sheets>
  <definedNames>
    <definedName name="_xlnm._FilterDatabase" localSheetId="6" hidden="1">'#ligaSYR'!$A$1:$AG$119</definedName>
    <definedName name="_xlnm._FilterDatabase" localSheetId="1" hidden="1">Barem!$L$1:$P$16</definedName>
    <definedName name="_xlnm._FilterDatabase" localSheetId="11" hidden="1">Cataratorii!$A$1:$U$60</definedName>
    <definedName name="_xlnm._FilterDatabase" localSheetId="5" hidden="1">Data!$A$1:$Z$1270</definedName>
    <definedName name="_xlnm._FilterDatabase" localSheetId="10" hidden="1">Debutanti!$A$1:$T$16</definedName>
    <definedName name="_xlnm._FilterDatabase" localSheetId="14" hidden="1">Echipe!$A$3:$R$8</definedName>
    <definedName name="_xlnm._FilterDatabase" localSheetId="8" hidden="1">'Open F'!$A$1:$T$37</definedName>
    <definedName name="_xlnm._FilterDatabase" localSheetId="7" hidden="1">'Open M'!$A$1:$T$83</definedName>
    <definedName name="_xlnm._FilterDatabase" localSheetId="4" hidden="1">Participanti!$A$1:$D$1</definedName>
    <definedName name="_xlnm._FilterDatabase" localSheetId="13" hidden="1">Povestitorii!$A$1:$R$98</definedName>
    <definedName name="_xlnm._FilterDatabase" localSheetId="12" hidden="1">Vitezistii!$A$1:$T$96</definedName>
  </definedNames>
  <calcPr calcId="191029"/>
  <pivotCaches>
    <pivotCache cacheId="44" r:id="rId19"/>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3" i="20" l="1"/>
  <c r="T4" i="20"/>
  <c r="T5" i="20"/>
  <c r="T6" i="20"/>
  <c r="T7" i="20"/>
  <c r="T8" i="20"/>
  <c r="T9" i="20"/>
  <c r="T10" i="20"/>
  <c r="T11" i="20"/>
  <c r="T12" i="20"/>
  <c r="T13" i="20"/>
  <c r="T14" i="20"/>
  <c r="T15" i="20"/>
  <c r="T16" i="20"/>
  <c r="T17" i="20"/>
  <c r="T18" i="20"/>
  <c r="T19" i="20"/>
  <c r="T20" i="20"/>
  <c r="T21" i="20"/>
  <c r="T22" i="20"/>
  <c r="T23" i="20"/>
  <c r="T24" i="20"/>
  <c r="T25" i="20"/>
  <c r="T26" i="20"/>
  <c r="T27" i="20"/>
  <c r="T28" i="20"/>
  <c r="T29" i="20"/>
  <c r="T30" i="20"/>
  <c r="T31" i="20"/>
  <c r="T32" i="20"/>
  <c r="T33" i="20"/>
  <c r="T34" i="20"/>
  <c r="T35" i="20"/>
  <c r="T36" i="20"/>
  <c r="T37" i="20"/>
  <c r="T38" i="20"/>
  <c r="T39" i="20"/>
  <c r="T40" i="20"/>
  <c r="T41" i="20"/>
  <c r="T42" i="20"/>
  <c r="T43" i="20"/>
  <c r="T44" i="20"/>
  <c r="T45" i="20"/>
  <c r="T46" i="20"/>
  <c r="T47" i="20"/>
  <c r="T48" i="20"/>
  <c r="T49" i="20"/>
  <c r="T50" i="20"/>
  <c r="T51" i="20"/>
  <c r="T52" i="20"/>
  <c r="T53" i="20"/>
  <c r="T54" i="20"/>
  <c r="T55" i="20"/>
  <c r="T56" i="20"/>
  <c r="T57" i="20"/>
  <c r="T58" i="20"/>
  <c r="T59" i="20"/>
  <c r="T60" i="20"/>
  <c r="T61" i="20"/>
  <c r="T62" i="20"/>
  <c r="T63" i="20"/>
  <c r="T64" i="20"/>
  <c r="T65" i="20"/>
  <c r="T66" i="20"/>
  <c r="T67" i="20"/>
  <c r="T68" i="20"/>
  <c r="T69" i="20"/>
  <c r="T70" i="20"/>
  <c r="T71" i="20"/>
  <c r="T72" i="20"/>
  <c r="T73" i="20"/>
  <c r="T74" i="20"/>
  <c r="T75" i="20"/>
  <c r="T76" i="20"/>
  <c r="T77" i="20"/>
  <c r="T78" i="20"/>
  <c r="T79" i="20"/>
  <c r="T80" i="20"/>
  <c r="T81" i="20"/>
  <c r="T82" i="20"/>
  <c r="T83" i="20"/>
  <c r="T84" i="20"/>
  <c r="T85" i="20"/>
  <c r="T86" i="20"/>
  <c r="T87" i="20"/>
  <c r="T88" i="20"/>
  <c r="T89" i="20"/>
  <c r="T90" i="20"/>
  <c r="T91" i="20"/>
  <c r="T92" i="20"/>
  <c r="T93" i="20"/>
  <c r="T94" i="20"/>
  <c r="T95" i="20"/>
  <c r="T96" i="20"/>
  <c r="T97" i="20"/>
  <c r="T98" i="20"/>
  <c r="T99" i="20"/>
  <c r="T100" i="20"/>
  <c r="T101" i="20"/>
  <c r="T102" i="20"/>
  <c r="T103" i="20"/>
  <c r="T104" i="20"/>
  <c r="T105" i="20"/>
  <c r="T106" i="20"/>
  <c r="T107" i="20"/>
  <c r="T108" i="20"/>
  <c r="T109" i="20"/>
  <c r="T110" i="20"/>
  <c r="T111" i="20"/>
  <c r="T112" i="20"/>
  <c r="T113" i="20"/>
  <c r="T114" i="20"/>
  <c r="T115" i="20"/>
  <c r="T116" i="20"/>
  <c r="T117" i="20"/>
  <c r="T118" i="20"/>
  <c r="S3" i="20"/>
  <c r="S4" i="20"/>
  <c r="S5" i="20"/>
  <c r="S6" i="20"/>
  <c r="S7" i="20"/>
  <c r="S8" i="20"/>
  <c r="S9" i="20"/>
  <c r="S10" i="20"/>
  <c r="S11" i="20"/>
  <c r="S12" i="20"/>
  <c r="S13" i="20"/>
  <c r="S14" i="20"/>
  <c r="S15" i="20"/>
  <c r="S16" i="20"/>
  <c r="S17" i="20"/>
  <c r="S18" i="20"/>
  <c r="S19" i="20"/>
  <c r="S20" i="20"/>
  <c r="S21" i="20"/>
  <c r="S22" i="20"/>
  <c r="S23" i="20"/>
  <c r="S24" i="20"/>
  <c r="S25" i="20"/>
  <c r="S26" i="20"/>
  <c r="S27" i="20"/>
  <c r="S28" i="20"/>
  <c r="S29" i="20"/>
  <c r="S30" i="20"/>
  <c r="S31" i="20"/>
  <c r="S32" i="20"/>
  <c r="S33" i="20"/>
  <c r="S34" i="20"/>
  <c r="S35" i="20"/>
  <c r="S36" i="20"/>
  <c r="S37" i="20"/>
  <c r="S38" i="20"/>
  <c r="S39" i="20"/>
  <c r="S40" i="20"/>
  <c r="S41" i="20"/>
  <c r="S42" i="20"/>
  <c r="S43" i="20"/>
  <c r="S44" i="20"/>
  <c r="S45" i="20"/>
  <c r="S46" i="20"/>
  <c r="S47" i="20"/>
  <c r="S48" i="20"/>
  <c r="S49" i="20"/>
  <c r="S50" i="20"/>
  <c r="S51" i="20"/>
  <c r="S52" i="20"/>
  <c r="S53" i="20"/>
  <c r="S54" i="20"/>
  <c r="S55" i="20"/>
  <c r="S56" i="20"/>
  <c r="S57" i="20"/>
  <c r="S58" i="20"/>
  <c r="S59" i="20"/>
  <c r="S60" i="20"/>
  <c r="S61" i="20"/>
  <c r="S62" i="20"/>
  <c r="S63" i="20"/>
  <c r="S64" i="20"/>
  <c r="S65" i="20"/>
  <c r="S66" i="20"/>
  <c r="S67" i="20"/>
  <c r="S68" i="20"/>
  <c r="S69" i="20"/>
  <c r="S70" i="20"/>
  <c r="S71" i="20"/>
  <c r="S72" i="20"/>
  <c r="S73" i="20"/>
  <c r="S74" i="20"/>
  <c r="S75" i="20"/>
  <c r="S76" i="20"/>
  <c r="S77" i="20"/>
  <c r="S78" i="20"/>
  <c r="S79" i="20"/>
  <c r="S80" i="20"/>
  <c r="S81" i="20"/>
  <c r="S82" i="20"/>
  <c r="S83" i="20"/>
  <c r="S84" i="20"/>
  <c r="S85" i="20"/>
  <c r="S86" i="20"/>
  <c r="S87" i="20"/>
  <c r="S88" i="20"/>
  <c r="S89" i="20"/>
  <c r="S90" i="20"/>
  <c r="S91" i="20"/>
  <c r="S92" i="20"/>
  <c r="S93" i="20"/>
  <c r="S94" i="20"/>
  <c r="S95" i="20"/>
  <c r="S96" i="20"/>
  <c r="S97" i="20"/>
  <c r="S98" i="20"/>
  <c r="S99" i="20"/>
  <c r="S100" i="20"/>
  <c r="S101" i="20"/>
  <c r="S102" i="20"/>
  <c r="S103" i="20"/>
  <c r="S104" i="20"/>
  <c r="S105" i="20"/>
  <c r="S106" i="20"/>
  <c r="S107" i="20"/>
  <c r="S108" i="20"/>
  <c r="S109" i="20"/>
  <c r="S110" i="20"/>
  <c r="S111" i="20"/>
  <c r="S112" i="20"/>
  <c r="S113" i="20"/>
  <c r="S114" i="20"/>
  <c r="S115" i="20"/>
  <c r="S116" i="20"/>
  <c r="S117" i="20"/>
  <c r="S118" i="20"/>
  <c r="C3" i="20"/>
  <c r="D3" i="20"/>
  <c r="E3" i="20"/>
  <c r="F3" i="20"/>
  <c r="G3" i="20"/>
  <c r="H3" i="20"/>
  <c r="I3" i="20"/>
  <c r="J3" i="20"/>
  <c r="K3" i="20"/>
  <c r="L3" i="20"/>
  <c r="M3" i="20"/>
  <c r="N3" i="20"/>
  <c r="O3" i="20"/>
  <c r="P3" i="20"/>
  <c r="Q3" i="20"/>
  <c r="C4" i="20"/>
  <c r="D4" i="20"/>
  <c r="E4" i="20"/>
  <c r="F4" i="20"/>
  <c r="G4" i="20"/>
  <c r="H4" i="20"/>
  <c r="I4" i="20"/>
  <c r="J4" i="20"/>
  <c r="K4" i="20"/>
  <c r="L4" i="20"/>
  <c r="M4" i="20"/>
  <c r="N4" i="20"/>
  <c r="O4" i="20"/>
  <c r="P4" i="20"/>
  <c r="Q4" i="20"/>
  <c r="C5" i="20"/>
  <c r="D5" i="20"/>
  <c r="E5" i="20"/>
  <c r="F5" i="20"/>
  <c r="G5" i="20"/>
  <c r="H5" i="20"/>
  <c r="I5" i="20"/>
  <c r="J5" i="20"/>
  <c r="K5" i="20"/>
  <c r="L5" i="20"/>
  <c r="M5" i="20"/>
  <c r="N5" i="20"/>
  <c r="O5" i="20"/>
  <c r="P5" i="20"/>
  <c r="Q5" i="20"/>
  <c r="C6" i="20"/>
  <c r="D6" i="20"/>
  <c r="E6" i="20"/>
  <c r="F6" i="20"/>
  <c r="G6" i="20"/>
  <c r="H6" i="20"/>
  <c r="I6" i="20"/>
  <c r="J6" i="20"/>
  <c r="K6" i="20"/>
  <c r="L6" i="20"/>
  <c r="M6" i="20"/>
  <c r="N6" i="20"/>
  <c r="O6" i="20"/>
  <c r="P6" i="20"/>
  <c r="Q6" i="20"/>
  <c r="C7" i="20"/>
  <c r="D7" i="20"/>
  <c r="E7" i="20"/>
  <c r="F7" i="20"/>
  <c r="G7" i="20"/>
  <c r="H7" i="20"/>
  <c r="I7" i="20"/>
  <c r="J7" i="20"/>
  <c r="K7" i="20"/>
  <c r="L7" i="20"/>
  <c r="M7" i="20"/>
  <c r="N7" i="20"/>
  <c r="O7" i="20"/>
  <c r="P7" i="20"/>
  <c r="Q7" i="20"/>
  <c r="C8" i="20"/>
  <c r="D8" i="20"/>
  <c r="E8" i="20"/>
  <c r="F8" i="20"/>
  <c r="G8" i="20"/>
  <c r="H8" i="20"/>
  <c r="I8" i="20"/>
  <c r="J8" i="20"/>
  <c r="K8" i="20"/>
  <c r="L8" i="20"/>
  <c r="M8" i="20"/>
  <c r="N8" i="20"/>
  <c r="O8" i="20"/>
  <c r="P8" i="20"/>
  <c r="Q8" i="20"/>
  <c r="C9" i="20"/>
  <c r="D9" i="20"/>
  <c r="E9" i="20"/>
  <c r="F9" i="20"/>
  <c r="G9" i="20"/>
  <c r="H9" i="20"/>
  <c r="I9" i="20"/>
  <c r="J9" i="20"/>
  <c r="K9" i="20"/>
  <c r="L9" i="20"/>
  <c r="M9" i="20"/>
  <c r="N9" i="20"/>
  <c r="O9" i="20"/>
  <c r="P9" i="20"/>
  <c r="Q9" i="20"/>
  <c r="C10" i="20"/>
  <c r="D10" i="20"/>
  <c r="E10" i="20"/>
  <c r="F10" i="20"/>
  <c r="G10" i="20"/>
  <c r="H10" i="20"/>
  <c r="I10" i="20"/>
  <c r="J10" i="20"/>
  <c r="K10" i="20"/>
  <c r="L10" i="20"/>
  <c r="M10" i="20"/>
  <c r="N10" i="20"/>
  <c r="O10" i="20"/>
  <c r="P10" i="20"/>
  <c r="Q10" i="20"/>
  <c r="C11" i="20"/>
  <c r="D11" i="20"/>
  <c r="E11" i="20"/>
  <c r="F11" i="20"/>
  <c r="G11" i="20"/>
  <c r="H11" i="20"/>
  <c r="I11" i="20"/>
  <c r="J11" i="20"/>
  <c r="K11" i="20"/>
  <c r="L11" i="20"/>
  <c r="M11" i="20"/>
  <c r="N11" i="20"/>
  <c r="O11" i="20"/>
  <c r="P11" i="20"/>
  <c r="Q11" i="20"/>
  <c r="C12" i="20"/>
  <c r="D12" i="20"/>
  <c r="E12" i="20"/>
  <c r="F12" i="20"/>
  <c r="G12" i="20"/>
  <c r="H12" i="20"/>
  <c r="I12" i="20"/>
  <c r="J12" i="20"/>
  <c r="K12" i="20"/>
  <c r="L12" i="20"/>
  <c r="M12" i="20"/>
  <c r="N12" i="20"/>
  <c r="O12" i="20"/>
  <c r="P12" i="20"/>
  <c r="Q12" i="20"/>
  <c r="C13" i="20"/>
  <c r="D13" i="20"/>
  <c r="E13" i="20"/>
  <c r="F13" i="20"/>
  <c r="G13" i="20"/>
  <c r="H13" i="20"/>
  <c r="I13" i="20"/>
  <c r="J13" i="20"/>
  <c r="K13" i="20"/>
  <c r="L13" i="20"/>
  <c r="M13" i="20"/>
  <c r="N13" i="20"/>
  <c r="O13" i="20"/>
  <c r="P13" i="20"/>
  <c r="Q13" i="20"/>
  <c r="C14" i="20"/>
  <c r="D14" i="20"/>
  <c r="E14" i="20"/>
  <c r="F14" i="20"/>
  <c r="G14" i="20"/>
  <c r="H14" i="20"/>
  <c r="I14" i="20"/>
  <c r="J14" i="20"/>
  <c r="K14" i="20"/>
  <c r="L14" i="20"/>
  <c r="M14" i="20"/>
  <c r="N14" i="20"/>
  <c r="O14" i="20"/>
  <c r="P14" i="20"/>
  <c r="Q14" i="20"/>
  <c r="C15" i="20"/>
  <c r="D15" i="20"/>
  <c r="E15" i="20"/>
  <c r="F15" i="20"/>
  <c r="G15" i="20"/>
  <c r="H15" i="20"/>
  <c r="I15" i="20"/>
  <c r="J15" i="20"/>
  <c r="K15" i="20"/>
  <c r="L15" i="20"/>
  <c r="M15" i="20"/>
  <c r="N15" i="20"/>
  <c r="O15" i="20"/>
  <c r="P15" i="20"/>
  <c r="Q15" i="20"/>
  <c r="C16" i="20"/>
  <c r="D16" i="20"/>
  <c r="E16" i="20"/>
  <c r="F16" i="20"/>
  <c r="G16" i="20"/>
  <c r="H16" i="20"/>
  <c r="I16" i="20"/>
  <c r="J16" i="20"/>
  <c r="K16" i="20"/>
  <c r="L16" i="20"/>
  <c r="M16" i="20"/>
  <c r="N16" i="20"/>
  <c r="O16" i="20"/>
  <c r="P16" i="20"/>
  <c r="Q16" i="20"/>
  <c r="C17" i="20"/>
  <c r="D17" i="20"/>
  <c r="E17" i="20"/>
  <c r="F17" i="20"/>
  <c r="G17" i="20"/>
  <c r="H17" i="20"/>
  <c r="I17" i="20"/>
  <c r="J17" i="20"/>
  <c r="K17" i="20"/>
  <c r="L17" i="20"/>
  <c r="M17" i="20"/>
  <c r="N17" i="20"/>
  <c r="O17" i="20"/>
  <c r="P17" i="20"/>
  <c r="Q17" i="20"/>
  <c r="C18" i="20"/>
  <c r="D18" i="20"/>
  <c r="E18" i="20"/>
  <c r="F18" i="20"/>
  <c r="G18" i="20"/>
  <c r="H18" i="20"/>
  <c r="I18" i="20"/>
  <c r="J18" i="20"/>
  <c r="K18" i="20"/>
  <c r="L18" i="20"/>
  <c r="M18" i="20"/>
  <c r="N18" i="20"/>
  <c r="O18" i="20"/>
  <c r="P18" i="20"/>
  <c r="Q18" i="20"/>
  <c r="C19" i="20"/>
  <c r="D19" i="20"/>
  <c r="E19" i="20"/>
  <c r="F19" i="20"/>
  <c r="G19" i="20"/>
  <c r="H19" i="20"/>
  <c r="I19" i="20"/>
  <c r="J19" i="20"/>
  <c r="K19" i="20"/>
  <c r="L19" i="20"/>
  <c r="M19" i="20"/>
  <c r="R19" i="20" s="1"/>
  <c r="N19" i="20"/>
  <c r="O19" i="20"/>
  <c r="P19" i="20"/>
  <c r="Q19" i="20"/>
  <c r="C20" i="20"/>
  <c r="D20" i="20"/>
  <c r="E20" i="20"/>
  <c r="F20" i="20"/>
  <c r="G20" i="20"/>
  <c r="H20" i="20"/>
  <c r="I20" i="20"/>
  <c r="J20" i="20"/>
  <c r="K20" i="20"/>
  <c r="L20" i="20"/>
  <c r="M20" i="20"/>
  <c r="N20" i="20"/>
  <c r="O20" i="20"/>
  <c r="P20" i="20"/>
  <c r="Q20" i="20"/>
  <c r="C21" i="20"/>
  <c r="D21" i="20"/>
  <c r="E21" i="20"/>
  <c r="F21" i="20"/>
  <c r="G21" i="20"/>
  <c r="H21" i="20"/>
  <c r="I21" i="20"/>
  <c r="J21" i="20"/>
  <c r="K21" i="20"/>
  <c r="L21" i="20"/>
  <c r="M21" i="20"/>
  <c r="N21" i="20"/>
  <c r="O21" i="20"/>
  <c r="P21" i="20"/>
  <c r="Q21" i="20"/>
  <c r="C22" i="20"/>
  <c r="D22" i="20"/>
  <c r="R22" i="20" s="1"/>
  <c r="E22" i="20"/>
  <c r="F22" i="20"/>
  <c r="G22" i="20"/>
  <c r="H22" i="20"/>
  <c r="I22" i="20"/>
  <c r="J22" i="20"/>
  <c r="K22" i="20"/>
  <c r="L22" i="20"/>
  <c r="M22" i="20"/>
  <c r="N22" i="20"/>
  <c r="O22" i="20"/>
  <c r="P22" i="20"/>
  <c r="Q22" i="20"/>
  <c r="C23" i="20"/>
  <c r="D23" i="20"/>
  <c r="E23" i="20"/>
  <c r="F23" i="20"/>
  <c r="G23" i="20"/>
  <c r="H23" i="20"/>
  <c r="I23" i="20"/>
  <c r="J23" i="20"/>
  <c r="K23" i="20"/>
  <c r="L23" i="20"/>
  <c r="M23" i="20"/>
  <c r="N23" i="20"/>
  <c r="O23" i="20"/>
  <c r="P23" i="20"/>
  <c r="Q23" i="20"/>
  <c r="C24" i="20"/>
  <c r="D24" i="20"/>
  <c r="E24" i="20"/>
  <c r="F24" i="20"/>
  <c r="G24" i="20"/>
  <c r="H24" i="20"/>
  <c r="I24" i="20"/>
  <c r="J24" i="20"/>
  <c r="K24" i="20"/>
  <c r="L24" i="20"/>
  <c r="M24" i="20"/>
  <c r="N24" i="20"/>
  <c r="O24" i="20"/>
  <c r="P24" i="20"/>
  <c r="Q24" i="20"/>
  <c r="C25" i="20"/>
  <c r="D25" i="20"/>
  <c r="E25" i="20"/>
  <c r="F25" i="20"/>
  <c r="G25" i="20"/>
  <c r="H25" i="20"/>
  <c r="I25" i="20"/>
  <c r="J25" i="20"/>
  <c r="K25" i="20"/>
  <c r="L25" i="20"/>
  <c r="M25" i="20"/>
  <c r="N25" i="20"/>
  <c r="O25" i="20"/>
  <c r="P25" i="20"/>
  <c r="Q25" i="20"/>
  <c r="C26" i="20"/>
  <c r="D26" i="20"/>
  <c r="R26" i="20" s="1"/>
  <c r="E26" i="20"/>
  <c r="F26" i="20"/>
  <c r="G26" i="20"/>
  <c r="H26" i="20"/>
  <c r="I26" i="20"/>
  <c r="J26" i="20"/>
  <c r="K26" i="20"/>
  <c r="L26" i="20"/>
  <c r="M26" i="20"/>
  <c r="N26" i="20"/>
  <c r="O26" i="20"/>
  <c r="P26" i="20"/>
  <c r="Q26" i="20"/>
  <c r="C27" i="20"/>
  <c r="D27" i="20"/>
  <c r="E27" i="20"/>
  <c r="F27" i="20"/>
  <c r="G27" i="20"/>
  <c r="H27" i="20"/>
  <c r="I27" i="20"/>
  <c r="J27" i="20"/>
  <c r="K27" i="20"/>
  <c r="L27" i="20"/>
  <c r="M27" i="20"/>
  <c r="R27" i="20" s="1"/>
  <c r="N27" i="20"/>
  <c r="O27" i="20"/>
  <c r="P27" i="20"/>
  <c r="Q27" i="20"/>
  <c r="C28" i="20"/>
  <c r="D28" i="20"/>
  <c r="E28" i="20"/>
  <c r="F28" i="20"/>
  <c r="G28" i="20"/>
  <c r="H28" i="20"/>
  <c r="I28" i="20"/>
  <c r="J28" i="20"/>
  <c r="R28" i="20" s="1"/>
  <c r="K28" i="20"/>
  <c r="L28" i="20"/>
  <c r="M28" i="20"/>
  <c r="N28" i="20"/>
  <c r="O28" i="20"/>
  <c r="P28" i="20"/>
  <c r="Q28" i="20"/>
  <c r="C29" i="20"/>
  <c r="D29" i="20"/>
  <c r="E29" i="20"/>
  <c r="F29" i="20"/>
  <c r="G29" i="20"/>
  <c r="H29" i="20"/>
  <c r="I29" i="20"/>
  <c r="J29" i="20"/>
  <c r="K29" i="20"/>
  <c r="L29" i="20"/>
  <c r="M29" i="20"/>
  <c r="N29" i="20"/>
  <c r="O29" i="20"/>
  <c r="P29" i="20"/>
  <c r="Q29" i="20"/>
  <c r="C30" i="20"/>
  <c r="D30" i="20"/>
  <c r="R30" i="20" s="1"/>
  <c r="E30" i="20"/>
  <c r="F30" i="20"/>
  <c r="G30" i="20"/>
  <c r="H30" i="20"/>
  <c r="I30" i="20"/>
  <c r="J30" i="20"/>
  <c r="K30" i="20"/>
  <c r="L30" i="20"/>
  <c r="M30" i="20"/>
  <c r="N30" i="20"/>
  <c r="O30" i="20"/>
  <c r="P30" i="20"/>
  <c r="Q30" i="20"/>
  <c r="C31" i="20"/>
  <c r="D31" i="20"/>
  <c r="E31" i="20"/>
  <c r="F31" i="20"/>
  <c r="G31" i="20"/>
  <c r="H31" i="20"/>
  <c r="I31" i="20"/>
  <c r="J31" i="20"/>
  <c r="K31" i="20"/>
  <c r="L31" i="20"/>
  <c r="M31" i="20"/>
  <c r="R31" i="20" s="1"/>
  <c r="N31" i="20"/>
  <c r="O31" i="20"/>
  <c r="P31" i="20"/>
  <c r="Q31" i="20"/>
  <c r="C32" i="20"/>
  <c r="D32" i="20"/>
  <c r="E32" i="20"/>
  <c r="F32" i="20"/>
  <c r="G32" i="20"/>
  <c r="H32" i="20"/>
  <c r="I32" i="20"/>
  <c r="J32" i="20"/>
  <c r="R32" i="20" s="1"/>
  <c r="K32" i="20"/>
  <c r="L32" i="20"/>
  <c r="M32" i="20"/>
  <c r="N32" i="20"/>
  <c r="O32" i="20"/>
  <c r="P32" i="20"/>
  <c r="Q32" i="20"/>
  <c r="C33" i="20"/>
  <c r="D33" i="20"/>
  <c r="E33" i="20"/>
  <c r="F33" i="20"/>
  <c r="G33" i="20"/>
  <c r="H33" i="20"/>
  <c r="I33" i="20"/>
  <c r="J33" i="20"/>
  <c r="K33" i="20"/>
  <c r="L33" i="20"/>
  <c r="M33" i="20"/>
  <c r="N33" i="20"/>
  <c r="O33" i="20"/>
  <c r="P33" i="20"/>
  <c r="Q33" i="20"/>
  <c r="C34" i="20"/>
  <c r="D34" i="20"/>
  <c r="R34" i="20" s="1"/>
  <c r="E34" i="20"/>
  <c r="F34" i="20"/>
  <c r="G34" i="20"/>
  <c r="H34" i="20"/>
  <c r="I34" i="20"/>
  <c r="J34" i="20"/>
  <c r="K34" i="20"/>
  <c r="L34" i="20"/>
  <c r="M34" i="20"/>
  <c r="N34" i="20"/>
  <c r="O34" i="20"/>
  <c r="P34" i="20"/>
  <c r="Q34" i="20"/>
  <c r="C35" i="20"/>
  <c r="D35" i="20"/>
  <c r="E35" i="20"/>
  <c r="F35" i="20"/>
  <c r="G35" i="20"/>
  <c r="H35" i="20"/>
  <c r="I35" i="20"/>
  <c r="J35" i="20"/>
  <c r="K35" i="20"/>
  <c r="L35" i="20"/>
  <c r="M35" i="20"/>
  <c r="R35" i="20" s="1"/>
  <c r="N35" i="20"/>
  <c r="O35" i="20"/>
  <c r="P35" i="20"/>
  <c r="Q35" i="20"/>
  <c r="C36" i="20"/>
  <c r="D36" i="20"/>
  <c r="E36" i="20"/>
  <c r="F36" i="20"/>
  <c r="G36" i="20"/>
  <c r="H36" i="20"/>
  <c r="I36" i="20"/>
  <c r="J36" i="20"/>
  <c r="R36" i="20" s="1"/>
  <c r="K36" i="20"/>
  <c r="L36" i="20"/>
  <c r="M36" i="20"/>
  <c r="N36" i="20"/>
  <c r="O36" i="20"/>
  <c r="P36" i="20"/>
  <c r="Q36" i="20"/>
  <c r="C37" i="20"/>
  <c r="D37" i="20"/>
  <c r="E37" i="20"/>
  <c r="F37" i="20"/>
  <c r="G37" i="20"/>
  <c r="H37" i="20"/>
  <c r="I37" i="20"/>
  <c r="J37" i="20"/>
  <c r="K37" i="20"/>
  <c r="L37" i="20"/>
  <c r="M37" i="20"/>
  <c r="N37" i="20"/>
  <c r="O37" i="20"/>
  <c r="P37" i="20"/>
  <c r="Q37" i="20"/>
  <c r="C38" i="20"/>
  <c r="D38" i="20"/>
  <c r="R38" i="20" s="1"/>
  <c r="E38" i="20"/>
  <c r="F38" i="20"/>
  <c r="G38" i="20"/>
  <c r="H38" i="20"/>
  <c r="I38" i="20"/>
  <c r="J38" i="20"/>
  <c r="K38" i="20"/>
  <c r="L38" i="20"/>
  <c r="M38" i="20"/>
  <c r="N38" i="20"/>
  <c r="O38" i="20"/>
  <c r="P38" i="20"/>
  <c r="Q38" i="20"/>
  <c r="C39" i="20"/>
  <c r="D39" i="20"/>
  <c r="E39" i="20"/>
  <c r="F39" i="20"/>
  <c r="G39" i="20"/>
  <c r="H39" i="20"/>
  <c r="I39" i="20"/>
  <c r="J39" i="20"/>
  <c r="K39" i="20"/>
  <c r="L39" i="20"/>
  <c r="M39" i="20"/>
  <c r="R39" i="20" s="1"/>
  <c r="N39" i="20"/>
  <c r="O39" i="20"/>
  <c r="P39" i="20"/>
  <c r="Q39" i="20"/>
  <c r="C40" i="20"/>
  <c r="D40" i="20"/>
  <c r="E40" i="20"/>
  <c r="F40" i="20"/>
  <c r="G40" i="20"/>
  <c r="H40" i="20"/>
  <c r="I40" i="20"/>
  <c r="J40" i="20"/>
  <c r="K40" i="20"/>
  <c r="L40" i="20"/>
  <c r="M40" i="20"/>
  <c r="N40" i="20"/>
  <c r="O40" i="20"/>
  <c r="P40" i="20"/>
  <c r="Q40" i="20"/>
  <c r="C41" i="20"/>
  <c r="D41" i="20"/>
  <c r="E41" i="20"/>
  <c r="F41" i="20"/>
  <c r="G41" i="20"/>
  <c r="R41" i="20" s="1"/>
  <c r="H41" i="20"/>
  <c r="I41" i="20"/>
  <c r="J41" i="20"/>
  <c r="K41" i="20"/>
  <c r="L41" i="20"/>
  <c r="M41" i="20"/>
  <c r="N41" i="20"/>
  <c r="O41" i="20"/>
  <c r="P41" i="20"/>
  <c r="Q41" i="20"/>
  <c r="C42" i="20"/>
  <c r="D42" i="20"/>
  <c r="R42" i="20" s="1"/>
  <c r="E42" i="20"/>
  <c r="F42" i="20"/>
  <c r="G42" i="20"/>
  <c r="H42" i="20"/>
  <c r="I42" i="20"/>
  <c r="J42" i="20"/>
  <c r="K42" i="20"/>
  <c r="L42" i="20"/>
  <c r="M42" i="20"/>
  <c r="N42" i="20"/>
  <c r="O42" i="20"/>
  <c r="P42" i="20"/>
  <c r="Q42" i="20"/>
  <c r="C43" i="20"/>
  <c r="D43" i="20"/>
  <c r="E43" i="20"/>
  <c r="F43" i="20"/>
  <c r="G43" i="20"/>
  <c r="H43" i="20"/>
  <c r="I43" i="20"/>
  <c r="J43" i="20"/>
  <c r="K43" i="20"/>
  <c r="L43" i="20"/>
  <c r="M43" i="20"/>
  <c r="R43" i="20" s="1"/>
  <c r="N43" i="20"/>
  <c r="O43" i="20"/>
  <c r="P43" i="20"/>
  <c r="Q43" i="20"/>
  <c r="C44" i="20"/>
  <c r="D44" i="20"/>
  <c r="E44" i="20"/>
  <c r="F44" i="20"/>
  <c r="G44" i="20"/>
  <c r="H44" i="20"/>
  <c r="I44" i="20"/>
  <c r="J44" i="20"/>
  <c r="R44" i="20" s="1"/>
  <c r="K44" i="20"/>
  <c r="L44" i="20"/>
  <c r="M44" i="20"/>
  <c r="N44" i="20"/>
  <c r="O44" i="20"/>
  <c r="P44" i="20"/>
  <c r="Q44" i="20"/>
  <c r="C45" i="20"/>
  <c r="D45" i="20"/>
  <c r="E45" i="20"/>
  <c r="F45" i="20"/>
  <c r="G45" i="20"/>
  <c r="R45" i="20" s="1"/>
  <c r="H45" i="20"/>
  <c r="I45" i="20"/>
  <c r="J45" i="20"/>
  <c r="K45" i="20"/>
  <c r="L45" i="20"/>
  <c r="M45" i="20"/>
  <c r="N45" i="20"/>
  <c r="O45" i="20"/>
  <c r="P45" i="20"/>
  <c r="Q45" i="20"/>
  <c r="C46" i="20"/>
  <c r="D46" i="20"/>
  <c r="R46" i="20" s="1"/>
  <c r="E46" i="20"/>
  <c r="F46" i="20"/>
  <c r="G46" i="20"/>
  <c r="H46" i="20"/>
  <c r="I46" i="20"/>
  <c r="J46" i="20"/>
  <c r="K46" i="20"/>
  <c r="L46" i="20"/>
  <c r="M46" i="20"/>
  <c r="N46" i="20"/>
  <c r="O46" i="20"/>
  <c r="P46" i="20"/>
  <c r="Q46" i="20"/>
  <c r="C47" i="20"/>
  <c r="D47" i="20"/>
  <c r="E47" i="20"/>
  <c r="F47" i="20"/>
  <c r="G47" i="20"/>
  <c r="H47" i="20"/>
  <c r="I47" i="20"/>
  <c r="J47" i="20"/>
  <c r="K47" i="20"/>
  <c r="L47" i="20"/>
  <c r="M47" i="20"/>
  <c r="R47" i="20" s="1"/>
  <c r="N47" i="20"/>
  <c r="O47" i="20"/>
  <c r="P47" i="20"/>
  <c r="Q47" i="20"/>
  <c r="C48" i="20"/>
  <c r="D48" i="20"/>
  <c r="E48" i="20"/>
  <c r="F48" i="20"/>
  <c r="G48" i="20"/>
  <c r="H48" i="20"/>
  <c r="I48" i="20"/>
  <c r="J48" i="20"/>
  <c r="K48" i="20"/>
  <c r="L48" i="20"/>
  <c r="M48" i="20"/>
  <c r="N48" i="20"/>
  <c r="O48" i="20"/>
  <c r="P48" i="20"/>
  <c r="Q48" i="20"/>
  <c r="C49" i="20"/>
  <c r="D49" i="20"/>
  <c r="E49" i="20"/>
  <c r="F49" i="20"/>
  <c r="G49" i="20"/>
  <c r="R49" i="20" s="1"/>
  <c r="H49" i="20"/>
  <c r="I49" i="20"/>
  <c r="J49" i="20"/>
  <c r="K49" i="20"/>
  <c r="L49" i="20"/>
  <c r="M49" i="20"/>
  <c r="N49" i="20"/>
  <c r="O49" i="20"/>
  <c r="P49" i="20"/>
  <c r="Q49" i="20"/>
  <c r="C50" i="20"/>
  <c r="D50" i="20"/>
  <c r="R50" i="20" s="1"/>
  <c r="E50" i="20"/>
  <c r="F50" i="20"/>
  <c r="G50" i="20"/>
  <c r="H50" i="20"/>
  <c r="I50" i="20"/>
  <c r="J50" i="20"/>
  <c r="K50" i="20"/>
  <c r="L50" i="20"/>
  <c r="M50" i="20"/>
  <c r="N50" i="20"/>
  <c r="O50" i="20"/>
  <c r="P50" i="20"/>
  <c r="Q50" i="20"/>
  <c r="C51" i="20"/>
  <c r="D51" i="20"/>
  <c r="E51" i="20"/>
  <c r="F51" i="20"/>
  <c r="G51" i="20"/>
  <c r="H51" i="20"/>
  <c r="I51" i="20"/>
  <c r="J51" i="20"/>
  <c r="K51" i="20"/>
  <c r="L51" i="20"/>
  <c r="M51" i="20"/>
  <c r="R51" i="20" s="1"/>
  <c r="N51" i="20"/>
  <c r="O51" i="20"/>
  <c r="P51" i="20"/>
  <c r="Q51" i="20"/>
  <c r="C52" i="20"/>
  <c r="D52" i="20"/>
  <c r="E52" i="20"/>
  <c r="F52" i="20"/>
  <c r="G52" i="20"/>
  <c r="H52" i="20"/>
  <c r="I52" i="20"/>
  <c r="J52" i="20"/>
  <c r="R52" i="20" s="1"/>
  <c r="K52" i="20"/>
  <c r="L52" i="20"/>
  <c r="M52" i="20"/>
  <c r="N52" i="20"/>
  <c r="O52" i="20"/>
  <c r="P52" i="20"/>
  <c r="Q52" i="20"/>
  <c r="C53" i="20"/>
  <c r="D53" i="20"/>
  <c r="E53" i="20"/>
  <c r="F53" i="20"/>
  <c r="G53" i="20"/>
  <c r="R53" i="20" s="1"/>
  <c r="H53" i="20"/>
  <c r="I53" i="20"/>
  <c r="J53" i="20"/>
  <c r="K53" i="20"/>
  <c r="L53" i="20"/>
  <c r="M53" i="20"/>
  <c r="N53" i="20"/>
  <c r="O53" i="20"/>
  <c r="P53" i="20"/>
  <c r="Q53" i="20"/>
  <c r="C54" i="20"/>
  <c r="D54" i="20"/>
  <c r="E54" i="20"/>
  <c r="F54" i="20"/>
  <c r="G54" i="20"/>
  <c r="H54" i="20"/>
  <c r="I54" i="20"/>
  <c r="J54" i="20"/>
  <c r="K54" i="20"/>
  <c r="L54" i="20"/>
  <c r="M54" i="20"/>
  <c r="N54" i="20"/>
  <c r="O54" i="20"/>
  <c r="P54" i="20"/>
  <c r="Q54" i="20"/>
  <c r="C55" i="20"/>
  <c r="D55" i="20"/>
  <c r="E55" i="20"/>
  <c r="F55" i="20"/>
  <c r="G55" i="20"/>
  <c r="H55" i="20"/>
  <c r="I55" i="20"/>
  <c r="J55" i="20"/>
  <c r="K55" i="20"/>
  <c r="L55" i="20"/>
  <c r="M55" i="20"/>
  <c r="R55" i="20" s="1"/>
  <c r="N55" i="20"/>
  <c r="O55" i="20"/>
  <c r="P55" i="20"/>
  <c r="Q55" i="20"/>
  <c r="C56" i="20"/>
  <c r="D56" i="20"/>
  <c r="E56" i="20"/>
  <c r="F56" i="20"/>
  <c r="G56" i="20"/>
  <c r="H56" i="20"/>
  <c r="I56" i="20"/>
  <c r="J56" i="20"/>
  <c r="K56" i="20"/>
  <c r="L56" i="20"/>
  <c r="M56" i="20"/>
  <c r="N56" i="20"/>
  <c r="O56" i="20"/>
  <c r="P56" i="20"/>
  <c r="Q56" i="20"/>
  <c r="C57" i="20"/>
  <c r="D57" i="20"/>
  <c r="E57" i="20"/>
  <c r="F57" i="20"/>
  <c r="G57" i="20"/>
  <c r="H57" i="20"/>
  <c r="I57" i="20"/>
  <c r="J57" i="20"/>
  <c r="K57" i="20"/>
  <c r="L57" i="20"/>
  <c r="M57" i="20"/>
  <c r="N57" i="20"/>
  <c r="O57" i="20"/>
  <c r="P57" i="20"/>
  <c r="Q57" i="20"/>
  <c r="C58" i="20"/>
  <c r="D58" i="20"/>
  <c r="R58" i="20" s="1"/>
  <c r="E58" i="20"/>
  <c r="F58" i="20"/>
  <c r="G58" i="20"/>
  <c r="H58" i="20"/>
  <c r="I58" i="20"/>
  <c r="J58" i="20"/>
  <c r="K58" i="20"/>
  <c r="L58" i="20"/>
  <c r="M58" i="20"/>
  <c r="N58" i="20"/>
  <c r="O58" i="20"/>
  <c r="P58" i="20"/>
  <c r="Q58" i="20"/>
  <c r="C59" i="20"/>
  <c r="D59" i="20"/>
  <c r="E59" i="20"/>
  <c r="F59" i="20"/>
  <c r="G59" i="20"/>
  <c r="H59" i="20"/>
  <c r="I59" i="20"/>
  <c r="J59" i="20"/>
  <c r="K59" i="20"/>
  <c r="L59" i="20"/>
  <c r="M59" i="20"/>
  <c r="R59" i="20" s="1"/>
  <c r="N59" i="20"/>
  <c r="O59" i="20"/>
  <c r="P59" i="20"/>
  <c r="Q59" i="20"/>
  <c r="C60" i="20"/>
  <c r="D60" i="20"/>
  <c r="E60" i="20"/>
  <c r="F60" i="20"/>
  <c r="G60" i="20"/>
  <c r="H60" i="20"/>
  <c r="I60" i="20"/>
  <c r="J60" i="20"/>
  <c r="R60" i="20" s="1"/>
  <c r="K60" i="20"/>
  <c r="L60" i="20"/>
  <c r="M60" i="20"/>
  <c r="N60" i="20"/>
  <c r="O60" i="20"/>
  <c r="P60" i="20"/>
  <c r="Q60" i="20"/>
  <c r="C61" i="20"/>
  <c r="D61" i="20"/>
  <c r="E61" i="20"/>
  <c r="F61" i="20"/>
  <c r="G61" i="20"/>
  <c r="R61" i="20" s="1"/>
  <c r="H61" i="20"/>
  <c r="I61" i="20"/>
  <c r="J61" i="20"/>
  <c r="K61" i="20"/>
  <c r="L61" i="20"/>
  <c r="M61" i="20"/>
  <c r="N61" i="20"/>
  <c r="O61" i="20"/>
  <c r="P61" i="20"/>
  <c r="Q61" i="20"/>
  <c r="C62" i="20"/>
  <c r="D62" i="20"/>
  <c r="R62" i="20" s="1"/>
  <c r="E62" i="20"/>
  <c r="F62" i="20"/>
  <c r="G62" i="20"/>
  <c r="H62" i="20"/>
  <c r="I62" i="20"/>
  <c r="J62" i="20"/>
  <c r="K62" i="20"/>
  <c r="L62" i="20"/>
  <c r="M62" i="20"/>
  <c r="N62" i="20"/>
  <c r="O62" i="20"/>
  <c r="P62" i="20"/>
  <c r="Q62" i="20"/>
  <c r="C63" i="20"/>
  <c r="D63" i="20"/>
  <c r="E63" i="20"/>
  <c r="F63" i="20"/>
  <c r="G63" i="20"/>
  <c r="H63" i="20"/>
  <c r="I63" i="20"/>
  <c r="J63" i="20"/>
  <c r="K63" i="20"/>
  <c r="L63" i="20"/>
  <c r="M63" i="20"/>
  <c r="R63" i="20" s="1"/>
  <c r="N63" i="20"/>
  <c r="O63" i="20"/>
  <c r="P63" i="20"/>
  <c r="Q63" i="20"/>
  <c r="C64" i="20"/>
  <c r="D64" i="20"/>
  <c r="E64" i="20"/>
  <c r="F64" i="20"/>
  <c r="G64" i="20"/>
  <c r="H64" i="20"/>
  <c r="I64" i="20"/>
  <c r="J64" i="20"/>
  <c r="R64" i="20" s="1"/>
  <c r="K64" i="20"/>
  <c r="L64" i="20"/>
  <c r="M64" i="20"/>
  <c r="N64" i="20"/>
  <c r="O64" i="20"/>
  <c r="P64" i="20"/>
  <c r="Q64" i="20"/>
  <c r="C65" i="20"/>
  <c r="D65" i="20"/>
  <c r="E65" i="20"/>
  <c r="F65" i="20"/>
  <c r="G65" i="20"/>
  <c r="R65" i="20" s="1"/>
  <c r="H65" i="20"/>
  <c r="I65" i="20"/>
  <c r="J65" i="20"/>
  <c r="K65" i="20"/>
  <c r="L65" i="20"/>
  <c r="M65" i="20"/>
  <c r="N65" i="20"/>
  <c r="O65" i="20"/>
  <c r="P65" i="20"/>
  <c r="Q65" i="20"/>
  <c r="C66" i="20"/>
  <c r="D66" i="20"/>
  <c r="R66" i="20" s="1"/>
  <c r="E66" i="20"/>
  <c r="F66" i="20"/>
  <c r="G66" i="20"/>
  <c r="H66" i="20"/>
  <c r="I66" i="20"/>
  <c r="J66" i="20"/>
  <c r="K66" i="20"/>
  <c r="L66" i="20"/>
  <c r="M66" i="20"/>
  <c r="N66" i="20"/>
  <c r="O66" i="20"/>
  <c r="P66" i="20"/>
  <c r="Q66" i="20"/>
  <c r="C67" i="20"/>
  <c r="D67" i="20"/>
  <c r="E67" i="20"/>
  <c r="F67" i="20"/>
  <c r="G67" i="20"/>
  <c r="H67" i="20"/>
  <c r="I67" i="20"/>
  <c r="J67" i="20"/>
  <c r="K67" i="20"/>
  <c r="L67" i="20"/>
  <c r="M67" i="20"/>
  <c r="N67" i="20"/>
  <c r="O67" i="20"/>
  <c r="P67" i="20"/>
  <c r="Q67" i="20"/>
  <c r="C68" i="20"/>
  <c r="D68" i="20"/>
  <c r="E68" i="20"/>
  <c r="F68" i="20"/>
  <c r="G68" i="20"/>
  <c r="H68" i="20"/>
  <c r="I68" i="20"/>
  <c r="J68" i="20"/>
  <c r="R68" i="20" s="1"/>
  <c r="K68" i="20"/>
  <c r="L68" i="20"/>
  <c r="M68" i="20"/>
  <c r="N68" i="20"/>
  <c r="O68" i="20"/>
  <c r="P68" i="20"/>
  <c r="Q68" i="20"/>
  <c r="C69" i="20"/>
  <c r="D69" i="20"/>
  <c r="E69" i="20"/>
  <c r="F69" i="20"/>
  <c r="G69" i="20"/>
  <c r="R69" i="20" s="1"/>
  <c r="H69" i="20"/>
  <c r="I69" i="20"/>
  <c r="J69" i="20"/>
  <c r="K69" i="20"/>
  <c r="L69" i="20"/>
  <c r="M69" i="20"/>
  <c r="N69" i="20"/>
  <c r="O69" i="20"/>
  <c r="P69" i="20"/>
  <c r="Q69" i="20"/>
  <c r="C70" i="20"/>
  <c r="D70" i="20"/>
  <c r="R70" i="20" s="1"/>
  <c r="E70" i="20"/>
  <c r="F70" i="20"/>
  <c r="G70" i="20"/>
  <c r="H70" i="20"/>
  <c r="I70" i="20"/>
  <c r="J70" i="20"/>
  <c r="K70" i="20"/>
  <c r="L70" i="20"/>
  <c r="M70" i="20"/>
  <c r="N70" i="20"/>
  <c r="O70" i="20"/>
  <c r="P70" i="20"/>
  <c r="Q70" i="20"/>
  <c r="C71" i="20"/>
  <c r="D71" i="20"/>
  <c r="E71" i="20"/>
  <c r="F71" i="20"/>
  <c r="G71" i="20"/>
  <c r="H71" i="20"/>
  <c r="I71" i="20"/>
  <c r="J71" i="20"/>
  <c r="K71" i="20"/>
  <c r="L71" i="20"/>
  <c r="M71" i="20"/>
  <c r="N71" i="20"/>
  <c r="O71" i="20"/>
  <c r="P71" i="20"/>
  <c r="Q71" i="20"/>
  <c r="C72" i="20"/>
  <c r="D72" i="20"/>
  <c r="E72" i="20"/>
  <c r="F72" i="20"/>
  <c r="G72" i="20"/>
  <c r="H72" i="20"/>
  <c r="I72" i="20"/>
  <c r="J72" i="20"/>
  <c r="R72" i="20" s="1"/>
  <c r="K72" i="20"/>
  <c r="L72" i="20"/>
  <c r="M72" i="20"/>
  <c r="N72" i="20"/>
  <c r="O72" i="20"/>
  <c r="P72" i="20"/>
  <c r="Q72" i="20"/>
  <c r="C73" i="20"/>
  <c r="D73" i="20"/>
  <c r="E73" i="20"/>
  <c r="F73" i="20"/>
  <c r="G73" i="20"/>
  <c r="R73" i="20" s="1"/>
  <c r="H73" i="20"/>
  <c r="I73" i="20"/>
  <c r="J73" i="20"/>
  <c r="K73" i="20"/>
  <c r="L73" i="20"/>
  <c r="M73" i="20"/>
  <c r="N73" i="20"/>
  <c r="O73" i="20"/>
  <c r="P73" i="20"/>
  <c r="Q73" i="20"/>
  <c r="C74" i="20"/>
  <c r="D74" i="20"/>
  <c r="R74" i="20" s="1"/>
  <c r="E74" i="20"/>
  <c r="F74" i="20"/>
  <c r="G74" i="20"/>
  <c r="H74" i="20"/>
  <c r="I74" i="20"/>
  <c r="J74" i="20"/>
  <c r="K74" i="20"/>
  <c r="L74" i="20"/>
  <c r="M74" i="20"/>
  <c r="N74" i="20"/>
  <c r="O74" i="20"/>
  <c r="P74" i="20"/>
  <c r="Q74" i="20"/>
  <c r="C75" i="20"/>
  <c r="D75" i="20"/>
  <c r="E75" i="20"/>
  <c r="F75" i="20"/>
  <c r="G75" i="20"/>
  <c r="H75" i="20"/>
  <c r="I75" i="20"/>
  <c r="J75" i="20"/>
  <c r="K75" i="20"/>
  <c r="L75" i="20"/>
  <c r="M75" i="20"/>
  <c r="N75" i="20"/>
  <c r="O75" i="20"/>
  <c r="P75" i="20"/>
  <c r="Q75" i="20"/>
  <c r="C76" i="20"/>
  <c r="D76" i="20"/>
  <c r="E76" i="20"/>
  <c r="F76" i="20"/>
  <c r="G76" i="20"/>
  <c r="H76" i="20"/>
  <c r="I76" i="20"/>
  <c r="J76" i="20"/>
  <c r="R76" i="20" s="1"/>
  <c r="K76" i="20"/>
  <c r="L76" i="20"/>
  <c r="M76" i="20"/>
  <c r="N76" i="20"/>
  <c r="O76" i="20"/>
  <c r="P76" i="20"/>
  <c r="Q76" i="20"/>
  <c r="C77" i="20"/>
  <c r="D77" i="20"/>
  <c r="E77" i="20"/>
  <c r="F77" i="20"/>
  <c r="G77" i="20"/>
  <c r="R77" i="20" s="1"/>
  <c r="H77" i="20"/>
  <c r="I77" i="20"/>
  <c r="J77" i="20"/>
  <c r="K77" i="20"/>
  <c r="L77" i="20"/>
  <c r="M77" i="20"/>
  <c r="N77" i="20"/>
  <c r="O77" i="20"/>
  <c r="P77" i="20"/>
  <c r="Q77" i="20"/>
  <c r="C78" i="20"/>
  <c r="D78" i="20"/>
  <c r="R78" i="20" s="1"/>
  <c r="E78" i="20"/>
  <c r="F78" i="20"/>
  <c r="G78" i="20"/>
  <c r="H78" i="20"/>
  <c r="I78" i="20"/>
  <c r="J78" i="20"/>
  <c r="K78" i="20"/>
  <c r="L78" i="20"/>
  <c r="M78" i="20"/>
  <c r="N78" i="20"/>
  <c r="O78" i="20"/>
  <c r="P78" i="20"/>
  <c r="Q78" i="20"/>
  <c r="C79" i="20"/>
  <c r="D79" i="20"/>
  <c r="E79" i="20"/>
  <c r="F79" i="20"/>
  <c r="G79" i="20"/>
  <c r="H79" i="20"/>
  <c r="I79" i="20"/>
  <c r="J79" i="20"/>
  <c r="K79" i="20"/>
  <c r="L79" i="20"/>
  <c r="M79" i="20"/>
  <c r="R79" i="20" s="1"/>
  <c r="N79" i="20"/>
  <c r="O79" i="20"/>
  <c r="P79" i="20"/>
  <c r="Q79" i="20"/>
  <c r="C80" i="20"/>
  <c r="D80" i="20"/>
  <c r="E80" i="20"/>
  <c r="F80" i="20"/>
  <c r="G80" i="20"/>
  <c r="H80" i="20"/>
  <c r="I80" i="20"/>
  <c r="J80" i="20"/>
  <c r="K80" i="20"/>
  <c r="L80" i="20"/>
  <c r="M80" i="20"/>
  <c r="N80" i="20"/>
  <c r="O80" i="20"/>
  <c r="P80" i="20"/>
  <c r="Q80" i="20"/>
  <c r="C81" i="20"/>
  <c r="D81" i="20"/>
  <c r="E81" i="20"/>
  <c r="F81" i="20"/>
  <c r="G81" i="20"/>
  <c r="R81" i="20" s="1"/>
  <c r="H81" i="20"/>
  <c r="I81" i="20"/>
  <c r="J81" i="20"/>
  <c r="K81" i="20"/>
  <c r="L81" i="20"/>
  <c r="M81" i="20"/>
  <c r="N81" i="20"/>
  <c r="O81" i="20"/>
  <c r="P81" i="20"/>
  <c r="Q81" i="20"/>
  <c r="C82" i="20"/>
  <c r="D82" i="20"/>
  <c r="R82" i="20" s="1"/>
  <c r="E82" i="20"/>
  <c r="F82" i="20"/>
  <c r="G82" i="20"/>
  <c r="H82" i="20"/>
  <c r="I82" i="20"/>
  <c r="J82" i="20"/>
  <c r="K82" i="20"/>
  <c r="L82" i="20"/>
  <c r="M82" i="20"/>
  <c r="N82" i="20"/>
  <c r="O82" i="20"/>
  <c r="P82" i="20"/>
  <c r="Q82" i="20"/>
  <c r="C83" i="20"/>
  <c r="D83" i="20"/>
  <c r="E83" i="20"/>
  <c r="F83" i="20"/>
  <c r="G83" i="20"/>
  <c r="H83" i="20"/>
  <c r="I83" i="20"/>
  <c r="J83" i="20"/>
  <c r="K83" i="20"/>
  <c r="L83" i="20"/>
  <c r="M83" i="20"/>
  <c r="R83" i="20" s="1"/>
  <c r="N83" i="20"/>
  <c r="O83" i="20"/>
  <c r="P83" i="20"/>
  <c r="Q83" i="20"/>
  <c r="C84" i="20"/>
  <c r="D84" i="20"/>
  <c r="E84" i="20"/>
  <c r="F84" i="20"/>
  <c r="G84" i="20"/>
  <c r="H84" i="20"/>
  <c r="I84" i="20"/>
  <c r="J84" i="20"/>
  <c r="R84" i="20" s="1"/>
  <c r="K84" i="20"/>
  <c r="L84" i="20"/>
  <c r="M84" i="20"/>
  <c r="N84" i="20"/>
  <c r="O84" i="20"/>
  <c r="P84" i="20"/>
  <c r="Q84" i="20"/>
  <c r="C85" i="20"/>
  <c r="D85" i="20"/>
  <c r="E85" i="20"/>
  <c r="F85" i="20"/>
  <c r="G85" i="20"/>
  <c r="R85" i="20" s="1"/>
  <c r="H85" i="20"/>
  <c r="I85" i="20"/>
  <c r="J85" i="20"/>
  <c r="K85" i="20"/>
  <c r="L85" i="20"/>
  <c r="M85" i="20"/>
  <c r="N85" i="20"/>
  <c r="O85" i="20"/>
  <c r="P85" i="20"/>
  <c r="Q85" i="20"/>
  <c r="C86" i="20"/>
  <c r="D86" i="20"/>
  <c r="R86" i="20" s="1"/>
  <c r="E86" i="20"/>
  <c r="F86" i="20"/>
  <c r="G86" i="20"/>
  <c r="H86" i="20"/>
  <c r="I86" i="20"/>
  <c r="J86" i="20"/>
  <c r="K86" i="20"/>
  <c r="L86" i="20"/>
  <c r="M86" i="20"/>
  <c r="N86" i="20"/>
  <c r="O86" i="20"/>
  <c r="P86" i="20"/>
  <c r="Q86" i="20"/>
  <c r="C87" i="20"/>
  <c r="D87" i="20"/>
  <c r="E87" i="20"/>
  <c r="F87" i="20"/>
  <c r="G87" i="20"/>
  <c r="H87" i="20"/>
  <c r="I87" i="20"/>
  <c r="J87" i="20"/>
  <c r="K87" i="20"/>
  <c r="L87" i="20"/>
  <c r="M87" i="20"/>
  <c r="R87" i="20" s="1"/>
  <c r="N87" i="20"/>
  <c r="O87" i="20"/>
  <c r="P87" i="20"/>
  <c r="Q87" i="20"/>
  <c r="C88" i="20"/>
  <c r="D88" i="20"/>
  <c r="E88" i="20"/>
  <c r="F88" i="20"/>
  <c r="G88" i="20"/>
  <c r="H88" i="20"/>
  <c r="I88" i="20"/>
  <c r="J88" i="20"/>
  <c r="R88" i="20" s="1"/>
  <c r="K88" i="20"/>
  <c r="L88" i="20"/>
  <c r="M88" i="20"/>
  <c r="N88" i="20"/>
  <c r="O88" i="20"/>
  <c r="P88" i="20"/>
  <c r="Q88" i="20"/>
  <c r="C89" i="20"/>
  <c r="D89" i="20"/>
  <c r="E89" i="20"/>
  <c r="F89" i="20"/>
  <c r="G89" i="20"/>
  <c r="R89" i="20" s="1"/>
  <c r="H89" i="20"/>
  <c r="I89" i="20"/>
  <c r="J89" i="20"/>
  <c r="K89" i="20"/>
  <c r="L89" i="20"/>
  <c r="M89" i="20"/>
  <c r="N89" i="20"/>
  <c r="O89" i="20"/>
  <c r="P89" i="20"/>
  <c r="Q89" i="20"/>
  <c r="C90" i="20"/>
  <c r="D90" i="20"/>
  <c r="R90" i="20" s="1"/>
  <c r="E90" i="20"/>
  <c r="F90" i="20"/>
  <c r="G90" i="20"/>
  <c r="H90" i="20"/>
  <c r="I90" i="20"/>
  <c r="J90" i="20"/>
  <c r="K90" i="20"/>
  <c r="L90" i="20"/>
  <c r="M90" i="20"/>
  <c r="N90" i="20"/>
  <c r="O90" i="20"/>
  <c r="P90" i="20"/>
  <c r="Q90" i="20"/>
  <c r="C91" i="20"/>
  <c r="D91" i="20"/>
  <c r="E91" i="20"/>
  <c r="F91" i="20"/>
  <c r="G91" i="20"/>
  <c r="H91" i="20"/>
  <c r="I91" i="20"/>
  <c r="J91" i="20"/>
  <c r="K91" i="20"/>
  <c r="L91" i="20"/>
  <c r="M91" i="20"/>
  <c r="R91" i="20" s="1"/>
  <c r="N91" i="20"/>
  <c r="O91" i="20"/>
  <c r="P91" i="20"/>
  <c r="Q91" i="20"/>
  <c r="C92" i="20"/>
  <c r="D92" i="20"/>
  <c r="E92" i="20"/>
  <c r="F92" i="20"/>
  <c r="G92" i="20"/>
  <c r="H92" i="20"/>
  <c r="I92" i="20"/>
  <c r="J92" i="20"/>
  <c r="R92" i="20" s="1"/>
  <c r="K92" i="20"/>
  <c r="L92" i="20"/>
  <c r="M92" i="20"/>
  <c r="N92" i="20"/>
  <c r="O92" i="20"/>
  <c r="P92" i="20"/>
  <c r="Q92" i="20"/>
  <c r="C93" i="20"/>
  <c r="D93" i="20"/>
  <c r="E93" i="20"/>
  <c r="F93" i="20"/>
  <c r="G93" i="20"/>
  <c r="R93" i="20" s="1"/>
  <c r="H93" i="20"/>
  <c r="I93" i="20"/>
  <c r="J93" i="20"/>
  <c r="K93" i="20"/>
  <c r="L93" i="20"/>
  <c r="M93" i="20"/>
  <c r="N93" i="20"/>
  <c r="O93" i="20"/>
  <c r="P93" i="20"/>
  <c r="Q93" i="20"/>
  <c r="C94" i="20"/>
  <c r="D94" i="20"/>
  <c r="R94" i="20" s="1"/>
  <c r="E94" i="20"/>
  <c r="F94" i="20"/>
  <c r="G94" i="20"/>
  <c r="H94" i="20"/>
  <c r="I94" i="20"/>
  <c r="J94" i="20"/>
  <c r="K94" i="20"/>
  <c r="L94" i="20"/>
  <c r="M94" i="20"/>
  <c r="N94" i="20"/>
  <c r="O94" i="20"/>
  <c r="P94" i="20"/>
  <c r="Q94" i="20"/>
  <c r="C95" i="20"/>
  <c r="D95" i="20"/>
  <c r="E95" i="20"/>
  <c r="F95" i="20"/>
  <c r="G95" i="20"/>
  <c r="H95" i="20"/>
  <c r="I95" i="20"/>
  <c r="J95" i="20"/>
  <c r="K95" i="20"/>
  <c r="L95" i="20"/>
  <c r="M95" i="20"/>
  <c r="N95" i="20"/>
  <c r="O95" i="20"/>
  <c r="P95" i="20"/>
  <c r="Q95" i="20"/>
  <c r="C96" i="20"/>
  <c r="D96" i="20"/>
  <c r="E96" i="20"/>
  <c r="F96" i="20"/>
  <c r="G96" i="20"/>
  <c r="H96" i="20"/>
  <c r="I96" i="20"/>
  <c r="J96" i="20"/>
  <c r="R96" i="20" s="1"/>
  <c r="K96" i="20"/>
  <c r="L96" i="20"/>
  <c r="M96" i="20"/>
  <c r="N96" i="20"/>
  <c r="O96" i="20"/>
  <c r="P96" i="20"/>
  <c r="Q96" i="20"/>
  <c r="C97" i="20"/>
  <c r="D97" i="20"/>
  <c r="E97" i="20"/>
  <c r="F97" i="20"/>
  <c r="G97" i="20"/>
  <c r="H97" i="20"/>
  <c r="I97" i="20"/>
  <c r="J97" i="20"/>
  <c r="K97" i="20"/>
  <c r="L97" i="20"/>
  <c r="M97" i="20"/>
  <c r="N97" i="20"/>
  <c r="O97" i="20"/>
  <c r="P97" i="20"/>
  <c r="Q97" i="20"/>
  <c r="C98" i="20"/>
  <c r="D98" i="20"/>
  <c r="R98" i="20" s="1"/>
  <c r="E98" i="20"/>
  <c r="F98" i="20"/>
  <c r="G98" i="20"/>
  <c r="H98" i="20"/>
  <c r="I98" i="20"/>
  <c r="J98" i="20"/>
  <c r="K98" i="20"/>
  <c r="L98" i="20"/>
  <c r="M98" i="20"/>
  <c r="N98" i="20"/>
  <c r="O98" i="20"/>
  <c r="P98" i="20"/>
  <c r="Q98" i="20"/>
  <c r="C99" i="20"/>
  <c r="D99" i="20"/>
  <c r="E99" i="20"/>
  <c r="F99" i="20"/>
  <c r="G99" i="20"/>
  <c r="H99" i="20"/>
  <c r="R99" i="20" s="1"/>
  <c r="I99" i="20"/>
  <c r="J99" i="20"/>
  <c r="K99" i="20"/>
  <c r="L99" i="20"/>
  <c r="M99" i="20"/>
  <c r="N99" i="20"/>
  <c r="O99" i="20"/>
  <c r="P99" i="20"/>
  <c r="Q99" i="20"/>
  <c r="C100" i="20"/>
  <c r="D100" i="20"/>
  <c r="E100" i="20"/>
  <c r="R100" i="20" s="1"/>
  <c r="F100" i="20"/>
  <c r="G100" i="20"/>
  <c r="H100" i="20"/>
  <c r="I100" i="20"/>
  <c r="J100" i="20"/>
  <c r="K100" i="20"/>
  <c r="L100" i="20"/>
  <c r="M100" i="20"/>
  <c r="N100" i="20"/>
  <c r="O100" i="20"/>
  <c r="P100" i="20"/>
  <c r="Q100" i="20"/>
  <c r="C101" i="20"/>
  <c r="D101" i="20"/>
  <c r="E101" i="20"/>
  <c r="F101" i="20"/>
  <c r="R101" i="20" s="1"/>
  <c r="G101" i="20"/>
  <c r="H101" i="20"/>
  <c r="I101" i="20"/>
  <c r="J101" i="20"/>
  <c r="K101" i="20"/>
  <c r="L101" i="20"/>
  <c r="M101" i="20"/>
  <c r="N101" i="20"/>
  <c r="O101" i="20"/>
  <c r="P101" i="20"/>
  <c r="Q101" i="20"/>
  <c r="C102" i="20"/>
  <c r="D102" i="20"/>
  <c r="R102" i="20" s="1"/>
  <c r="E102" i="20"/>
  <c r="F102" i="20"/>
  <c r="G102" i="20"/>
  <c r="H102" i="20"/>
  <c r="I102" i="20"/>
  <c r="J102" i="20"/>
  <c r="K102" i="20"/>
  <c r="L102" i="20"/>
  <c r="M102" i="20"/>
  <c r="N102" i="20"/>
  <c r="O102" i="20"/>
  <c r="P102" i="20"/>
  <c r="Q102" i="20"/>
  <c r="C103" i="20"/>
  <c r="D103" i="20"/>
  <c r="E103" i="20"/>
  <c r="F103" i="20"/>
  <c r="G103" i="20"/>
  <c r="H103" i="20"/>
  <c r="R103" i="20" s="1"/>
  <c r="I103" i="20"/>
  <c r="J103" i="20"/>
  <c r="K103" i="20"/>
  <c r="L103" i="20"/>
  <c r="M103" i="20"/>
  <c r="N103" i="20"/>
  <c r="O103" i="20"/>
  <c r="P103" i="20"/>
  <c r="Q103" i="20"/>
  <c r="C104" i="20"/>
  <c r="D104" i="20"/>
  <c r="E104" i="20"/>
  <c r="F104" i="20"/>
  <c r="G104" i="20"/>
  <c r="H104" i="20"/>
  <c r="I104" i="20"/>
  <c r="J104" i="20"/>
  <c r="R104" i="20" s="1"/>
  <c r="K104" i="20"/>
  <c r="L104" i="20"/>
  <c r="M104" i="20"/>
  <c r="N104" i="20"/>
  <c r="O104" i="20"/>
  <c r="P104" i="20"/>
  <c r="Q104" i="20"/>
  <c r="C105" i="20"/>
  <c r="D105" i="20"/>
  <c r="E105" i="20"/>
  <c r="F105" i="20"/>
  <c r="G105" i="20"/>
  <c r="H105" i="20"/>
  <c r="I105" i="20"/>
  <c r="J105" i="20"/>
  <c r="K105" i="20"/>
  <c r="L105" i="20"/>
  <c r="M105" i="20"/>
  <c r="N105" i="20"/>
  <c r="O105" i="20"/>
  <c r="P105" i="20"/>
  <c r="Q105" i="20"/>
  <c r="C106" i="20"/>
  <c r="R106" i="20" s="1"/>
  <c r="D106" i="20"/>
  <c r="E106" i="20"/>
  <c r="F106" i="20"/>
  <c r="G106" i="20"/>
  <c r="H106" i="20"/>
  <c r="I106" i="20"/>
  <c r="J106" i="20"/>
  <c r="K106" i="20"/>
  <c r="L106" i="20"/>
  <c r="M106" i="20"/>
  <c r="N106" i="20"/>
  <c r="O106" i="20"/>
  <c r="P106" i="20"/>
  <c r="Q106" i="20"/>
  <c r="C107" i="20"/>
  <c r="D107" i="20"/>
  <c r="E107" i="20"/>
  <c r="F107" i="20"/>
  <c r="G107" i="20"/>
  <c r="H107" i="20"/>
  <c r="I107" i="20"/>
  <c r="J107" i="20"/>
  <c r="K107" i="20"/>
  <c r="L107" i="20"/>
  <c r="M107" i="20"/>
  <c r="N107" i="20"/>
  <c r="R107" i="20" s="1"/>
  <c r="O107" i="20"/>
  <c r="P107" i="20"/>
  <c r="Q107" i="20"/>
  <c r="C108" i="20"/>
  <c r="D108" i="20"/>
  <c r="E108" i="20"/>
  <c r="F108" i="20"/>
  <c r="G108" i="20"/>
  <c r="H108" i="20"/>
  <c r="I108" i="20"/>
  <c r="J108" i="20"/>
  <c r="R108" i="20" s="1"/>
  <c r="K108" i="20"/>
  <c r="L108" i="20"/>
  <c r="M108" i="20"/>
  <c r="N108" i="20"/>
  <c r="O108" i="20"/>
  <c r="P108" i="20"/>
  <c r="Q108" i="20"/>
  <c r="C109" i="20"/>
  <c r="D109" i="20"/>
  <c r="E109" i="20"/>
  <c r="F109" i="20"/>
  <c r="R109" i="20" s="1"/>
  <c r="G109" i="20"/>
  <c r="H109" i="20"/>
  <c r="I109" i="20"/>
  <c r="J109" i="20"/>
  <c r="K109" i="20"/>
  <c r="L109" i="20"/>
  <c r="M109" i="20"/>
  <c r="N109" i="20"/>
  <c r="O109" i="20"/>
  <c r="P109" i="20"/>
  <c r="Q109" i="20"/>
  <c r="C110" i="20"/>
  <c r="D110" i="20"/>
  <c r="R110" i="20" s="1"/>
  <c r="E110" i="20"/>
  <c r="F110" i="20"/>
  <c r="G110" i="20"/>
  <c r="H110" i="20"/>
  <c r="I110" i="20"/>
  <c r="J110" i="20"/>
  <c r="K110" i="20"/>
  <c r="L110" i="20"/>
  <c r="M110" i="20"/>
  <c r="N110" i="20"/>
  <c r="O110" i="20"/>
  <c r="P110" i="20"/>
  <c r="Q110" i="20"/>
  <c r="C111" i="20"/>
  <c r="R111" i="20" s="1"/>
  <c r="D111" i="20"/>
  <c r="E111" i="20"/>
  <c r="F111" i="20"/>
  <c r="G111" i="20"/>
  <c r="H111" i="20"/>
  <c r="I111" i="20"/>
  <c r="J111" i="20"/>
  <c r="K111" i="20"/>
  <c r="L111" i="20"/>
  <c r="M111" i="20"/>
  <c r="N111" i="20"/>
  <c r="O111" i="20"/>
  <c r="P111" i="20"/>
  <c r="Q111" i="20"/>
  <c r="C112" i="20"/>
  <c r="D112" i="20"/>
  <c r="R112" i="20" s="1"/>
  <c r="E112" i="20"/>
  <c r="F112" i="20"/>
  <c r="G112" i="20"/>
  <c r="H112" i="20"/>
  <c r="I112" i="20"/>
  <c r="J112" i="20"/>
  <c r="K112" i="20"/>
  <c r="L112" i="20"/>
  <c r="M112" i="20"/>
  <c r="N112" i="20"/>
  <c r="O112" i="20"/>
  <c r="P112" i="20"/>
  <c r="Q112" i="20"/>
  <c r="C113" i="20"/>
  <c r="D113" i="20"/>
  <c r="E113" i="20"/>
  <c r="F113" i="20"/>
  <c r="R113" i="20" s="1"/>
  <c r="G113" i="20"/>
  <c r="H113" i="20"/>
  <c r="I113" i="20"/>
  <c r="J113" i="20"/>
  <c r="K113" i="20"/>
  <c r="L113" i="20"/>
  <c r="M113" i="20"/>
  <c r="N113" i="20"/>
  <c r="O113" i="20"/>
  <c r="P113" i="20"/>
  <c r="Q113" i="20"/>
  <c r="C114" i="20"/>
  <c r="R114" i="20" s="1"/>
  <c r="D114" i="20"/>
  <c r="E114" i="20"/>
  <c r="F114" i="20"/>
  <c r="G114" i="20"/>
  <c r="H114" i="20"/>
  <c r="I114" i="20"/>
  <c r="J114" i="20"/>
  <c r="K114" i="20"/>
  <c r="L114" i="20"/>
  <c r="M114" i="20"/>
  <c r="N114" i="20"/>
  <c r="O114" i="20"/>
  <c r="P114" i="20"/>
  <c r="Q114" i="20"/>
  <c r="C115" i="20"/>
  <c r="R115" i="20" s="1"/>
  <c r="D115" i="20"/>
  <c r="E115" i="20"/>
  <c r="F115" i="20"/>
  <c r="G115" i="20"/>
  <c r="H115" i="20"/>
  <c r="I115" i="20"/>
  <c r="J115" i="20"/>
  <c r="K115" i="20"/>
  <c r="L115" i="20"/>
  <c r="M115" i="20"/>
  <c r="N115" i="20"/>
  <c r="O115" i="20"/>
  <c r="P115" i="20"/>
  <c r="Q115" i="20"/>
  <c r="C116" i="20"/>
  <c r="D116" i="20"/>
  <c r="E116" i="20"/>
  <c r="R116" i="20" s="1"/>
  <c r="F116" i="20"/>
  <c r="G116" i="20"/>
  <c r="H116" i="20"/>
  <c r="I116" i="20"/>
  <c r="J116" i="20"/>
  <c r="K116" i="20"/>
  <c r="L116" i="20"/>
  <c r="M116" i="20"/>
  <c r="N116" i="20"/>
  <c r="O116" i="20"/>
  <c r="P116" i="20"/>
  <c r="Q116" i="20"/>
  <c r="C117" i="20"/>
  <c r="R117" i="20" s="1"/>
  <c r="D117" i="20"/>
  <c r="E117" i="20"/>
  <c r="F117" i="20"/>
  <c r="G117" i="20"/>
  <c r="H117" i="20"/>
  <c r="I117" i="20"/>
  <c r="J117" i="20"/>
  <c r="K117" i="20"/>
  <c r="L117" i="20"/>
  <c r="M117" i="20"/>
  <c r="N117" i="20"/>
  <c r="O117" i="20"/>
  <c r="P117" i="20"/>
  <c r="Q117" i="20"/>
  <c r="C118" i="20"/>
  <c r="R118" i="20" s="1"/>
  <c r="D118" i="20"/>
  <c r="E118" i="20"/>
  <c r="F118" i="20"/>
  <c r="G118" i="20"/>
  <c r="H118" i="20"/>
  <c r="I118" i="20"/>
  <c r="J118" i="20"/>
  <c r="K118" i="20"/>
  <c r="L118" i="20"/>
  <c r="M118" i="20"/>
  <c r="N118" i="20"/>
  <c r="O118" i="20"/>
  <c r="P118" i="20"/>
  <c r="Q118" i="20"/>
  <c r="D2" i="20"/>
  <c r="E2" i="20"/>
  <c r="F2" i="20"/>
  <c r="G2" i="20"/>
  <c r="H2" i="20"/>
  <c r="I2" i="20"/>
  <c r="J2" i="20"/>
  <c r="K2" i="20"/>
  <c r="L2" i="20"/>
  <c r="M2" i="20"/>
  <c r="N2" i="20"/>
  <c r="O2" i="20"/>
  <c r="P2" i="20"/>
  <c r="Q2" i="20"/>
  <c r="R4" i="20"/>
  <c r="R3" i="20"/>
  <c r="R5" i="20"/>
  <c r="R20" i="20"/>
  <c r="R13" i="20"/>
  <c r="R8" i="20"/>
  <c r="R11" i="20"/>
  <c r="R24" i="20"/>
  <c r="R10" i="20"/>
  <c r="R21" i="20"/>
  <c r="R15" i="20"/>
  <c r="R9" i="20"/>
  <c r="R16" i="20"/>
  <c r="R12" i="20"/>
  <c r="R6" i="20"/>
  <c r="R7" i="20"/>
  <c r="R14" i="20"/>
  <c r="R23" i="20"/>
  <c r="R17" i="20"/>
  <c r="R33" i="20"/>
  <c r="R18" i="20"/>
  <c r="R25" i="20"/>
  <c r="R40" i="20"/>
  <c r="R29" i="20"/>
  <c r="R37" i="20"/>
  <c r="R54" i="20"/>
  <c r="R57" i="20"/>
  <c r="R56" i="20"/>
  <c r="R48" i="20"/>
  <c r="R67" i="20"/>
  <c r="R71" i="20"/>
  <c r="R75" i="20"/>
  <c r="R95" i="20"/>
  <c r="R97" i="20"/>
  <c r="R80" i="20"/>
  <c r="R105" i="20"/>
  <c r="S3" i="22"/>
  <c r="S5" i="22"/>
  <c r="S4" i="22"/>
  <c r="S6" i="22"/>
  <c r="S10" i="22"/>
  <c r="S8" i="22"/>
  <c r="S9" i="22"/>
  <c r="S7" i="22"/>
  <c r="S12" i="22"/>
  <c r="S17" i="22"/>
  <c r="S11" i="22"/>
  <c r="S13" i="22"/>
  <c r="S14" i="22"/>
  <c r="S15" i="22"/>
  <c r="S16" i="22"/>
  <c r="S18" i="22"/>
  <c r="S22" i="22"/>
  <c r="S21" i="22"/>
  <c r="S19" i="22"/>
  <c r="S72" i="22"/>
  <c r="S20" i="22"/>
  <c r="S26" i="22"/>
  <c r="S29" i="22"/>
  <c r="S34" i="22"/>
  <c r="S30" i="22"/>
  <c r="S36" i="22"/>
  <c r="S24" i="22"/>
  <c r="S25" i="22"/>
  <c r="S23" i="22"/>
  <c r="S28" i="22"/>
  <c r="S27" i="22"/>
  <c r="S32" i="22"/>
  <c r="S31" i="22"/>
  <c r="S47" i="22"/>
  <c r="S38" i="22"/>
  <c r="S33" i="22"/>
  <c r="S42" i="22"/>
  <c r="S40" i="22"/>
  <c r="S35" i="22"/>
  <c r="S37" i="22"/>
  <c r="S39" i="22"/>
  <c r="S49" i="22"/>
  <c r="S41" i="22"/>
  <c r="S44" i="22"/>
  <c r="S43" i="22"/>
  <c r="S45" i="22"/>
  <c r="S46" i="22"/>
  <c r="S48" i="22"/>
  <c r="S50" i="22"/>
  <c r="S57" i="22"/>
  <c r="S51" i="22"/>
  <c r="S52" i="22"/>
  <c r="S53" i="22"/>
  <c r="S55" i="22"/>
  <c r="S54" i="22"/>
  <c r="S58" i="22"/>
  <c r="S89" i="22"/>
  <c r="S56" i="22"/>
  <c r="S61" i="22"/>
  <c r="S101" i="22"/>
  <c r="S60" i="22"/>
  <c r="S62" i="22"/>
  <c r="S63" i="22"/>
  <c r="S64" i="22"/>
  <c r="S65" i="22"/>
  <c r="S66" i="22"/>
  <c r="S67" i="22"/>
  <c r="S70" i="22"/>
  <c r="S68" i="22"/>
  <c r="S69" i="22"/>
  <c r="S77" i="22"/>
  <c r="S83" i="22"/>
  <c r="S79" i="22"/>
  <c r="S71" i="22"/>
  <c r="S73" i="22"/>
  <c r="S93" i="22"/>
  <c r="S74" i="22"/>
  <c r="S76" i="22"/>
  <c r="S82" i="22"/>
  <c r="S78" i="22"/>
  <c r="S80" i="22"/>
  <c r="S81" i="22"/>
  <c r="S75" i="22"/>
  <c r="S86" i="22"/>
  <c r="S84" i="22"/>
  <c r="S85" i="22"/>
  <c r="S102" i="22"/>
  <c r="S87" i="22"/>
  <c r="S88" i="22"/>
  <c r="S103" i="22"/>
  <c r="S90" i="22"/>
  <c r="S91" i="22"/>
  <c r="S92" i="22"/>
  <c r="S94" i="22"/>
  <c r="S95" i="22"/>
  <c r="S96" i="22"/>
  <c r="S104" i="22"/>
  <c r="S97" i="22"/>
  <c r="S98" i="22"/>
  <c r="S105" i="22"/>
  <c r="S106" i="22"/>
  <c r="S107" i="22"/>
  <c r="S108" i="22"/>
  <c r="S100" i="22"/>
  <c r="S109" i="22"/>
  <c r="S110" i="22"/>
  <c r="S111" i="22"/>
  <c r="S112" i="22"/>
  <c r="S59" i="22"/>
  <c r="S99" i="22"/>
  <c r="S113" i="22"/>
  <c r="S114" i="22"/>
  <c r="S115" i="22"/>
  <c r="S116" i="22"/>
  <c r="S117" i="22"/>
  <c r="S118" i="22"/>
  <c r="R3" i="12"/>
  <c r="R4" i="12"/>
  <c r="R5" i="12"/>
  <c r="R6" i="12"/>
  <c r="R7" i="12"/>
  <c r="R8" i="12"/>
  <c r="R9" i="12"/>
  <c r="R13" i="12"/>
  <c r="R11" i="12"/>
  <c r="R10" i="12"/>
  <c r="R15" i="12"/>
  <c r="R12" i="12"/>
  <c r="R16" i="12"/>
  <c r="R14" i="12"/>
  <c r="R17" i="12"/>
  <c r="R18" i="12"/>
  <c r="R20" i="12"/>
  <c r="R19" i="12"/>
  <c r="R22" i="12"/>
  <c r="R21" i="12"/>
  <c r="R23" i="12"/>
  <c r="R24" i="12"/>
  <c r="R25" i="12"/>
  <c r="R26" i="12"/>
  <c r="R27" i="12"/>
  <c r="R28" i="12"/>
  <c r="R29" i="12"/>
  <c r="R30" i="12"/>
  <c r="R31" i="12"/>
  <c r="R32" i="12"/>
  <c r="R33" i="12"/>
  <c r="R34" i="12"/>
  <c r="R35" i="12"/>
  <c r="R36" i="12"/>
  <c r="R37" i="12"/>
  <c r="W22" i="8"/>
  <c r="W3" i="8"/>
  <c r="W4" i="8"/>
  <c r="W5" i="8"/>
  <c r="W6" i="8"/>
  <c r="W7" i="8"/>
  <c r="W8" i="8"/>
  <c r="W9" i="8"/>
  <c r="W10" i="8"/>
  <c r="W11" i="8"/>
  <c r="W12" i="8"/>
  <c r="W13" i="8"/>
  <c r="W14" i="8"/>
  <c r="W15" i="8"/>
  <c r="W16" i="8"/>
  <c r="W17" i="8"/>
  <c r="W18" i="8"/>
  <c r="W19" i="8"/>
  <c r="W20" i="8"/>
  <c r="W21" i="8"/>
  <c r="W23" i="8"/>
  <c r="W24" i="8"/>
  <c r="W25" i="8"/>
  <c r="W26" i="8"/>
  <c r="W27" i="8"/>
  <c r="W28" i="8"/>
  <c r="W29" i="8"/>
  <c r="W30" i="8"/>
  <c r="W31" i="8"/>
  <c r="W32" i="8"/>
  <c r="W33" i="8"/>
  <c r="W34" i="8"/>
  <c r="W35" i="8"/>
  <c r="W36" i="8"/>
  <c r="W37" i="8"/>
  <c r="W38" i="8"/>
  <c r="W39" i="8"/>
  <c r="W40" i="8"/>
  <c r="W41" i="8"/>
  <c r="W42" i="8"/>
  <c r="W43" i="8"/>
  <c r="W44" i="8"/>
  <c r="W45" i="8"/>
  <c r="W46" i="8"/>
  <c r="W47" i="8"/>
  <c r="W48" i="8"/>
  <c r="W49" i="8"/>
  <c r="W50" i="8"/>
  <c r="W51" i="8"/>
  <c r="W52" i="8"/>
  <c r="W53" i="8"/>
  <c r="W54" i="8"/>
  <c r="W55" i="8"/>
  <c r="W56" i="8"/>
  <c r="W57" i="8"/>
  <c r="W58" i="8"/>
  <c r="W59" i="8"/>
  <c r="W60" i="8"/>
  <c r="W61" i="8"/>
  <c r="W62" i="8"/>
  <c r="W63" i="8"/>
  <c r="W64" i="8"/>
  <c r="W65" i="8"/>
  <c r="W66" i="8"/>
  <c r="W67" i="8"/>
  <c r="W68" i="8"/>
  <c r="W69" i="8"/>
  <c r="W70" i="8"/>
  <c r="W71" i="8"/>
  <c r="W72" i="8"/>
  <c r="W73" i="8"/>
  <c r="W74" i="8"/>
  <c r="W75" i="8"/>
  <c r="W76" i="8"/>
  <c r="W77" i="8"/>
  <c r="W78" i="8"/>
  <c r="W79" i="8"/>
  <c r="W80" i="8"/>
  <c r="W81" i="8"/>
  <c r="W82" i="8"/>
  <c r="W83" i="8"/>
  <c r="W84" i="8"/>
  <c r="W85" i="8"/>
  <c r="W86" i="8"/>
  <c r="W87" i="8"/>
  <c r="W88" i="8"/>
  <c r="W89" i="8"/>
  <c r="W90" i="8"/>
  <c r="W91" i="8"/>
  <c r="W92" i="8"/>
  <c r="W93" i="8"/>
  <c r="W94" i="8"/>
  <c r="W95" i="8"/>
  <c r="W96" i="8"/>
  <c r="W97" i="8"/>
  <c r="W98" i="8"/>
  <c r="W99" i="8"/>
  <c r="W100" i="8"/>
  <c r="W101" i="8"/>
  <c r="W102" i="8"/>
  <c r="W103" i="8"/>
  <c r="W104" i="8"/>
  <c r="W105" i="8"/>
  <c r="W106" i="8"/>
  <c r="W107" i="8"/>
  <c r="W108" i="8"/>
  <c r="W109" i="8"/>
  <c r="W110" i="8"/>
  <c r="W111" i="8"/>
  <c r="W112" i="8"/>
  <c r="W113" i="8"/>
  <c r="W114" i="8"/>
  <c r="W115" i="8"/>
  <c r="W116" i="8"/>
  <c r="W117" i="8"/>
  <c r="W118" i="8"/>
  <c r="W119" i="8"/>
  <c r="B1253" i="4"/>
  <c r="J1253" i="4" s="1"/>
  <c r="G1253" i="4"/>
  <c r="I1253" i="4" s="1"/>
  <c r="N1253" i="4"/>
  <c r="O1253" i="4"/>
  <c r="P1253" i="4"/>
  <c r="Q1253" i="4"/>
  <c r="R1253" i="4"/>
  <c r="T1253" i="4"/>
  <c r="W1253" i="4"/>
  <c r="X1253" i="4"/>
  <c r="B1254" i="4"/>
  <c r="J1254" i="4" s="1"/>
  <c r="G1254" i="4"/>
  <c r="I1254" i="4" s="1"/>
  <c r="N1254" i="4"/>
  <c r="O1254" i="4"/>
  <c r="P1254" i="4"/>
  <c r="Q1254" i="4"/>
  <c r="R1254" i="4"/>
  <c r="T1254" i="4"/>
  <c r="W1254" i="4"/>
  <c r="X1254" i="4"/>
  <c r="B1255" i="4"/>
  <c r="J1255" i="4" s="1"/>
  <c r="G1255" i="4"/>
  <c r="I1255" i="4" s="1"/>
  <c r="N1255" i="4"/>
  <c r="O1255" i="4"/>
  <c r="P1255" i="4"/>
  <c r="Q1255" i="4"/>
  <c r="R1255" i="4"/>
  <c r="T1255" i="4"/>
  <c r="W1255" i="4"/>
  <c r="X1255" i="4"/>
  <c r="B1256" i="4"/>
  <c r="J1256" i="4" s="1"/>
  <c r="G1256" i="4"/>
  <c r="I1256" i="4" s="1"/>
  <c r="N1256" i="4"/>
  <c r="O1256" i="4"/>
  <c r="P1256" i="4"/>
  <c r="Q1256" i="4"/>
  <c r="R1256" i="4"/>
  <c r="T1256" i="4"/>
  <c r="W1256" i="4"/>
  <c r="X1256" i="4"/>
  <c r="B1257" i="4"/>
  <c r="J1257" i="4" s="1"/>
  <c r="G1257" i="4"/>
  <c r="I1257" i="4" s="1"/>
  <c r="N1257" i="4"/>
  <c r="O1257" i="4"/>
  <c r="P1257" i="4"/>
  <c r="Q1257" i="4"/>
  <c r="R1257" i="4"/>
  <c r="T1257" i="4"/>
  <c r="W1257" i="4"/>
  <c r="X1257" i="4"/>
  <c r="B1258" i="4"/>
  <c r="J1258" i="4" s="1"/>
  <c r="G1258" i="4"/>
  <c r="I1258" i="4" s="1"/>
  <c r="N1258" i="4"/>
  <c r="O1258" i="4"/>
  <c r="P1258" i="4"/>
  <c r="Q1258" i="4"/>
  <c r="R1258" i="4"/>
  <c r="T1258" i="4"/>
  <c r="W1258" i="4"/>
  <c r="X1258" i="4"/>
  <c r="B1259" i="4"/>
  <c r="J1259" i="4" s="1"/>
  <c r="G1259" i="4"/>
  <c r="I1259" i="4" s="1"/>
  <c r="N1259" i="4"/>
  <c r="O1259" i="4"/>
  <c r="P1259" i="4"/>
  <c r="Q1259" i="4"/>
  <c r="R1259" i="4"/>
  <c r="T1259" i="4"/>
  <c r="W1259" i="4"/>
  <c r="X1259" i="4"/>
  <c r="B1260" i="4"/>
  <c r="J1260" i="4" s="1"/>
  <c r="G1260" i="4"/>
  <c r="I1260" i="4" s="1"/>
  <c r="N1260" i="4"/>
  <c r="O1260" i="4"/>
  <c r="P1260" i="4"/>
  <c r="Q1260" i="4"/>
  <c r="R1260" i="4"/>
  <c r="T1260" i="4"/>
  <c r="W1260" i="4"/>
  <c r="X1260" i="4"/>
  <c r="B1261" i="4"/>
  <c r="J1261" i="4" s="1"/>
  <c r="G1261" i="4"/>
  <c r="I1261" i="4" s="1"/>
  <c r="N1261" i="4"/>
  <c r="O1261" i="4"/>
  <c r="P1261" i="4"/>
  <c r="Q1261" i="4"/>
  <c r="R1261" i="4"/>
  <c r="T1261" i="4"/>
  <c r="W1261" i="4"/>
  <c r="X1261" i="4"/>
  <c r="B1262" i="4"/>
  <c r="J1262" i="4" s="1"/>
  <c r="G1262" i="4"/>
  <c r="I1262" i="4" s="1"/>
  <c r="N1262" i="4"/>
  <c r="O1262" i="4"/>
  <c r="P1262" i="4"/>
  <c r="Q1262" i="4"/>
  <c r="R1262" i="4"/>
  <c r="T1262" i="4"/>
  <c r="W1262" i="4"/>
  <c r="X1262" i="4"/>
  <c r="B1263" i="4"/>
  <c r="J1263" i="4" s="1"/>
  <c r="G1263" i="4"/>
  <c r="I1263" i="4" s="1"/>
  <c r="N1263" i="4"/>
  <c r="O1263" i="4"/>
  <c r="P1263" i="4"/>
  <c r="Q1263" i="4"/>
  <c r="R1263" i="4"/>
  <c r="T1263" i="4"/>
  <c r="W1263" i="4"/>
  <c r="X1263" i="4"/>
  <c r="B1264" i="4"/>
  <c r="J1264" i="4" s="1"/>
  <c r="K1264" i="4" s="1"/>
  <c r="Z1264" i="4" s="1"/>
  <c r="G1264" i="4"/>
  <c r="I1264" i="4" s="1"/>
  <c r="N1264" i="4"/>
  <c r="O1264" i="4"/>
  <c r="P1264" i="4"/>
  <c r="Q1264" i="4"/>
  <c r="R1264" i="4"/>
  <c r="S1264" i="4"/>
  <c r="T1264" i="4"/>
  <c r="W1264" i="4"/>
  <c r="X1264" i="4"/>
  <c r="B1265" i="4"/>
  <c r="J1265" i="4" s="1"/>
  <c r="G1265" i="4"/>
  <c r="I1265" i="4" s="1"/>
  <c r="N1265" i="4"/>
  <c r="O1265" i="4"/>
  <c r="P1265" i="4"/>
  <c r="Q1265" i="4"/>
  <c r="R1265" i="4"/>
  <c r="S1265" i="4"/>
  <c r="T1265" i="4"/>
  <c r="W1265" i="4"/>
  <c r="X1265" i="4"/>
  <c r="B1266" i="4"/>
  <c r="J1266" i="4" s="1"/>
  <c r="G1266" i="4"/>
  <c r="I1266" i="4" s="1"/>
  <c r="N1266" i="4"/>
  <c r="O1266" i="4"/>
  <c r="P1266" i="4"/>
  <c r="Q1266" i="4"/>
  <c r="R1266" i="4"/>
  <c r="S1266" i="4"/>
  <c r="T1266" i="4"/>
  <c r="W1266" i="4"/>
  <c r="X1266" i="4"/>
  <c r="B1267" i="4"/>
  <c r="J1267" i="4" s="1"/>
  <c r="K1267" i="4" s="1"/>
  <c r="Z1267" i="4" s="1"/>
  <c r="G1267" i="4"/>
  <c r="I1267" i="4" s="1"/>
  <c r="N1267" i="4"/>
  <c r="O1267" i="4"/>
  <c r="P1267" i="4"/>
  <c r="Q1267" i="4"/>
  <c r="R1267" i="4"/>
  <c r="S1267" i="4"/>
  <c r="T1267" i="4"/>
  <c r="W1267" i="4"/>
  <c r="X1267" i="4"/>
  <c r="B1268" i="4"/>
  <c r="J1268" i="4" s="1"/>
  <c r="G1268" i="4"/>
  <c r="I1268" i="4" s="1"/>
  <c r="N1268" i="4"/>
  <c r="O1268" i="4"/>
  <c r="P1268" i="4"/>
  <c r="Q1268" i="4"/>
  <c r="R1268" i="4"/>
  <c r="S1268" i="4"/>
  <c r="T1268" i="4"/>
  <c r="W1268" i="4"/>
  <c r="X1268" i="4"/>
  <c r="B1269" i="4"/>
  <c r="J1269" i="4" s="1"/>
  <c r="G1269" i="4"/>
  <c r="I1269" i="4" s="1"/>
  <c r="N1269" i="4"/>
  <c r="O1269" i="4"/>
  <c r="P1269" i="4"/>
  <c r="Q1269" i="4"/>
  <c r="R1269" i="4"/>
  <c r="S1269" i="4"/>
  <c r="T1269" i="4"/>
  <c r="W1269" i="4"/>
  <c r="X1269" i="4"/>
  <c r="B1270" i="4"/>
  <c r="J1270" i="4" s="1"/>
  <c r="K1270" i="4" s="1"/>
  <c r="Z1270" i="4" s="1"/>
  <c r="G1270" i="4"/>
  <c r="I1270" i="4"/>
  <c r="N1270" i="4"/>
  <c r="O1270" i="4"/>
  <c r="P1270" i="4"/>
  <c r="Q1270" i="4"/>
  <c r="R1270" i="4"/>
  <c r="S1270" i="4"/>
  <c r="T1270" i="4"/>
  <c r="W1270" i="4"/>
  <c r="X1270" i="4"/>
  <c r="S1263" i="4" l="1"/>
  <c r="S1254" i="4"/>
  <c r="S1262" i="4"/>
  <c r="S1259" i="4"/>
  <c r="S1261" i="4"/>
  <c r="S1258" i="4"/>
  <c r="S1255" i="4"/>
  <c r="S1256" i="4"/>
  <c r="S1257" i="4"/>
  <c r="S1253" i="4"/>
  <c r="S1260" i="4"/>
  <c r="K1261" i="4"/>
  <c r="Z1261" i="4" s="1"/>
  <c r="K1258" i="4"/>
  <c r="Z1258" i="4" s="1"/>
  <c r="K1255" i="4"/>
  <c r="Z1255" i="4" s="1"/>
  <c r="K1268" i="4"/>
  <c r="Z1268" i="4" s="1"/>
  <c r="K1265" i="4"/>
  <c r="Z1265" i="4" s="1"/>
  <c r="K1262" i="4"/>
  <c r="Z1262" i="4" s="1"/>
  <c r="K1259" i="4"/>
  <c r="Z1259" i="4" s="1"/>
  <c r="K1256" i="4"/>
  <c r="Z1256" i="4" s="1"/>
  <c r="K1254" i="4"/>
  <c r="Z1254" i="4" s="1"/>
  <c r="K1253" i="4"/>
  <c r="Z1253" i="4" s="1"/>
  <c r="U1270" i="4"/>
  <c r="K1269" i="4"/>
  <c r="Z1269" i="4" s="1"/>
  <c r="U1267" i="4"/>
  <c r="K1266" i="4"/>
  <c r="Z1266" i="4" s="1"/>
  <c r="U1264" i="4"/>
  <c r="K1263" i="4"/>
  <c r="Z1263" i="4" s="1"/>
  <c r="K1260" i="4"/>
  <c r="Z1260" i="4" s="1"/>
  <c r="K1257" i="4"/>
  <c r="Z1257" i="4" s="1"/>
  <c r="U1261" i="4" l="1"/>
  <c r="U1258" i="4"/>
  <c r="U1255" i="4"/>
  <c r="U1254" i="4"/>
  <c r="U1259" i="4"/>
  <c r="U1262" i="4"/>
  <c r="U1265" i="4"/>
  <c r="U1253" i="4"/>
  <c r="U1268" i="4"/>
  <c r="U1257" i="4"/>
  <c r="U1260" i="4"/>
  <c r="U1266" i="4"/>
  <c r="U1256" i="4"/>
  <c r="U1269" i="4"/>
  <c r="U1263" i="4"/>
  <c r="N1242" i="4" l="1"/>
  <c r="B1242" i="4"/>
  <c r="J1242" i="4" s="1"/>
  <c r="G1242" i="4"/>
  <c r="I1242" i="4" s="1"/>
  <c r="O1242" i="4"/>
  <c r="P1242" i="4"/>
  <c r="Q1242" i="4"/>
  <c r="R1242" i="4"/>
  <c r="T1242" i="4"/>
  <c r="W1242" i="4"/>
  <c r="X1242" i="4"/>
  <c r="B1243" i="4"/>
  <c r="J1243" i="4" s="1"/>
  <c r="G1243" i="4"/>
  <c r="I1243" i="4" s="1"/>
  <c r="N1243" i="4"/>
  <c r="O1243" i="4"/>
  <c r="P1243" i="4"/>
  <c r="Q1243" i="4"/>
  <c r="R1243" i="4"/>
  <c r="T1243" i="4"/>
  <c r="W1243" i="4"/>
  <c r="X1243" i="4"/>
  <c r="B1244" i="4"/>
  <c r="J1244" i="4" s="1"/>
  <c r="G1244" i="4"/>
  <c r="I1244" i="4" s="1"/>
  <c r="N1244" i="4"/>
  <c r="O1244" i="4"/>
  <c r="P1244" i="4"/>
  <c r="Q1244" i="4"/>
  <c r="R1244" i="4"/>
  <c r="T1244" i="4"/>
  <c r="W1244" i="4"/>
  <c r="X1244" i="4"/>
  <c r="B1245" i="4"/>
  <c r="J1245" i="4" s="1"/>
  <c r="G1245" i="4"/>
  <c r="I1245" i="4" s="1"/>
  <c r="N1245" i="4"/>
  <c r="O1245" i="4"/>
  <c r="P1245" i="4"/>
  <c r="Q1245" i="4"/>
  <c r="R1245" i="4"/>
  <c r="T1245" i="4"/>
  <c r="W1245" i="4"/>
  <c r="X1245" i="4"/>
  <c r="B1246" i="4"/>
  <c r="J1246" i="4" s="1"/>
  <c r="G1246" i="4"/>
  <c r="I1246" i="4" s="1"/>
  <c r="N1246" i="4"/>
  <c r="O1246" i="4"/>
  <c r="P1246" i="4"/>
  <c r="Q1246" i="4"/>
  <c r="R1246" i="4"/>
  <c r="T1246" i="4"/>
  <c r="W1246" i="4"/>
  <c r="X1246" i="4"/>
  <c r="B1247" i="4"/>
  <c r="J1247" i="4" s="1"/>
  <c r="G1247" i="4"/>
  <c r="I1247" i="4" s="1"/>
  <c r="N1247" i="4"/>
  <c r="O1247" i="4"/>
  <c r="P1247" i="4"/>
  <c r="Q1247" i="4"/>
  <c r="R1247" i="4"/>
  <c r="T1247" i="4"/>
  <c r="W1247" i="4"/>
  <c r="X1247" i="4"/>
  <c r="B1248" i="4"/>
  <c r="J1248" i="4" s="1"/>
  <c r="G1248" i="4"/>
  <c r="I1248" i="4" s="1"/>
  <c r="N1248" i="4"/>
  <c r="O1248" i="4"/>
  <c r="P1248" i="4"/>
  <c r="Q1248" i="4"/>
  <c r="R1248" i="4"/>
  <c r="T1248" i="4"/>
  <c r="W1248" i="4"/>
  <c r="X1248" i="4"/>
  <c r="B1249" i="4"/>
  <c r="J1249" i="4" s="1"/>
  <c r="G1249" i="4"/>
  <c r="I1249" i="4" s="1"/>
  <c r="N1249" i="4"/>
  <c r="O1249" i="4"/>
  <c r="P1249" i="4"/>
  <c r="Q1249" i="4"/>
  <c r="R1249" i="4"/>
  <c r="T1249" i="4"/>
  <c r="W1249" i="4"/>
  <c r="X1249" i="4"/>
  <c r="B1250" i="4"/>
  <c r="J1250" i="4" s="1"/>
  <c r="G1250" i="4"/>
  <c r="I1250" i="4" s="1"/>
  <c r="N1250" i="4"/>
  <c r="O1250" i="4"/>
  <c r="P1250" i="4"/>
  <c r="Q1250" i="4"/>
  <c r="R1250" i="4"/>
  <c r="T1250" i="4"/>
  <c r="W1250" i="4"/>
  <c r="X1250" i="4"/>
  <c r="B1251" i="4"/>
  <c r="J1251" i="4" s="1"/>
  <c r="G1251" i="4"/>
  <c r="I1251" i="4" s="1"/>
  <c r="N1251" i="4"/>
  <c r="O1251" i="4"/>
  <c r="P1251" i="4"/>
  <c r="Q1251" i="4"/>
  <c r="R1251" i="4"/>
  <c r="T1251" i="4"/>
  <c r="W1251" i="4"/>
  <c r="X1251" i="4"/>
  <c r="B1252" i="4"/>
  <c r="J1252" i="4" s="1"/>
  <c r="G1252" i="4"/>
  <c r="I1252" i="4" s="1"/>
  <c r="N1252" i="4"/>
  <c r="O1252" i="4"/>
  <c r="P1252" i="4"/>
  <c r="Q1252" i="4"/>
  <c r="R1252" i="4"/>
  <c r="T1252" i="4"/>
  <c r="W1252" i="4"/>
  <c r="X1252" i="4"/>
  <c r="B1226" i="4"/>
  <c r="J1226" i="4" s="1"/>
  <c r="G1226" i="4"/>
  <c r="I1226" i="4" s="1"/>
  <c r="N1226" i="4"/>
  <c r="O1226" i="4"/>
  <c r="P1226" i="4"/>
  <c r="Q1226" i="4"/>
  <c r="R1226" i="4"/>
  <c r="T1226" i="4"/>
  <c r="W1226" i="4"/>
  <c r="X1226" i="4"/>
  <c r="B1227" i="4"/>
  <c r="J1227" i="4" s="1"/>
  <c r="G1227" i="4"/>
  <c r="I1227" i="4" s="1"/>
  <c r="N1227" i="4"/>
  <c r="O1227" i="4"/>
  <c r="P1227" i="4"/>
  <c r="Q1227" i="4"/>
  <c r="R1227" i="4"/>
  <c r="T1227" i="4"/>
  <c r="W1227" i="4"/>
  <c r="X1227" i="4"/>
  <c r="B1228" i="4"/>
  <c r="J1228" i="4" s="1"/>
  <c r="G1228" i="4"/>
  <c r="I1228" i="4" s="1"/>
  <c r="N1228" i="4"/>
  <c r="O1228" i="4"/>
  <c r="P1228" i="4"/>
  <c r="Q1228" i="4"/>
  <c r="T1228" i="4"/>
  <c r="W1228" i="4"/>
  <c r="X1228" i="4"/>
  <c r="B1229" i="4"/>
  <c r="J1229" i="4" s="1"/>
  <c r="G1229" i="4"/>
  <c r="I1229" i="4" s="1"/>
  <c r="N1229" i="4"/>
  <c r="O1229" i="4"/>
  <c r="P1229" i="4"/>
  <c r="Q1229" i="4"/>
  <c r="T1229" i="4"/>
  <c r="W1229" i="4"/>
  <c r="X1229" i="4"/>
  <c r="B1230" i="4"/>
  <c r="J1230" i="4" s="1"/>
  <c r="G1230" i="4"/>
  <c r="I1230" i="4" s="1"/>
  <c r="N1230" i="4"/>
  <c r="O1230" i="4"/>
  <c r="P1230" i="4"/>
  <c r="Q1230" i="4"/>
  <c r="T1230" i="4"/>
  <c r="W1230" i="4"/>
  <c r="X1230" i="4"/>
  <c r="B1231" i="4"/>
  <c r="J1231" i="4" s="1"/>
  <c r="G1231" i="4"/>
  <c r="I1231" i="4" s="1"/>
  <c r="N1231" i="4"/>
  <c r="O1231" i="4"/>
  <c r="P1231" i="4"/>
  <c r="Q1231" i="4"/>
  <c r="T1231" i="4"/>
  <c r="W1231" i="4"/>
  <c r="X1231" i="4"/>
  <c r="B1232" i="4"/>
  <c r="J1232" i="4" s="1"/>
  <c r="G1232" i="4"/>
  <c r="I1232" i="4" s="1"/>
  <c r="N1232" i="4"/>
  <c r="O1232" i="4"/>
  <c r="P1232" i="4"/>
  <c r="Q1232" i="4"/>
  <c r="T1232" i="4"/>
  <c r="W1232" i="4"/>
  <c r="X1232" i="4"/>
  <c r="B1233" i="4"/>
  <c r="J1233" i="4" s="1"/>
  <c r="G1233" i="4"/>
  <c r="I1233" i="4" s="1"/>
  <c r="N1233" i="4"/>
  <c r="O1233" i="4"/>
  <c r="P1233" i="4"/>
  <c r="Q1233" i="4"/>
  <c r="T1233" i="4"/>
  <c r="W1233" i="4"/>
  <c r="X1233" i="4"/>
  <c r="B1234" i="4"/>
  <c r="J1234" i="4" s="1"/>
  <c r="G1234" i="4"/>
  <c r="I1234" i="4" s="1"/>
  <c r="N1234" i="4"/>
  <c r="O1234" i="4"/>
  <c r="P1234" i="4"/>
  <c r="Q1234" i="4"/>
  <c r="R1234" i="4"/>
  <c r="T1234" i="4"/>
  <c r="W1234" i="4"/>
  <c r="X1234" i="4"/>
  <c r="B1235" i="4"/>
  <c r="J1235" i="4" s="1"/>
  <c r="G1235" i="4"/>
  <c r="I1235" i="4" s="1"/>
  <c r="N1235" i="4"/>
  <c r="O1235" i="4"/>
  <c r="P1235" i="4"/>
  <c r="Q1235" i="4"/>
  <c r="T1235" i="4"/>
  <c r="W1235" i="4"/>
  <c r="X1235" i="4"/>
  <c r="B1236" i="4"/>
  <c r="J1236" i="4" s="1"/>
  <c r="G1236" i="4"/>
  <c r="I1236" i="4" s="1"/>
  <c r="N1236" i="4"/>
  <c r="O1236" i="4"/>
  <c r="P1236" i="4"/>
  <c r="Q1236" i="4"/>
  <c r="R1236" i="4"/>
  <c r="T1236" i="4"/>
  <c r="W1236" i="4"/>
  <c r="X1236" i="4"/>
  <c r="B1237" i="4"/>
  <c r="J1237" i="4" s="1"/>
  <c r="G1237" i="4"/>
  <c r="I1237" i="4" s="1"/>
  <c r="N1237" i="4"/>
  <c r="O1237" i="4"/>
  <c r="P1237" i="4"/>
  <c r="Q1237" i="4"/>
  <c r="R1237" i="4"/>
  <c r="T1237" i="4"/>
  <c r="W1237" i="4"/>
  <c r="X1237" i="4"/>
  <c r="B1238" i="4"/>
  <c r="J1238" i="4" s="1"/>
  <c r="G1238" i="4"/>
  <c r="I1238" i="4" s="1"/>
  <c r="N1238" i="4"/>
  <c r="O1238" i="4"/>
  <c r="P1238" i="4"/>
  <c r="Q1238" i="4"/>
  <c r="R1238" i="4"/>
  <c r="T1238" i="4"/>
  <c r="W1238" i="4"/>
  <c r="X1238" i="4"/>
  <c r="B1239" i="4"/>
  <c r="J1239" i="4" s="1"/>
  <c r="G1239" i="4"/>
  <c r="I1239" i="4" s="1"/>
  <c r="N1239" i="4"/>
  <c r="O1239" i="4"/>
  <c r="P1239" i="4"/>
  <c r="Q1239" i="4"/>
  <c r="R1239" i="4"/>
  <c r="T1239" i="4"/>
  <c r="W1239" i="4"/>
  <c r="X1239" i="4"/>
  <c r="B1240" i="4"/>
  <c r="J1240" i="4" s="1"/>
  <c r="G1240" i="4"/>
  <c r="I1240" i="4" s="1"/>
  <c r="N1240" i="4"/>
  <c r="O1240" i="4"/>
  <c r="P1240" i="4"/>
  <c r="Q1240" i="4"/>
  <c r="T1240" i="4"/>
  <c r="W1240" i="4"/>
  <c r="X1240" i="4"/>
  <c r="B1241" i="4"/>
  <c r="J1241" i="4" s="1"/>
  <c r="G1241" i="4"/>
  <c r="I1241" i="4" s="1"/>
  <c r="N1241" i="4"/>
  <c r="O1241" i="4"/>
  <c r="P1241" i="4"/>
  <c r="Q1241" i="4"/>
  <c r="R1241" i="4"/>
  <c r="T1241" i="4"/>
  <c r="W1241" i="4"/>
  <c r="X1241" i="4"/>
  <c r="X1111" i="4"/>
  <c r="W1111" i="4"/>
  <c r="T1111" i="4"/>
  <c r="R1111" i="4"/>
  <c r="Q1111" i="4"/>
  <c r="P1111" i="4"/>
  <c r="O1111" i="4"/>
  <c r="N1111" i="4"/>
  <c r="G1111" i="4"/>
  <c r="I1111" i="4" s="1"/>
  <c r="B1111" i="4"/>
  <c r="J1111" i="4" s="1"/>
  <c r="Q1170" i="4"/>
  <c r="H1141" i="4"/>
  <c r="D1141" i="4"/>
  <c r="X1155" i="4"/>
  <c r="W1155" i="4"/>
  <c r="T1155" i="4"/>
  <c r="R1155" i="4"/>
  <c r="Q1155" i="4"/>
  <c r="P1155" i="4"/>
  <c r="O1155" i="4"/>
  <c r="N1155" i="4"/>
  <c r="G1155" i="4"/>
  <c r="I1155" i="4" s="1"/>
  <c r="B1155" i="4"/>
  <c r="J1155" i="4" s="1"/>
  <c r="X1148" i="4"/>
  <c r="W1148" i="4"/>
  <c r="T1148" i="4"/>
  <c r="Q1148" i="4"/>
  <c r="P1148" i="4"/>
  <c r="O1148" i="4"/>
  <c r="N1148" i="4"/>
  <c r="G1148" i="4"/>
  <c r="I1148" i="4" s="1"/>
  <c r="B1148" i="4"/>
  <c r="J1148" i="4" s="1"/>
  <c r="X1172" i="4"/>
  <c r="W1172" i="4"/>
  <c r="T1172" i="4"/>
  <c r="R1172" i="4"/>
  <c r="Q1172" i="4"/>
  <c r="P1172" i="4"/>
  <c r="O1172" i="4"/>
  <c r="N1172" i="4"/>
  <c r="G1172" i="4"/>
  <c r="I1172" i="4" s="1"/>
  <c r="B1172" i="4"/>
  <c r="J1172" i="4" s="1"/>
  <c r="AF118" i="8"/>
  <c r="AE118" i="8"/>
  <c r="U118" i="8"/>
  <c r="T119" i="8"/>
  <c r="Q119" i="8"/>
  <c r="P119" i="8"/>
  <c r="O119" i="8"/>
  <c r="N119" i="8"/>
  <c r="M119" i="8"/>
  <c r="L119" i="8"/>
  <c r="K119" i="8"/>
  <c r="J119" i="8"/>
  <c r="I119" i="8"/>
  <c r="H119" i="8"/>
  <c r="G119" i="8"/>
  <c r="F119" i="8"/>
  <c r="E119" i="8"/>
  <c r="C119" i="8"/>
  <c r="T79" i="13"/>
  <c r="O79" i="13"/>
  <c r="N79" i="13"/>
  <c r="M79" i="13"/>
  <c r="L79" i="13"/>
  <c r="K79" i="13"/>
  <c r="J79" i="13"/>
  <c r="I79" i="13"/>
  <c r="H79" i="13"/>
  <c r="G79" i="13"/>
  <c r="F79" i="13"/>
  <c r="E79" i="13"/>
  <c r="D79" i="13"/>
  <c r="C79" i="13"/>
  <c r="G1157" i="4"/>
  <c r="B1184" i="4"/>
  <c r="B1156" i="4"/>
  <c r="J1156" i="4" s="1"/>
  <c r="G1149" i="4"/>
  <c r="X1110" i="4"/>
  <c r="W1110" i="4"/>
  <c r="T1110" i="4"/>
  <c r="R1110" i="4"/>
  <c r="Q1110" i="4"/>
  <c r="P1110" i="4"/>
  <c r="O1110" i="4"/>
  <c r="N1110" i="4"/>
  <c r="G1110" i="4"/>
  <c r="I1110" i="4" s="1"/>
  <c r="B1110" i="4"/>
  <c r="J1110" i="4" s="1"/>
  <c r="X1112" i="4"/>
  <c r="W1112" i="4"/>
  <c r="T1112" i="4"/>
  <c r="R1112" i="4"/>
  <c r="Q1112" i="4"/>
  <c r="P1112" i="4"/>
  <c r="O1112" i="4"/>
  <c r="N1112" i="4"/>
  <c r="G1112" i="4"/>
  <c r="I1112" i="4" s="1"/>
  <c r="B1112" i="4"/>
  <c r="J1112" i="4" s="1"/>
  <c r="X1109" i="4"/>
  <c r="W1109" i="4"/>
  <c r="T1109" i="4"/>
  <c r="S1109" i="4"/>
  <c r="R1109" i="4"/>
  <c r="Q1109" i="4"/>
  <c r="P1109" i="4"/>
  <c r="O1109" i="4"/>
  <c r="N1109" i="4"/>
  <c r="G1109" i="4"/>
  <c r="I1109" i="4" s="1"/>
  <c r="B1109" i="4"/>
  <c r="J1109" i="4" s="1"/>
  <c r="C3" i="22"/>
  <c r="D3" i="22"/>
  <c r="E3" i="22"/>
  <c r="F3" i="22"/>
  <c r="G3" i="22"/>
  <c r="H3" i="22"/>
  <c r="I3" i="22"/>
  <c r="J3" i="22"/>
  <c r="K3" i="22"/>
  <c r="L3" i="22"/>
  <c r="M3" i="22"/>
  <c r="N3" i="22"/>
  <c r="O3" i="22"/>
  <c r="P3" i="22"/>
  <c r="Q3" i="22"/>
  <c r="C4" i="22"/>
  <c r="D4" i="22"/>
  <c r="E4" i="22"/>
  <c r="F4" i="22"/>
  <c r="G4" i="22"/>
  <c r="H4" i="22"/>
  <c r="I4" i="22"/>
  <c r="J4" i="22"/>
  <c r="K4" i="22"/>
  <c r="L4" i="22"/>
  <c r="M4" i="22"/>
  <c r="N4" i="22"/>
  <c r="O4" i="22"/>
  <c r="P4" i="22"/>
  <c r="Q4" i="22"/>
  <c r="C5" i="22"/>
  <c r="D5" i="22"/>
  <c r="E5" i="22"/>
  <c r="F5" i="22"/>
  <c r="G5" i="22"/>
  <c r="H5" i="22"/>
  <c r="I5" i="22"/>
  <c r="J5" i="22"/>
  <c r="K5" i="22"/>
  <c r="L5" i="22"/>
  <c r="M5" i="22"/>
  <c r="N5" i="22"/>
  <c r="O5" i="22"/>
  <c r="P5" i="22"/>
  <c r="Q5" i="22"/>
  <c r="C6" i="22"/>
  <c r="D6" i="22"/>
  <c r="E6" i="22"/>
  <c r="F6" i="22"/>
  <c r="G6" i="22"/>
  <c r="H6" i="22"/>
  <c r="I6" i="22"/>
  <c r="J6" i="22"/>
  <c r="K6" i="22"/>
  <c r="L6" i="22"/>
  <c r="M6" i="22"/>
  <c r="N6" i="22"/>
  <c r="O6" i="22"/>
  <c r="P6" i="22"/>
  <c r="Q6" i="22"/>
  <c r="C7" i="22"/>
  <c r="D7" i="22"/>
  <c r="E7" i="22"/>
  <c r="F7" i="22"/>
  <c r="G7" i="22"/>
  <c r="H7" i="22"/>
  <c r="I7" i="22"/>
  <c r="J7" i="22"/>
  <c r="K7" i="22"/>
  <c r="L7" i="22"/>
  <c r="M7" i="22"/>
  <c r="N7" i="22"/>
  <c r="O7" i="22"/>
  <c r="P7" i="22"/>
  <c r="Q7" i="22"/>
  <c r="C8" i="22"/>
  <c r="D8" i="22"/>
  <c r="E8" i="22"/>
  <c r="F8" i="22"/>
  <c r="G8" i="22"/>
  <c r="H8" i="22"/>
  <c r="I8" i="22"/>
  <c r="J8" i="22"/>
  <c r="K8" i="22"/>
  <c r="L8" i="22"/>
  <c r="M8" i="22"/>
  <c r="N8" i="22"/>
  <c r="O8" i="22"/>
  <c r="P8" i="22"/>
  <c r="Q8" i="22"/>
  <c r="C9" i="22"/>
  <c r="D9" i="22"/>
  <c r="E9" i="22"/>
  <c r="F9" i="22"/>
  <c r="G9" i="22"/>
  <c r="H9" i="22"/>
  <c r="I9" i="22"/>
  <c r="J9" i="22"/>
  <c r="K9" i="22"/>
  <c r="L9" i="22"/>
  <c r="M9" i="22"/>
  <c r="N9" i="22"/>
  <c r="O9" i="22"/>
  <c r="P9" i="22"/>
  <c r="Q9" i="22"/>
  <c r="C10" i="22"/>
  <c r="D10" i="22"/>
  <c r="E10" i="22"/>
  <c r="F10" i="22"/>
  <c r="G10" i="22"/>
  <c r="H10" i="22"/>
  <c r="I10" i="22"/>
  <c r="J10" i="22"/>
  <c r="K10" i="22"/>
  <c r="L10" i="22"/>
  <c r="M10" i="22"/>
  <c r="N10" i="22"/>
  <c r="O10" i="22"/>
  <c r="P10" i="22"/>
  <c r="Q10" i="22"/>
  <c r="C11" i="22"/>
  <c r="D11" i="22"/>
  <c r="E11" i="22"/>
  <c r="F11" i="22"/>
  <c r="G11" i="22"/>
  <c r="H11" i="22"/>
  <c r="I11" i="22"/>
  <c r="J11" i="22"/>
  <c r="K11" i="22"/>
  <c r="L11" i="22"/>
  <c r="M11" i="22"/>
  <c r="N11" i="22"/>
  <c r="O11" i="22"/>
  <c r="P11" i="22"/>
  <c r="Q11" i="22"/>
  <c r="C12" i="22"/>
  <c r="D12" i="22"/>
  <c r="E12" i="22"/>
  <c r="F12" i="22"/>
  <c r="G12" i="22"/>
  <c r="H12" i="22"/>
  <c r="I12" i="22"/>
  <c r="J12" i="22"/>
  <c r="K12" i="22"/>
  <c r="L12" i="22"/>
  <c r="M12" i="22"/>
  <c r="N12" i="22"/>
  <c r="O12" i="22"/>
  <c r="P12" i="22"/>
  <c r="Q12" i="22"/>
  <c r="C13" i="22"/>
  <c r="D13" i="22"/>
  <c r="E13" i="22"/>
  <c r="F13" i="22"/>
  <c r="G13" i="22"/>
  <c r="H13" i="22"/>
  <c r="I13" i="22"/>
  <c r="J13" i="22"/>
  <c r="K13" i="22"/>
  <c r="L13" i="22"/>
  <c r="M13" i="22"/>
  <c r="N13" i="22"/>
  <c r="O13" i="22"/>
  <c r="P13" i="22"/>
  <c r="Q13" i="22"/>
  <c r="C14" i="22"/>
  <c r="D14" i="22"/>
  <c r="E14" i="22"/>
  <c r="F14" i="22"/>
  <c r="G14" i="22"/>
  <c r="H14" i="22"/>
  <c r="I14" i="22"/>
  <c r="J14" i="22"/>
  <c r="K14" i="22"/>
  <c r="L14" i="22"/>
  <c r="M14" i="22"/>
  <c r="N14" i="22"/>
  <c r="O14" i="22"/>
  <c r="P14" i="22"/>
  <c r="Q14" i="22"/>
  <c r="C15" i="22"/>
  <c r="D15" i="22"/>
  <c r="E15" i="22"/>
  <c r="F15" i="22"/>
  <c r="G15" i="22"/>
  <c r="H15" i="22"/>
  <c r="I15" i="22"/>
  <c r="J15" i="22"/>
  <c r="K15" i="22"/>
  <c r="L15" i="22"/>
  <c r="M15" i="22"/>
  <c r="N15" i="22"/>
  <c r="O15" i="22"/>
  <c r="P15" i="22"/>
  <c r="Q15" i="22"/>
  <c r="C16" i="22"/>
  <c r="D16" i="22"/>
  <c r="E16" i="22"/>
  <c r="F16" i="22"/>
  <c r="G16" i="22"/>
  <c r="H16" i="22"/>
  <c r="I16" i="22"/>
  <c r="J16" i="22"/>
  <c r="K16" i="22"/>
  <c r="L16" i="22"/>
  <c r="M16" i="22"/>
  <c r="N16" i="22"/>
  <c r="O16" i="22"/>
  <c r="P16" i="22"/>
  <c r="Q16" i="22"/>
  <c r="C17" i="22"/>
  <c r="D17" i="22"/>
  <c r="E17" i="22"/>
  <c r="F17" i="22"/>
  <c r="G17" i="22"/>
  <c r="H17" i="22"/>
  <c r="I17" i="22"/>
  <c r="J17" i="22"/>
  <c r="K17" i="22"/>
  <c r="L17" i="22"/>
  <c r="M17" i="22"/>
  <c r="N17" i="22"/>
  <c r="O17" i="22"/>
  <c r="P17" i="22"/>
  <c r="Q17" i="22"/>
  <c r="C18" i="22"/>
  <c r="D18" i="22"/>
  <c r="E18" i="22"/>
  <c r="F18" i="22"/>
  <c r="G18" i="22"/>
  <c r="H18" i="22"/>
  <c r="I18" i="22"/>
  <c r="J18" i="22"/>
  <c r="K18" i="22"/>
  <c r="L18" i="22"/>
  <c r="M18" i="22"/>
  <c r="N18" i="22"/>
  <c r="O18" i="22"/>
  <c r="P18" i="22"/>
  <c r="Q18" i="22"/>
  <c r="C19" i="22"/>
  <c r="D19" i="22"/>
  <c r="E19" i="22"/>
  <c r="F19" i="22"/>
  <c r="G19" i="22"/>
  <c r="H19" i="22"/>
  <c r="I19" i="22"/>
  <c r="J19" i="22"/>
  <c r="K19" i="22"/>
  <c r="L19" i="22"/>
  <c r="M19" i="22"/>
  <c r="N19" i="22"/>
  <c r="O19" i="22"/>
  <c r="P19" i="22"/>
  <c r="Q19" i="22"/>
  <c r="C20" i="22"/>
  <c r="D20" i="22"/>
  <c r="E20" i="22"/>
  <c r="F20" i="22"/>
  <c r="G20" i="22"/>
  <c r="H20" i="22"/>
  <c r="I20" i="22"/>
  <c r="J20" i="22"/>
  <c r="K20" i="22"/>
  <c r="L20" i="22"/>
  <c r="M20" i="22"/>
  <c r="N20" i="22"/>
  <c r="O20" i="22"/>
  <c r="P20" i="22"/>
  <c r="Q20" i="22"/>
  <c r="C21" i="22"/>
  <c r="D21" i="22"/>
  <c r="E21" i="22"/>
  <c r="F21" i="22"/>
  <c r="G21" i="22"/>
  <c r="H21" i="22"/>
  <c r="I21" i="22"/>
  <c r="J21" i="22"/>
  <c r="K21" i="22"/>
  <c r="L21" i="22"/>
  <c r="M21" i="22"/>
  <c r="N21" i="22"/>
  <c r="O21" i="22"/>
  <c r="P21" i="22"/>
  <c r="Q21" i="22"/>
  <c r="C22" i="22"/>
  <c r="D22" i="22"/>
  <c r="E22" i="22"/>
  <c r="F22" i="22"/>
  <c r="G22" i="22"/>
  <c r="H22" i="22"/>
  <c r="I22" i="22"/>
  <c r="J22" i="22"/>
  <c r="K22" i="22"/>
  <c r="L22" i="22"/>
  <c r="M22" i="22"/>
  <c r="N22" i="22"/>
  <c r="O22" i="22"/>
  <c r="P22" i="22"/>
  <c r="Q22" i="22"/>
  <c r="C23" i="22"/>
  <c r="D23" i="22"/>
  <c r="E23" i="22"/>
  <c r="F23" i="22"/>
  <c r="G23" i="22"/>
  <c r="H23" i="22"/>
  <c r="I23" i="22"/>
  <c r="J23" i="22"/>
  <c r="K23" i="22"/>
  <c r="L23" i="22"/>
  <c r="M23" i="22"/>
  <c r="N23" i="22"/>
  <c r="O23" i="22"/>
  <c r="P23" i="22"/>
  <c r="Q23" i="22"/>
  <c r="C24" i="22"/>
  <c r="D24" i="22"/>
  <c r="E24" i="22"/>
  <c r="F24" i="22"/>
  <c r="G24" i="22"/>
  <c r="H24" i="22"/>
  <c r="I24" i="22"/>
  <c r="J24" i="22"/>
  <c r="K24" i="22"/>
  <c r="L24" i="22"/>
  <c r="M24" i="22"/>
  <c r="N24" i="22"/>
  <c r="O24" i="22"/>
  <c r="P24" i="22"/>
  <c r="Q24" i="22"/>
  <c r="C25" i="22"/>
  <c r="D25" i="22"/>
  <c r="E25" i="22"/>
  <c r="F25" i="22"/>
  <c r="G25" i="22"/>
  <c r="H25" i="22"/>
  <c r="I25" i="22"/>
  <c r="J25" i="22"/>
  <c r="K25" i="22"/>
  <c r="L25" i="22"/>
  <c r="M25" i="22"/>
  <c r="N25" i="22"/>
  <c r="O25" i="22"/>
  <c r="P25" i="22"/>
  <c r="Q25" i="22"/>
  <c r="C26" i="22"/>
  <c r="D26" i="22"/>
  <c r="E26" i="22"/>
  <c r="F26" i="22"/>
  <c r="G26" i="22"/>
  <c r="H26" i="22"/>
  <c r="I26" i="22"/>
  <c r="J26" i="22"/>
  <c r="K26" i="22"/>
  <c r="L26" i="22"/>
  <c r="M26" i="22"/>
  <c r="N26" i="22"/>
  <c r="O26" i="22"/>
  <c r="P26" i="22"/>
  <c r="Q26" i="22"/>
  <c r="C27" i="22"/>
  <c r="D27" i="22"/>
  <c r="E27" i="22"/>
  <c r="F27" i="22"/>
  <c r="G27" i="22"/>
  <c r="H27" i="22"/>
  <c r="I27" i="22"/>
  <c r="J27" i="22"/>
  <c r="K27" i="22"/>
  <c r="L27" i="22"/>
  <c r="M27" i="22"/>
  <c r="N27" i="22"/>
  <c r="O27" i="22"/>
  <c r="P27" i="22"/>
  <c r="Q27" i="22"/>
  <c r="C28" i="22"/>
  <c r="D28" i="22"/>
  <c r="E28" i="22"/>
  <c r="F28" i="22"/>
  <c r="G28" i="22"/>
  <c r="H28" i="22"/>
  <c r="I28" i="22"/>
  <c r="J28" i="22"/>
  <c r="K28" i="22"/>
  <c r="L28" i="22"/>
  <c r="M28" i="22"/>
  <c r="N28" i="22"/>
  <c r="O28" i="22"/>
  <c r="P28" i="22"/>
  <c r="Q28" i="22"/>
  <c r="C29" i="22"/>
  <c r="D29" i="22"/>
  <c r="E29" i="22"/>
  <c r="F29" i="22"/>
  <c r="G29" i="22"/>
  <c r="H29" i="22"/>
  <c r="I29" i="22"/>
  <c r="J29" i="22"/>
  <c r="K29" i="22"/>
  <c r="L29" i="22"/>
  <c r="M29" i="22"/>
  <c r="N29" i="22"/>
  <c r="O29" i="22"/>
  <c r="P29" i="22"/>
  <c r="Q29" i="22"/>
  <c r="C30" i="22"/>
  <c r="D30" i="22"/>
  <c r="E30" i="22"/>
  <c r="F30" i="22"/>
  <c r="G30" i="22"/>
  <c r="H30" i="22"/>
  <c r="I30" i="22"/>
  <c r="J30" i="22"/>
  <c r="K30" i="22"/>
  <c r="L30" i="22"/>
  <c r="M30" i="22"/>
  <c r="N30" i="22"/>
  <c r="O30" i="22"/>
  <c r="P30" i="22"/>
  <c r="Q30" i="22"/>
  <c r="C31" i="22"/>
  <c r="D31" i="22"/>
  <c r="E31" i="22"/>
  <c r="F31" i="22"/>
  <c r="G31" i="22"/>
  <c r="H31" i="22"/>
  <c r="I31" i="22"/>
  <c r="J31" i="22"/>
  <c r="K31" i="22"/>
  <c r="L31" i="22"/>
  <c r="M31" i="22"/>
  <c r="N31" i="22"/>
  <c r="O31" i="22"/>
  <c r="P31" i="22"/>
  <c r="Q31" i="22"/>
  <c r="C32" i="22"/>
  <c r="D32" i="22"/>
  <c r="E32" i="22"/>
  <c r="F32" i="22"/>
  <c r="G32" i="22"/>
  <c r="H32" i="22"/>
  <c r="I32" i="22"/>
  <c r="J32" i="22"/>
  <c r="K32" i="22"/>
  <c r="L32" i="22"/>
  <c r="M32" i="22"/>
  <c r="N32" i="22"/>
  <c r="O32" i="22"/>
  <c r="P32" i="22"/>
  <c r="Q32" i="22"/>
  <c r="C33" i="22"/>
  <c r="D33" i="22"/>
  <c r="E33" i="22"/>
  <c r="F33" i="22"/>
  <c r="G33" i="22"/>
  <c r="H33" i="22"/>
  <c r="I33" i="22"/>
  <c r="J33" i="22"/>
  <c r="K33" i="22"/>
  <c r="L33" i="22"/>
  <c r="M33" i="22"/>
  <c r="N33" i="22"/>
  <c r="O33" i="22"/>
  <c r="P33" i="22"/>
  <c r="Q33" i="22"/>
  <c r="C34" i="22"/>
  <c r="D34" i="22"/>
  <c r="E34" i="22"/>
  <c r="F34" i="22"/>
  <c r="G34" i="22"/>
  <c r="H34" i="22"/>
  <c r="I34" i="22"/>
  <c r="J34" i="22"/>
  <c r="K34" i="22"/>
  <c r="L34" i="22"/>
  <c r="M34" i="22"/>
  <c r="N34" i="22"/>
  <c r="O34" i="22"/>
  <c r="P34" i="22"/>
  <c r="Q34" i="22"/>
  <c r="C35" i="22"/>
  <c r="D35" i="22"/>
  <c r="E35" i="22"/>
  <c r="F35" i="22"/>
  <c r="G35" i="22"/>
  <c r="H35" i="22"/>
  <c r="I35" i="22"/>
  <c r="J35" i="22"/>
  <c r="K35" i="22"/>
  <c r="L35" i="22"/>
  <c r="M35" i="22"/>
  <c r="N35" i="22"/>
  <c r="O35" i="22"/>
  <c r="P35" i="22"/>
  <c r="Q35" i="22"/>
  <c r="C36" i="22"/>
  <c r="D36" i="22"/>
  <c r="E36" i="22"/>
  <c r="F36" i="22"/>
  <c r="G36" i="22"/>
  <c r="H36" i="22"/>
  <c r="I36" i="22"/>
  <c r="J36" i="22"/>
  <c r="K36" i="22"/>
  <c r="L36" i="22"/>
  <c r="M36" i="22"/>
  <c r="N36" i="22"/>
  <c r="O36" i="22"/>
  <c r="P36" i="22"/>
  <c r="Q36" i="22"/>
  <c r="C37" i="22"/>
  <c r="D37" i="22"/>
  <c r="E37" i="22"/>
  <c r="F37" i="22"/>
  <c r="G37" i="22"/>
  <c r="H37" i="22"/>
  <c r="I37" i="22"/>
  <c r="J37" i="22"/>
  <c r="K37" i="22"/>
  <c r="L37" i="22"/>
  <c r="M37" i="22"/>
  <c r="N37" i="22"/>
  <c r="O37" i="22"/>
  <c r="P37" i="22"/>
  <c r="Q37" i="22"/>
  <c r="C38" i="22"/>
  <c r="D38" i="22"/>
  <c r="E38" i="22"/>
  <c r="F38" i="22"/>
  <c r="G38" i="22"/>
  <c r="H38" i="22"/>
  <c r="I38" i="22"/>
  <c r="J38" i="22"/>
  <c r="K38" i="22"/>
  <c r="L38" i="22"/>
  <c r="M38" i="22"/>
  <c r="N38" i="22"/>
  <c r="O38" i="22"/>
  <c r="P38" i="22"/>
  <c r="Q38" i="22"/>
  <c r="C39" i="22"/>
  <c r="D39" i="22"/>
  <c r="E39" i="22"/>
  <c r="F39" i="22"/>
  <c r="G39" i="22"/>
  <c r="H39" i="22"/>
  <c r="I39" i="22"/>
  <c r="J39" i="22"/>
  <c r="K39" i="22"/>
  <c r="L39" i="22"/>
  <c r="M39" i="22"/>
  <c r="N39" i="22"/>
  <c r="O39" i="22"/>
  <c r="P39" i="22"/>
  <c r="Q39" i="22"/>
  <c r="C40" i="22"/>
  <c r="D40" i="22"/>
  <c r="E40" i="22"/>
  <c r="F40" i="22"/>
  <c r="G40" i="22"/>
  <c r="H40" i="22"/>
  <c r="I40" i="22"/>
  <c r="J40" i="22"/>
  <c r="K40" i="22"/>
  <c r="L40" i="22"/>
  <c r="M40" i="22"/>
  <c r="N40" i="22"/>
  <c r="O40" i="22"/>
  <c r="P40" i="22"/>
  <c r="Q40" i="22"/>
  <c r="C41" i="22"/>
  <c r="D41" i="22"/>
  <c r="E41" i="22"/>
  <c r="F41" i="22"/>
  <c r="G41" i="22"/>
  <c r="H41" i="22"/>
  <c r="I41" i="22"/>
  <c r="J41" i="22"/>
  <c r="K41" i="22"/>
  <c r="L41" i="22"/>
  <c r="M41" i="22"/>
  <c r="N41" i="22"/>
  <c r="O41" i="22"/>
  <c r="P41" i="22"/>
  <c r="Q41" i="22"/>
  <c r="C42" i="22"/>
  <c r="D42" i="22"/>
  <c r="E42" i="22"/>
  <c r="F42" i="22"/>
  <c r="G42" i="22"/>
  <c r="H42" i="22"/>
  <c r="I42" i="22"/>
  <c r="J42" i="22"/>
  <c r="K42" i="22"/>
  <c r="L42" i="22"/>
  <c r="M42" i="22"/>
  <c r="N42" i="22"/>
  <c r="O42" i="22"/>
  <c r="P42" i="22"/>
  <c r="Q42" i="22"/>
  <c r="C43" i="22"/>
  <c r="D43" i="22"/>
  <c r="E43" i="22"/>
  <c r="F43" i="22"/>
  <c r="G43" i="22"/>
  <c r="H43" i="22"/>
  <c r="I43" i="22"/>
  <c r="J43" i="22"/>
  <c r="K43" i="22"/>
  <c r="L43" i="22"/>
  <c r="M43" i="22"/>
  <c r="N43" i="22"/>
  <c r="O43" i="22"/>
  <c r="P43" i="22"/>
  <c r="Q43" i="22"/>
  <c r="C44" i="22"/>
  <c r="D44" i="22"/>
  <c r="E44" i="22"/>
  <c r="F44" i="22"/>
  <c r="G44" i="22"/>
  <c r="H44" i="22"/>
  <c r="I44" i="22"/>
  <c r="J44" i="22"/>
  <c r="K44" i="22"/>
  <c r="L44" i="22"/>
  <c r="M44" i="22"/>
  <c r="N44" i="22"/>
  <c r="O44" i="22"/>
  <c r="P44" i="22"/>
  <c r="Q44" i="22"/>
  <c r="C45" i="22"/>
  <c r="D45" i="22"/>
  <c r="E45" i="22"/>
  <c r="F45" i="22"/>
  <c r="G45" i="22"/>
  <c r="H45" i="22"/>
  <c r="I45" i="22"/>
  <c r="J45" i="22"/>
  <c r="K45" i="22"/>
  <c r="L45" i="22"/>
  <c r="M45" i="22"/>
  <c r="N45" i="22"/>
  <c r="O45" i="22"/>
  <c r="P45" i="22"/>
  <c r="Q45" i="22"/>
  <c r="C46" i="22"/>
  <c r="D46" i="22"/>
  <c r="E46" i="22"/>
  <c r="F46" i="22"/>
  <c r="G46" i="22"/>
  <c r="H46" i="22"/>
  <c r="I46" i="22"/>
  <c r="J46" i="22"/>
  <c r="K46" i="22"/>
  <c r="L46" i="22"/>
  <c r="M46" i="22"/>
  <c r="N46" i="22"/>
  <c r="O46" i="22"/>
  <c r="P46" i="22"/>
  <c r="Q46" i="22"/>
  <c r="C47" i="22"/>
  <c r="D47" i="22"/>
  <c r="E47" i="22"/>
  <c r="F47" i="22"/>
  <c r="G47" i="22"/>
  <c r="H47" i="22"/>
  <c r="I47" i="22"/>
  <c r="J47" i="22"/>
  <c r="K47" i="22"/>
  <c r="L47" i="22"/>
  <c r="M47" i="22"/>
  <c r="N47" i="22"/>
  <c r="O47" i="22"/>
  <c r="P47" i="22"/>
  <c r="Q47" i="22"/>
  <c r="C48" i="22"/>
  <c r="D48" i="22"/>
  <c r="E48" i="22"/>
  <c r="F48" i="22"/>
  <c r="G48" i="22"/>
  <c r="H48" i="22"/>
  <c r="I48" i="22"/>
  <c r="J48" i="22"/>
  <c r="K48" i="22"/>
  <c r="L48" i="22"/>
  <c r="M48" i="22"/>
  <c r="N48" i="22"/>
  <c r="O48" i="22"/>
  <c r="P48" i="22"/>
  <c r="Q48" i="22"/>
  <c r="C49" i="22"/>
  <c r="D49" i="22"/>
  <c r="E49" i="22"/>
  <c r="F49" i="22"/>
  <c r="G49" i="22"/>
  <c r="H49" i="22"/>
  <c r="I49" i="22"/>
  <c r="J49" i="22"/>
  <c r="K49" i="22"/>
  <c r="L49" i="22"/>
  <c r="M49" i="22"/>
  <c r="N49" i="22"/>
  <c r="O49" i="22"/>
  <c r="P49" i="22"/>
  <c r="Q49" i="22"/>
  <c r="C50" i="22"/>
  <c r="D50" i="22"/>
  <c r="E50" i="22"/>
  <c r="F50" i="22"/>
  <c r="G50" i="22"/>
  <c r="H50" i="22"/>
  <c r="I50" i="22"/>
  <c r="J50" i="22"/>
  <c r="K50" i="22"/>
  <c r="L50" i="22"/>
  <c r="M50" i="22"/>
  <c r="N50" i="22"/>
  <c r="O50" i="22"/>
  <c r="P50" i="22"/>
  <c r="Q50" i="22"/>
  <c r="C51" i="22"/>
  <c r="D51" i="22"/>
  <c r="E51" i="22"/>
  <c r="F51" i="22"/>
  <c r="G51" i="22"/>
  <c r="H51" i="22"/>
  <c r="I51" i="22"/>
  <c r="J51" i="22"/>
  <c r="K51" i="22"/>
  <c r="L51" i="22"/>
  <c r="M51" i="22"/>
  <c r="N51" i="22"/>
  <c r="O51" i="22"/>
  <c r="P51" i="22"/>
  <c r="Q51" i="22"/>
  <c r="C52" i="22"/>
  <c r="D52" i="22"/>
  <c r="E52" i="22"/>
  <c r="F52" i="22"/>
  <c r="G52" i="22"/>
  <c r="H52" i="22"/>
  <c r="I52" i="22"/>
  <c r="J52" i="22"/>
  <c r="K52" i="22"/>
  <c r="L52" i="22"/>
  <c r="M52" i="22"/>
  <c r="N52" i="22"/>
  <c r="O52" i="22"/>
  <c r="P52" i="22"/>
  <c r="Q52" i="22"/>
  <c r="C53" i="22"/>
  <c r="D53" i="22"/>
  <c r="E53" i="22"/>
  <c r="F53" i="22"/>
  <c r="G53" i="22"/>
  <c r="H53" i="22"/>
  <c r="I53" i="22"/>
  <c r="J53" i="22"/>
  <c r="K53" i="22"/>
  <c r="L53" i="22"/>
  <c r="M53" i="22"/>
  <c r="N53" i="22"/>
  <c r="O53" i="22"/>
  <c r="P53" i="22"/>
  <c r="Q53" i="22"/>
  <c r="C54" i="22"/>
  <c r="D54" i="22"/>
  <c r="E54" i="22"/>
  <c r="F54" i="22"/>
  <c r="G54" i="22"/>
  <c r="H54" i="22"/>
  <c r="I54" i="22"/>
  <c r="J54" i="22"/>
  <c r="K54" i="22"/>
  <c r="L54" i="22"/>
  <c r="M54" i="22"/>
  <c r="N54" i="22"/>
  <c r="O54" i="22"/>
  <c r="P54" i="22"/>
  <c r="Q54" i="22"/>
  <c r="C55" i="22"/>
  <c r="D55" i="22"/>
  <c r="E55" i="22"/>
  <c r="F55" i="22"/>
  <c r="G55" i="22"/>
  <c r="H55" i="22"/>
  <c r="I55" i="22"/>
  <c r="J55" i="22"/>
  <c r="K55" i="22"/>
  <c r="L55" i="22"/>
  <c r="M55" i="22"/>
  <c r="N55" i="22"/>
  <c r="O55" i="22"/>
  <c r="P55" i="22"/>
  <c r="Q55" i="22"/>
  <c r="C56" i="22"/>
  <c r="D56" i="22"/>
  <c r="E56" i="22"/>
  <c r="F56" i="22"/>
  <c r="G56" i="22"/>
  <c r="H56" i="22"/>
  <c r="I56" i="22"/>
  <c r="J56" i="22"/>
  <c r="K56" i="22"/>
  <c r="L56" i="22"/>
  <c r="M56" i="22"/>
  <c r="N56" i="22"/>
  <c r="O56" i="22"/>
  <c r="P56" i="22"/>
  <c r="Q56" i="22"/>
  <c r="C57" i="22"/>
  <c r="D57" i="22"/>
  <c r="E57" i="22"/>
  <c r="F57" i="22"/>
  <c r="G57" i="22"/>
  <c r="H57" i="22"/>
  <c r="I57" i="22"/>
  <c r="J57" i="22"/>
  <c r="K57" i="22"/>
  <c r="L57" i="22"/>
  <c r="M57" i="22"/>
  <c r="N57" i="22"/>
  <c r="O57" i="22"/>
  <c r="P57" i="22"/>
  <c r="Q57" i="22"/>
  <c r="C58" i="22"/>
  <c r="D58" i="22"/>
  <c r="E58" i="22"/>
  <c r="F58" i="22"/>
  <c r="G58" i="22"/>
  <c r="H58" i="22"/>
  <c r="I58" i="22"/>
  <c r="J58" i="22"/>
  <c r="K58" i="22"/>
  <c r="L58" i="22"/>
  <c r="M58" i="22"/>
  <c r="N58" i="22"/>
  <c r="O58" i="22"/>
  <c r="P58" i="22"/>
  <c r="Q58" i="22"/>
  <c r="C101" i="22"/>
  <c r="D101" i="22"/>
  <c r="E101" i="22"/>
  <c r="F101" i="22"/>
  <c r="G101" i="22"/>
  <c r="H101" i="22"/>
  <c r="I101" i="22"/>
  <c r="J101" i="22"/>
  <c r="K101" i="22"/>
  <c r="L101" i="22"/>
  <c r="M101" i="22"/>
  <c r="N101" i="22"/>
  <c r="O101" i="22"/>
  <c r="P101" i="22"/>
  <c r="Q101" i="22"/>
  <c r="C60" i="22"/>
  <c r="D60" i="22"/>
  <c r="E60" i="22"/>
  <c r="F60" i="22"/>
  <c r="G60" i="22"/>
  <c r="H60" i="22"/>
  <c r="I60" i="22"/>
  <c r="J60" i="22"/>
  <c r="K60" i="22"/>
  <c r="L60" i="22"/>
  <c r="M60" i="22"/>
  <c r="N60" i="22"/>
  <c r="O60" i="22"/>
  <c r="P60" i="22"/>
  <c r="Q60" i="22"/>
  <c r="C61" i="22"/>
  <c r="D61" i="22"/>
  <c r="E61" i="22"/>
  <c r="F61" i="22"/>
  <c r="G61" i="22"/>
  <c r="H61" i="22"/>
  <c r="I61" i="22"/>
  <c r="J61" i="22"/>
  <c r="K61" i="22"/>
  <c r="L61" i="22"/>
  <c r="M61" i="22"/>
  <c r="N61" i="22"/>
  <c r="O61" i="22"/>
  <c r="P61" i="22"/>
  <c r="Q61" i="22"/>
  <c r="C62" i="22"/>
  <c r="D62" i="22"/>
  <c r="E62" i="22"/>
  <c r="F62" i="22"/>
  <c r="G62" i="22"/>
  <c r="H62" i="22"/>
  <c r="I62" i="22"/>
  <c r="J62" i="22"/>
  <c r="K62" i="22"/>
  <c r="L62" i="22"/>
  <c r="M62" i="22"/>
  <c r="N62" i="22"/>
  <c r="O62" i="22"/>
  <c r="P62" i="22"/>
  <c r="Q62" i="22"/>
  <c r="C63" i="22"/>
  <c r="D63" i="22"/>
  <c r="E63" i="22"/>
  <c r="F63" i="22"/>
  <c r="G63" i="22"/>
  <c r="H63" i="22"/>
  <c r="I63" i="22"/>
  <c r="J63" i="22"/>
  <c r="K63" i="22"/>
  <c r="L63" i="22"/>
  <c r="M63" i="22"/>
  <c r="N63" i="22"/>
  <c r="O63" i="22"/>
  <c r="P63" i="22"/>
  <c r="Q63" i="22"/>
  <c r="C64" i="22"/>
  <c r="D64" i="22"/>
  <c r="E64" i="22"/>
  <c r="F64" i="22"/>
  <c r="G64" i="22"/>
  <c r="H64" i="22"/>
  <c r="I64" i="22"/>
  <c r="J64" i="22"/>
  <c r="K64" i="22"/>
  <c r="L64" i="22"/>
  <c r="M64" i="22"/>
  <c r="N64" i="22"/>
  <c r="O64" i="22"/>
  <c r="P64" i="22"/>
  <c r="Q64" i="22"/>
  <c r="C65" i="22"/>
  <c r="D65" i="22"/>
  <c r="E65" i="22"/>
  <c r="F65" i="22"/>
  <c r="G65" i="22"/>
  <c r="H65" i="22"/>
  <c r="I65" i="22"/>
  <c r="J65" i="22"/>
  <c r="K65" i="22"/>
  <c r="L65" i="22"/>
  <c r="M65" i="22"/>
  <c r="N65" i="22"/>
  <c r="O65" i="22"/>
  <c r="P65" i="22"/>
  <c r="Q65" i="22"/>
  <c r="C66" i="22"/>
  <c r="D66" i="22"/>
  <c r="E66" i="22"/>
  <c r="F66" i="22"/>
  <c r="G66" i="22"/>
  <c r="H66" i="22"/>
  <c r="I66" i="22"/>
  <c r="J66" i="22"/>
  <c r="K66" i="22"/>
  <c r="L66" i="22"/>
  <c r="M66" i="22"/>
  <c r="N66" i="22"/>
  <c r="O66" i="22"/>
  <c r="P66" i="22"/>
  <c r="Q66" i="22"/>
  <c r="C67" i="22"/>
  <c r="D67" i="22"/>
  <c r="E67" i="22"/>
  <c r="F67" i="22"/>
  <c r="G67" i="22"/>
  <c r="H67" i="22"/>
  <c r="I67" i="22"/>
  <c r="J67" i="22"/>
  <c r="K67" i="22"/>
  <c r="L67" i="22"/>
  <c r="M67" i="22"/>
  <c r="N67" i="22"/>
  <c r="O67" i="22"/>
  <c r="P67" i="22"/>
  <c r="Q67" i="22"/>
  <c r="C68" i="22"/>
  <c r="D68" i="22"/>
  <c r="E68" i="22"/>
  <c r="F68" i="22"/>
  <c r="G68" i="22"/>
  <c r="H68" i="22"/>
  <c r="I68" i="22"/>
  <c r="J68" i="22"/>
  <c r="K68" i="22"/>
  <c r="L68" i="22"/>
  <c r="M68" i="22"/>
  <c r="N68" i="22"/>
  <c r="O68" i="22"/>
  <c r="P68" i="22"/>
  <c r="Q68" i="22"/>
  <c r="C69" i="22"/>
  <c r="D69" i="22"/>
  <c r="E69" i="22"/>
  <c r="F69" i="22"/>
  <c r="G69" i="22"/>
  <c r="H69" i="22"/>
  <c r="I69" i="22"/>
  <c r="J69" i="22"/>
  <c r="K69" i="22"/>
  <c r="L69" i="22"/>
  <c r="M69" i="22"/>
  <c r="N69" i="22"/>
  <c r="O69" i="22"/>
  <c r="P69" i="22"/>
  <c r="Q69" i="22"/>
  <c r="C70" i="22"/>
  <c r="D70" i="22"/>
  <c r="E70" i="22"/>
  <c r="F70" i="22"/>
  <c r="G70" i="22"/>
  <c r="H70" i="22"/>
  <c r="I70" i="22"/>
  <c r="J70" i="22"/>
  <c r="K70" i="22"/>
  <c r="L70" i="22"/>
  <c r="M70" i="22"/>
  <c r="N70" i="22"/>
  <c r="O70" i="22"/>
  <c r="P70" i="22"/>
  <c r="Q70" i="22"/>
  <c r="C71" i="22"/>
  <c r="D71" i="22"/>
  <c r="E71" i="22"/>
  <c r="F71" i="22"/>
  <c r="G71" i="22"/>
  <c r="H71" i="22"/>
  <c r="I71" i="22"/>
  <c r="J71" i="22"/>
  <c r="K71" i="22"/>
  <c r="L71" i="22"/>
  <c r="M71" i="22"/>
  <c r="N71" i="22"/>
  <c r="O71" i="22"/>
  <c r="P71" i="22"/>
  <c r="Q71" i="22"/>
  <c r="C72" i="22"/>
  <c r="D72" i="22"/>
  <c r="E72" i="22"/>
  <c r="F72" i="22"/>
  <c r="G72" i="22"/>
  <c r="H72" i="22"/>
  <c r="I72" i="22"/>
  <c r="J72" i="22"/>
  <c r="K72" i="22"/>
  <c r="L72" i="22"/>
  <c r="M72" i="22"/>
  <c r="N72" i="22"/>
  <c r="O72" i="22"/>
  <c r="P72" i="22"/>
  <c r="Q72" i="22"/>
  <c r="C73" i="22"/>
  <c r="D73" i="22"/>
  <c r="E73" i="22"/>
  <c r="F73" i="22"/>
  <c r="G73" i="22"/>
  <c r="H73" i="22"/>
  <c r="I73" i="22"/>
  <c r="J73" i="22"/>
  <c r="K73" i="22"/>
  <c r="L73" i="22"/>
  <c r="M73" i="22"/>
  <c r="N73" i="22"/>
  <c r="O73" i="22"/>
  <c r="P73" i="22"/>
  <c r="Q73" i="22"/>
  <c r="C74" i="22"/>
  <c r="D74" i="22"/>
  <c r="E74" i="22"/>
  <c r="F74" i="22"/>
  <c r="G74" i="22"/>
  <c r="H74" i="22"/>
  <c r="I74" i="22"/>
  <c r="J74" i="22"/>
  <c r="K74" i="22"/>
  <c r="L74" i="22"/>
  <c r="M74" i="22"/>
  <c r="N74" i="22"/>
  <c r="O74" i="22"/>
  <c r="P74" i="22"/>
  <c r="Q74" i="22"/>
  <c r="C83" i="22"/>
  <c r="D83" i="22"/>
  <c r="E83" i="22"/>
  <c r="F83" i="22"/>
  <c r="G83" i="22"/>
  <c r="H83" i="22"/>
  <c r="I83" i="22"/>
  <c r="J83" i="22"/>
  <c r="K83" i="22"/>
  <c r="L83" i="22"/>
  <c r="M83" i="22"/>
  <c r="N83" i="22"/>
  <c r="O83" i="22"/>
  <c r="P83" i="22"/>
  <c r="Q83" i="22"/>
  <c r="C76" i="22"/>
  <c r="D76" i="22"/>
  <c r="E76" i="22"/>
  <c r="F76" i="22"/>
  <c r="G76" i="22"/>
  <c r="H76" i="22"/>
  <c r="I76" i="22"/>
  <c r="J76" i="22"/>
  <c r="K76" i="22"/>
  <c r="L76" i="22"/>
  <c r="M76" i="22"/>
  <c r="N76" i="22"/>
  <c r="O76" i="22"/>
  <c r="P76" i="22"/>
  <c r="Q76" i="22"/>
  <c r="C77" i="22"/>
  <c r="D77" i="22"/>
  <c r="E77" i="22"/>
  <c r="F77" i="22"/>
  <c r="G77" i="22"/>
  <c r="H77" i="22"/>
  <c r="I77" i="22"/>
  <c r="J77" i="22"/>
  <c r="K77" i="22"/>
  <c r="L77" i="22"/>
  <c r="M77" i="22"/>
  <c r="N77" i="22"/>
  <c r="O77" i="22"/>
  <c r="P77" i="22"/>
  <c r="Q77" i="22"/>
  <c r="C78" i="22"/>
  <c r="D78" i="22"/>
  <c r="E78" i="22"/>
  <c r="F78" i="22"/>
  <c r="G78" i="22"/>
  <c r="H78" i="22"/>
  <c r="I78" i="22"/>
  <c r="J78" i="22"/>
  <c r="K78" i="22"/>
  <c r="L78" i="22"/>
  <c r="M78" i="22"/>
  <c r="N78" i="22"/>
  <c r="O78" i="22"/>
  <c r="P78" i="22"/>
  <c r="Q78" i="22"/>
  <c r="C79" i="22"/>
  <c r="D79" i="22"/>
  <c r="E79" i="22"/>
  <c r="F79" i="22"/>
  <c r="G79" i="22"/>
  <c r="H79" i="22"/>
  <c r="I79" i="22"/>
  <c r="J79" i="22"/>
  <c r="K79" i="22"/>
  <c r="L79" i="22"/>
  <c r="M79" i="22"/>
  <c r="N79" i="22"/>
  <c r="O79" i="22"/>
  <c r="P79" i="22"/>
  <c r="Q79" i="22"/>
  <c r="C80" i="22"/>
  <c r="D80" i="22"/>
  <c r="E80" i="22"/>
  <c r="F80" i="22"/>
  <c r="G80" i="22"/>
  <c r="H80" i="22"/>
  <c r="I80" i="22"/>
  <c r="J80" i="22"/>
  <c r="K80" i="22"/>
  <c r="L80" i="22"/>
  <c r="M80" i="22"/>
  <c r="N80" i="22"/>
  <c r="O80" i="22"/>
  <c r="P80" i="22"/>
  <c r="Q80" i="22"/>
  <c r="C81" i="22"/>
  <c r="D81" i="22"/>
  <c r="E81" i="22"/>
  <c r="F81" i="22"/>
  <c r="G81" i="22"/>
  <c r="H81" i="22"/>
  <c r="I81" i="22"/>
  <c r="J81" i="22"/>
  <c r="K81" i="22"/>
  <c r="L81" i="22"/>
  <c r="M81" i="22"/>
  <c r="N81" i="22"/>
  <c r="O81" i="22"/>
  <c r="P81" i="22"/>
  <c r="Q81" i="22"/>
  <c r="C82" i="22"/>
  <c r="D82" i="22"/>
  <c r="E82" i="22"/>
  <c r="F82" i="22"/>
  <c r="G82" i="22"/>
  <c r="H82" i="22"/>
  <c r="I82" i="22"/>
  <c r="J82" i="22"/>
  <c r="K82" i="22"/>
  <c r="L82" i="22"/>
  <c r="M82" i="22"/>
  <c r="N82" i="22"/>
  <c r="O82" i="22"/>
  <c r="P82" i="22"/>
  <c r="Q82" i="22"/>
  <c r="C75" i="22"/>
  <c r="D75" i="22"/>
  <c r="E75" i="22"/>
  <c r="F75" i="22"/>
  <c r="G75" i="22"/>
  <c r="H75" i="22"/>
  <c r="I75" i="22"/>
  <c r="J75" i="22"/>
  <c r="K75" i="22"/>
  <c r="L75" i="22"/>
  <c r="M75" i="22"/>
  <c r="N75" i="22"/>
  <c r="O75" i="22"/>
  <c r="P75" i="22"/>
  <c r="Q75" i="22"/>
  <c r="C84" i="22"/>
  <c r="D84" i="22"/>
  <c r="E84" i="22"/>
  <c r="F84" i="22"/>
  <c r="G84" i="22"/>
  <c r="H84" i="22"/>
  <c r="I84" i="22"/>
  <c r="J84" i="22"/>
  <c r="K84" i="22"/>
  <c r="L84" i="22"/>
  <c r="M84" i="22"/>
  <c r="N84" i="22"/>
  <c r="O84" i="22"/>
  <c r="P84" i="22"/>
  <c r="Q84" i="22"/>
  <c r="C85" i="22"/>
  <c r="D85" i="22"/>
  <c r="E85" i="22"/>
  <c r="F85" i="22"/>
  <c r="G85" i="22"/>
  <c r="H85" i="22"/>
  <c r="I85" i="22"/>
  <c r="J85" i="22"/>
  <c r="K85" i="22"/>
  <c r="L85" i="22"/>
  <c r="M85" i="22"/>
  <c r="N85" i="22"/>
  <c r="O85" i="22"/>
  <c r="P85" i="22"/>
  <c r="Q85" i="22"/>
  <c r="C86" i="22"/>
  <c r="D86" i="22"/>
  <c r="E86" i="22"/>
  <c r="F86" i="22"/>
  <c r="G86" i="22"/>
  <c r="H86" i="22"/>
  <c r="I86" i="22"/>
  <c r="J86" i="22"/>
  <c r="K86" i="22"/>
  <c r="L86" i="22"/>
  <c r="M86" i="22"/>
  <c r="N86" i="22"/>
  <c r="O86" i="22"/>
  <c r="P86" i="22"/>
  <c r="Q86" i="22"/>
  <c r="C87" i="22"/>
  <c r="D87" i="22"/>
  <c r="E87" i="22"/>
  <c r="F87" i="22"/>
  <c r="G87" i="22"/>
  <c r="H87" i="22"/>
  <c r="I87" i="22"/>
  <c r="J87" i="22"/>
  <c r="K87" i="22"/>
  <c r="L87" i="22"/>
  <c r="M87" i="22"/>
  <c r="N87" i="22"/>
  <c r="O87" i="22"/>
  <c r="P87" i="22"/>
  <c r="Q87" i="22"/>
  <c r="C88" i="22"/>
  <c r="D88" i="22"/>
  <c r="E88" i="22"/>
  <c r="F88" i="22"/>
  <c r="G88" i="22"/>
  <c r="H88" i="22"/>
  <c r="I88" i="22"/>
  <c r="J88" i="22"/>
  <c r="K88" i="22"/>
  <c r="L88" i="22"/>
  <c r="M88" i="22"/>
  <c r="N88" i="22"/>
  <c r="O88" i="22"/>
  <c r="P88" i="22"/>
  <c r="Q88" i="22"/>
  <c r="C103" i="22"/>
  <c r="D103" i="22"/>
  <c r="E103" i="22"/>
  <c r="F103" i="22"/>
  <c r="G103" i="22"/>
  <c r="H103" i="22"/>
  <c r="I103" i="22"/>
  <c r="J103" i="22"/>
  <c r="K103" i="22"/>
  <c r="L103" i="22"/>
  <c r="M103" i="22"/>
  <c r="N103" i="22"/>
  <c r="O103" i="22"/>
  <c r="P103" i="22"/>
  <c r="Q103" i="22"/>
  <c r="C90" i="22"/>
  <c r="D90" i="22"/>
  <c r="E90" i="22"/>
  <c r="F90" i="22"/>
  <c r="G90" i="22"/>
  <c r="H90" i="22"/>
  <c r="I90" i="22"/>
  <c r="J90" i="22"/>
  <c r="K90" i="22"/>
  <c r="L90" i="22"/>
  <c r="M90" i="22"/>
  <c r="N90" i="22"/>
  <c r="O90" i="22"/>
  <c r="P90" i="22"/>
  <c r="Q90" i="22"/>
  <c r="C91" i="22"/>
  <c r="D91" i="22"/>
  <c r="E91" i="22"/>
  <c r="F91" i="22"/>
  <c r="G91" i="22"/>
  <c r="H91" i="22"/>
  <c r="I91" i="22"/>
  <c r="J91" i="22"/>
  <c r="K91" i="22"/>
  <c r="L91" i="22"/>
  <c r="M91" i="22"/>
  <c r="N91" i="22"/>
  <c r="O91" i="22"/>
  <c r="P91" i="22"/>
  <c r="Q91" i="22"/>
  <c r="C92" i="22"/>
  <c r="D92" i="22"/>
  <c r="E92" i="22"/>
  <c r="F92" i="22"/>
  <c r="G92" i="22"/>
  <c r="H92" i="22"/>
  <c r="I92" i="22"/>
  <c r="J92" i="22"/>
  <c r="K92" i="22"/>
  <c r="L92" i="22"/>
  <c r="M92" i="22"/>
  <c r="N92" i="22"/>
  <c r="O92" i="22"/>
  <c r="P92" i="22"/>
  <c r="Q92" i="22"/>
  <c r="C93" i="22"/>
  <c r="D93" i="22"/>
  <c r="E93" i="22"/>
  <c r="F93" i="22"/>
  <c r="G93" i="22"/>
  <c r="H93" i="22"/>
  <c r="I93" i="22"/>
  <c r="J93" i="22"/>
  <c r="K93" i="22"/>
  <c r="L93" i="22"/>
  <c r="M93" i="22"/>
  <c r="N93" i="22"/>
  <c r="O93" i="22"/>
  <c r="P93" i="22"/>
  <c r="Q93" i="22"/>
  <c r="C94" i="22"/>
  <c r="D94" i="22"/>
  <c r="E94" i="22"/>
  <c r="F94" i="22"/>
  <c r="G94" i="22"/>
  <c r="H94" i="22"/>
  <c r="I94" i="22"/>
  <c r="J94" i="22"/>
  <c r="K94" i="22"/>
  <c r="L94" i="22"/>
  <c r="M94" i="22"/>
  <c r="N94" i="22"/>
  <c r="O94" i="22"/>
  <c r="P94" i="22"/>
  <c r="Q94" i="22"/>
  <c r="C95" i="22"/>
  <c r="D95" i="22"/>
  <c r="E95" i="22"/>
  <c r="F95" i="22"/>
  <c r="G95" i="22"/>
  <c r="H95" i="22"/>
  <c r="I95" i="22"/>
  <c r="J95" i="22"/>
  <c r="K95" i="22"/>
  <c r="L95" i="22"/>
  <c r="M95" i="22"/>
  <c r="N95" i="22"/>
  <c r="O95" i="22"/>
  <c r="P95" i="22"/>
  <c r="Q95" i="22"/>
  <c r="C96" i="22"/>
  <c r="D96" i="22"/>
  <c r="E96" i="22"/>
  <c r="F96" i="22"/>
  <c r="G96" i="22"/>
  <c r="H96" i="22"/>
  <c r="I96" i="22"/>
  <c r="J96" i="22"/>
  <c r="K96" i="22"/>
  <c r="L96" i="22"/>
  <c r="M96" i="22"/>
  <c r="N96" i="22"/>
  <c r="O96" i="22"/>
  <c r="P96" i="22"/>
  <c r="Q96" i="22"/>
  <c r="C97" i="22"/>
  <c r="D97" i="22"/>
  <c r="E97" i="22"/>
  <c r="F97" i="22"/>
  <c r="G97" i="22"/>
  <c r="H97" i="22"/>
  <c r="I97" i="22"/>
  <c r="J97" i="22"/>
  <c r="K97" i="22"/>
  <c r="L97" i="22"/>
  <c r="M97" i="22"/>
  <c r="N97" i="22"/>
  <c r="O97" i="22"/>
  <c r="P97" i="22"/>
  <c r="Q97" i="22"/>
  <c r="C98" i="22"/>
  <c r="D98" i="22"/>
  <c r="E98" i="22"/>
  <c r="F98" i="22"/>
  <c r="G98" i="22"/>
  <c r="H98" i="22"/>
  <c r="I98" i="22"/>
  <c r="J98" i="22"/>
  <c r="K98" i="22"/>
  <c r="L98" i="22"/>
  <c r="M98" i="22"/>
  <c r="N98" i="22"/>
  <c r="O98" i="22"/>
  <c r="P98" i="22"/>
  <c r="Q98" i="22"/>
  <c r="C105" i="22"/>
  <c r="D105" i="22"/>
  <c r="E105" i="22"/>
  <c r="F105" i="22"/>
  <c r="G105" i="22"/>
  <c r="H105" i="22"/>
  <c r="I105" i="22"/>
  <c r="J105" i="22"/>
  <c r="K105" i="22"/>
  <c r="L105" i="22"/>
  <c r="M105" i="22"/>
  <c r="N105" i="22"/>
  <c r="O105" i="22"/>
  <c r="P105" i="22"/>
  <c r="Q105" i="22"/>
  <c r="C100" i="22"/>
  <c r="D100" i="22"/>
  <c r="E100" i="22"/>
  <c r="F100" i="22"/>
  <c r="G100" i="22"/>
  <c r="H100" i="22"/>
  <c r="I100" i="22"/>
  <c r="J100" i="22"/>
  <c r="K100" i="22"/>
  <c r="L100" i="22"/>
  <c r="M100" i="22"/>
  <c r="N100" i="22"/>
  <c r="O100" i="22"/>
  <c r="P100" i="22"/>
  <c r="Q100" i="22"/>
  <c r="C107" i="22"/>
  <c r="D107" i="22"/>
  <c r="E107" i="22"/>
  <c r="F107" i="22"/>
  <c r="G107" i="22"/>
  <c r="H107" i="22"/>
  <c r="I107" i="22"/>
  <c r="J107" i="22"/>
  <c r="K107" i="22"/>
  <c r="L107" i="22"/>
  <c r="M107" i="22"/>
  <c r="N107" i="22"/>
  <c r="O107" i="22"/>
  <c r="P107" i="22"/>
  <c r="Q107" i="22"/>
  <c r="C102" i="22"/>
  <c r="D102" i="22"/>
  <c r="E102" i="22"/>
  <c r="F102" i="22"/>
  <c r="G102" i="22"/>
  <c r="H102" i="22"/>
  <c r="I102" i="22"/>
  <c r="J102" i="22"/>
  <c r="K102" i="22"/>
  <c r="L102" i="22"/>
  <c r="M102" i="22"/>
  <c r="N102" i="22"/>
  <c r="O102" i="22"/>
  <c r="P102" i="22"/>
  <c r="Q102" i="22"/>
  <c r="C108" i="22"/>
  <c r="D108" i="22"/>
  <c r="E108" i="22"/>
  <c r="F108" i="22"/>
  <c r="G108" i="22"/>
  <c r="H108" i="22"/>
  <c r="I108" i="22"/>
  <c r="J108" i="22"/>
  <c r="K108" i="22"/>
  <c r="L108" i="22"/>
  <c r="M108" i="22"/>
  <c r="N108" i="22"/>
  <c r="O108" i="22"/>
  <c r="P108" i="22"/>
  <c r="Q108" i="22"/>
  <c r="C106" i="22"/>
  <c r="D106" i="22"/>
  <c r="E106" i="22"/>
  <c r="F106" i="22"/>
  <c r="G106" i="22"/>
  <c r="H106" i="22"/>
  <c r="I106" i="22"/>
  <c r="J106" i="22"/>
  <c r="K106" i="22"/>
  <c r="L106" i="22"/>
  <c r="M106" i="22"/>
  <c r="N106" i="22"/>
  <c r="O106" i="22"/>
  <c r="P106" i="22"/>
  <c r="Q106" i="22"/>
  <c r="C89" i="22"/>
  <c r="D89" i="22"/>
  <c r="E89" i="22"/>
  <c r="F89" i="22"/>
  <c r="G89" i="22"/>
  <c r="H89" i="22"/>
  <c r="I89" i="22"/>
  <c r="J89" i="22"/>
  <c r="K89" i="22"/>
  <c r="L89" i="22"/>
  <c r="M89" i="22"/>
  <c r="N89" i="22"/>
  <c r="O89" i="22"/>
  <c r="P89" i="22"/>
  <c r="Q89" i="22"/>
  <c r="C114" i="22"/>
  <c r="D114" i="22"/>
  <c r="E114" i="22"/>
  <c r="F114" i="22"/>
  <c r="G114" i="22"/>
  <c r="H114" i="22"/>
  <c r="I114" i="22"/>
  <c r="J114" i="22"/>
  <c r="K114" i="22"/>
  <c r="L114" i="22"/>
  <c r="M114" i="22"/>
  <c r="N114" i="22"/>
  <c r="O114" i="22"/>
  <c r="P114" i="22"/>
  <c r="Q114" i="22"/>
  <c r="C59" i="22"/>
  <c r="D59" i="22"/>
  <c r="E59" i="22"/>
  <c r="F59" i="22"/>
  <c r="G59" i="22"/>
  <c r="H59" i="22"/>
  <c r="I59" i="22"/>
  <c r="J59" i="22"/>
  <c r="K59" i="22"/>
  <c r="L59" i="22"/>
  <c r="M59" i="22"/>
  <c r="N59" i="22"/>
  <c r="O59" i="22"/>
  <c r="P59" i="22"/>
  <c r="Q59" i="22"/>
  <c r="C112" i="22"/>
  <c r="D112" i="22"/>
  <c r="E112" i="22"/>
  <c r="F112" i="22"/>
  <c r="G112" i="22"/>
  <c r="H112" i="22"/>
  <c r="I112" i="22"/>
  <c r="J112" i="22"/>
  <c r="K112" i="22"/>
  <c r="L112" i="22"/>
  <c r="M112" i="22"/>
  <c r="N112" i="22"/>
  <c r="O112" i="22"/>
  <c r="P112" i="22"/>
  <c r="Q112" i="22"/>
  <c r="C104" i="22"/>
  <c r="D104" i="22"/>
  <c r="E104" i="22"/>
  <c r="F104" i="22"/>
  <c r="G104" i="22"/>
  <c r="H104" i="22"/>
  <c r="I104" i="22"/>
  <c r="J104" i="22"/>
  <c r="K104" i="22"/>
  <c r="L104" i="22"/>
  <c r="M104" i="22"/>
  <c r="N104" i="22"/>
  <c r="O104" i="22"/>
  <c r="P104" i="22"/>
  <c r="Q104" i="22"/>
  <c r="C99" i="22"/>
  <c r="D99" i="22"/>
  <c r="E99" i="22"/>
  <c r="F99" i="22"/>
  <c r="G99" i="22"/>
  <c r="H99" i="22"/>
  <c r="I99" i="22"/>
  <c r="J99" i="22"/>
  <c r="K99" i="22"/>
  <c r="L99" i="22"/>
  <c r="M99" i="22"/>
  <c r="N99" i="22"/>
  <c r="O99" i="22"/>
  <c r="P99" i="22"/>
  <c r="Q99" i="22"/>
  <c r="C115" i="22"/>
  <c r="D115" i="22"/>
  <c r="E115" i="22"/>
  <c r="F115" i="22"/>
  <c r="G115" i="22"/>
  <c r="H115" i="22"/>
  <c r="I115" i="22"/>
  <c r="J115" i="22"/>
  <c r="K115" i="22"/>
  <c r="L115" i="22"/>
  <c r="M115" i="22"/>
  <c r="N115" i="22"/>
  <c r="O115" i="22"/>
  <c r="P115" i="22"/>
  <c r="Q115" i="22"/>
  <c r="C116" i="22"/>
  <c r="D116" i="22"/>
  <c r="E116" i="22"/>
  <c r="F116" i="22"/>
  <c r="G116" i="22"/>
  <c r="H116" i="22"/>
  <c r="I116" i="22"/>
  <c r="J116" i="22"/>
  <c r="K116" i="22"/>
  <c r="L116" i="22"/>
  <c r="M116" i="22"/>
  <c r="N116" i="22"/>
  <c r="O116" i="22"/>
  <c r="P116" i="22"/>
  <c r="Q116" i="22"/>
  <c r="C111" i="22"/>
  <c r="D111" i="22"/>
  <c r="E111" i="22"/>
  <c r="F111" i="22"/>
  <c r="G111" i="22"/>
  <c r="H111" i="22"/>
  <c r="I111" i="22"/>
  <c r="J111" i="22"/>
  <c r="K111" i="22"/>
  <c r="L111" i="22"/>
  <c r="M111" i="22"/>
  <c r="N111" i="22"/>
  <c r="O111" i="22"/>
  <c r="P111" i="22"/>
  <c r="Q111" i="22"/>
  <c r="C109" i="22"/>
  <c r="D109" i="22"/>
  <c r="E109" i="22"/>
  <c r="F109" i="22"/>
  <c r="G109" i="22"/>
  <c r="H109" i="22"/>
  <c r="I109" i="22"/>
  <c r="J109" i="22"/>
  <c r="K109" i="22"/>
  <c r="L109" i="22"/>
  <c r="M109" i="22"/>
  <c r="N109" i="22"/>
  <c r="O109" i="22"/>
  <c r="P109" i="22"/>
  <c r="Q109" i="22"/>
  <c r="C118" i="22"/>
  <c r="D118" i="22"/>
  <c r="E118" i="22"/>
  <c r="F118" i="22"/>
  <c r="G118" i="22"/>
  <c r="H118" i="22"/>
  <c r="I118" i="22"/>
  <c r="J118" i="22"/>
  <c r="K118" i="22"/>
  <c r="L118" i="22"/>
  <c r="M118" i="22"/>
  <c r="N118" i="22"/>
  <c r="O118" i="22"/>
  <c r="P118" i="22"/>
  <c r="Q118" i="22"/>
  <c r="C110" i="22"/>
  <c r="D110" i="22"/>
  <c r="E110" i="22"/>
  <c r="F110" i="22"/>
  <c r="G110" i="22"/>
  <c r="H110" i="22"/>
  <c r="I110" i="22"/>
  <c r="J110" i="22"/>
  <c r="K110" i="22"/>
  <c r="L110" i="22"/>
  <c r="M110" i="22"/>
  <c r="N110" i="22"/>
  <c r="O110" i="22"/>
  <c r="P110" i="22"/>
  <c r="Q110" i="22"/>
  <c r="C113" i="22"/>
  <c r="D113" i="22"/>
  <c r="E113" i="22"/>
  <c r="F113" i="22"/>
  <c r="G113" i="22"/>
  <c r="H113" i="22"/>
  <c r="I113" i="22"/>
  <c r="J113" i="22"/>
  <c r="K113" i="22"/>
  <c r="L113" i="22"/>
  <c r="M113" i="22"/>
  <c r="N113" i="22"/>
  <c r="O113" i="22"/>
  <c r="P113" i="22"/>
  <c r="Q113" i="22"/>
  <c r="C117" i="22"/>
  <c r="D117" i="22"/>
  <c r="E117" i="22"/>
  <c r="F117" i="22"/>
  <c r="G117" i="22"/>
  <c r="H117" i="22"/>
  <c r="I117" i="22"/>
  <c r="J117" i="22"/>
  <c r="K117" i="22"/>
  <c r="L117" i="22"/>
  <c r="M117" i="22"/>
  <c r="N117" i="22"/>
  <c r="O117" i="22"/>
  <c r="P117" i="22"/>
  <c r="Q117" i="22"/>
  <c r="D2" i="22"/>
  <c r="E2" i="22"/>
  <c r="F2" i="22"/>
  <c r="G2" i="22"/>
  <c r="H2" i="22"/>
  <c r="I2" i="22"/>
  <c r="J2" i="22"/>
  <c r="K2" i="22"/>
  <c r="L2" i="22"/>
  <c r="M2" i="22"/>
  <c r="N2" i="22"/>
  <c r="O2" i="22"/>
  <c r="P2" i="22"/>
  <c r="Q2" i="22"/>
  <c r="X1098" i="4"/>
  <c r="W1098" i="4"/>
  <c r="T1098" i="4"/>
  <c r="R1098" i="4"/>
  <c r="Q1098" i="4"/>
  <c r="P1098" i="4"/>
  <c r="O1098" i="4"/>
  <c r="N1098" i="4"/>
  <c r="G1098" i="4"/>
  <c r="I1098" i="4" s="1"/>
  <c r="B1098" i="4"/>
  <c r="J1098" i="4" s="1"/>
  <c r="B1037" i="4"/>
  <c r="J1037" i="4" s="1"/>
  <c r="G1037" i="4"/>
  <c r="I1037" i="4" s="1"/>
  <c r="N1037" i="4"/>
  <c r="O1037" i="4"/>
  <c r="P1037" i="4"/>
  <c r="Q1037" i="4"/>
  <c r="R1037" i="4"/>
  <c r="T1037" i="4"/>
  <c r="W1037" i="4"/>
  <c r="X1037" i="4"/>
  <c r="B1038" i="4"/>
  <c r="J1038" i="4" s="1"/>
  <c r="G1038" i="4"/>
  <c r="I1038" i="4" s="1"/>
  <c r="N1038" i="4"/>
  <c r="O1038" i="4"/>
  <c r="P1038" i="4"/>
  <c r="Q1038" i="4"/>
  <c r="R1038" i="4"/>
  <c r="T1038" i="4"/>
  <c r="W1038" i="4"/>
  <c r="X1038" i="4"/>
  <c r="B1039" i="4"/>
  <c r="J1039" i="4" s="1"/>
  <c r="G1039" i="4"/>
  <c r="I1039" i="4" s="1"/>
  <c r="N1039" i="4"/>
  <c r="O1039" i="4"/>
  <c r="P1039" i="4"/>
  <c r="Q1039" i="4"/>
  <c r="R1039" i="4"/>
  <c r="T1039" i="4"/>
  <c r="W1039" i="4"/>
  <c r="X1039" i="4"/>
  <c r="B1040" i="4"/>
  <c r="J1040" i="4" s="1"/>
  <c r="G1040" i="4"/>
  <c r="I1040" i="4" s="1"/>
  <c r="N1040" i="4"/>
  <c r="O1040" i="4"/>
  <c r="P1040" i="4"/>
  <c r="Q1040" i="4"/>
  <c r="R1040" i="4"/>
  <c r="T1040" i="4"/>
  <c r="W1040" i="4"/>
  <c r="X1040" i="4"/>
  <c r="B1041" i="4"/>
  <c r="J1041" i="4" s="1"/>
  <c r="G1041" i="4"/>
  <c r="I1041" i="4" s="1"/>
  <c r="N1041" i="4"/>
  <c r="O1041" i="4"/>
  <c r="P1041" i="4"/>
  <c r="Q1041" i="4"/>
  <c r="T1041" i="4"/>
  <c r="W1041" i="4"/>
  <c r="X1041" i="4"/>
  <c r="B1042" i="4"/>
  <c r="J1042" i="4" s="1"/>
  <c r="G1042" i="4"/>
  <c r="I1042" i="4" s="1"/>
  <c r="N1042" i="4"/>
  <c r="O1042" i="4"/>
  <c r="P1042" i="4"/>
  <c r="Q1042" i="4"/>
  <c r="R1042" i="4"/>
  <c r="T1042" i="4"/>
  <c r="W1042" i="4"/>
  <c r="X1042" i="4"/>
  <c r="B1043" i="4"/>
  <c r="J1043" i="4" s="1"/>
  <c r="G1043" i="4"/>
  <c r="I1043" i="4" s="1"/>
  <c r="N1043" i="4"/>
  <c r="O1043" i="4"/>
  <c r="P1043" i="4"/>
  <c r="Q1043" i="4"/>
  <c r="R1043" i="4"/>
  <c r="T1043" i="4"/>
  <c r="W1043" i="4"/>
  <c r="X1043" i="4"/>
  <c r="B1044" i="4"/>
  <c r="J1044" i="4" s="1"/>
  <c r="G1044" i="4"/>
  <c r="I1044" i="4" s="1"/>
  <c r="N1044" i="4"/>
  <c r="O1044" i="4"/>
  <c r="P1044" i="4"/>
  <c r="Q1044" i="4"/>
  <c r="R1044" i="4"/>
  <c r="T1044" i="4"/>
  <c r="W1044" i="4"/>
  <c r="X1044" i="4"/>
  <c r="B1045" i="4"/>
  <c r="J1045" i="4" s="1"/>
  <c r="G1045" i="4"/>
  <c r="I1045" i="4" s="1"/>
  <c r="N1045" i="4"/>
  <c r="O1045" i="4"/>
  <c r="P1045" i="4"/>
  <c r="Q1045" i="4"/>
  <c r="R1045" i="4"/>
  <c r="T1045" i="4"/>
  <c r="W1045" i="4"/>
  <c r="X1045" i="4"/>
  <c r="B1046" i="4"/>
  <c r="J1046" i="4" s="1"/>
  <c r="G1046" i="4"/>
  <c r="I1046" i="4" s="1"/>
  <c r="N1046" i="4"/>
  <c r="O1046" i="4"/>
  <c r="P1046" i="4"/>
  <c r="Q1046" i="4"/>
  <c r="R1046" i="4"/>
  <c r="T1046" i="4"/>
  <c r="W1046" i="4"/>
  <c r="X1046" i="4"/>
  <c r="B1047" i="4"/>
  <c r="J1047" i="4" s="1"/>
  <c r="G1047" i="4"/>
  <c r="I1047" i="4" s="1"/>
  <c r="N1047" i="4"/>
  <c r="O1047" i="4"/>
  <c r="P1047" i="4"/>
  <c r="Q1047" i="4"/>
  <c r="R1047" i="4"/>
  <c r="T1047" i="4"/>
  <c r="W1047" i="4"/>
  <c r="X1047" i="4"/>
  <c r="B1048" i="4"/>
  <c r="J1048" i="4" s="1"/>
  <c r="G1048" i="4"/>
  <c r="I1048" i="4" s="1"/>
  <c r="N1048" i="4"/>
  <c r="O1048" i="4"/>
  <c r="P1048" i="4"/>
  <c r="Q1048" i="4"/>
  <c r="R1048" i="4"/>
  <c r="T1048" i="4"/>
  <c r="W1048" i="4"/>
  <c r="X1048" i="4"/>
  <c r="B1049" i="4"/>
  <c r="J1049" i="4" s="1"/>
  <c r="G1049" i="4"/>
  <c r="I1049" i="4" s="1"/>
  <c r="N1049" i="4"/>
  <c r="O1049" i="4"/>
  <c r="P1049" i="4"/>
  <c r="Q1049" i="4"/>
  <c r="R1049" i="4"/>
  <c r="T1049" i="4"/>
  <c r="W1049" i="4"/>
  <c r="X1049" i="4"/>
  <c r="B1050" i="4"/>
  <c r="J1050" i="4" s="1"/>
  <c r="G1050" i="4"/>
  <c r="I1050" i="4" s="1"/>
  <c r="N1050" i="4"/>
  <c r="O1050" i="4"/>
  <c r="P1050" i="4"/>
  <c r="Q1050" i="4"/>
  <c r="T1050" i="4"/>
  <c r="W1050" i="4"/>
  <c r="X1050" i="4"/>
  <c r="B1051" i="4"/>
  <c r="J1051" i="4" s="1"/>
  <c r="G1051" i="4"/>
  <c r="I1051" i="4" s="1"/>
  <c r="N1051" i="4"/>
  <c r="O1051" i="4"/>
  <c r="P1051" i="4"/>
  <c r="Q1051" i="4"/>
  <c r="R1051" i="4"/>
  <c r="T1051" i="4"/>
  <c r="W1051" i="4"/>
  <c r="X1051" i="4"/>
  <c r="B1052" i="4"/>
  <c r="J1052" i="4" s="1"/>
  <c r="G1052" i="4"/>
  <c r="I1052" i="4" s="1"/>
  <c r="N1052" i="4"/>
  <c r="O1052" i="4"/>
  <c r="P1052" i="4"/>
  <c r="Q1052" i="4"/>
  <c r="T1052" i="4"/>
  <c r="W1052" i="4"/>
  <c r="X1052" i="4"/>
  <c r="B1053" i="4"/>
  <c r="J1053" i="4" s="1"/>
  <c r="G1053" i="4"/>
  <c r="I1053" i="4" s="1"/>
  <c r="N1053" i="4"/>
  <c r="O1053" i="4"/>
  <c r="P1053" i="4"/>
  <c r="Q1053" i="4"/>
  <c r="R1053" i="4"/>
  <c r="T1053" i="4"/>
  <c r="W1053" i="4"/>
  <c r="X1053" i="4"/>
  <c r="B1054" i="4"/>
  <c r="J1054" i="4" s="1"/>
  <c r="G1054" i="4"/>
  <c r="I1054" i="4" s="1"/>
  <c r="N1054" i="4"/>
  <c r="O1054" i="4"/>
  <c r="P1054" i="4"/>
  <c r="Q1054" i="4"/>
  <c r="R1054" i="4"/>
  <c r="T1054" i="4"/>
  <c r="W1054" i="4"/>
  <c r="X1054" i="4"/>
  <c r="B1055" i="4"/>
  <c r="J1055" i="4" s="1"/>
  <c r="G1055" i="4"/>
  <c r="I1055" i="4" s="1"/>
  <c r="N1055" i="4"/>
  <c r="O1055" i="4"/>
  <c r="P1055" i="4"/>
  <c r="Q1055" i="4"/>
  <c r="T1055" i="4"/>
  <c r="W1055" i="4"/>
  <c r="X1055" i="4"/>
  <c r="B1056" i="4"/>
  <c r="J1056" i="4" s="1"/>
  <c r="G1056" i="4"/>
  <c r="I1056" i="4" s="1"/>
  <c r="N1056" i="4"/>
  <c r="O1056" i="4"/>
  <c r="P1056" i="4"/>
  <c r="Q1056" i="4"/>
  <c r="T1056" i="4"/>
  <c r="W1056" i="4"/>
  <c r="X1056" i="4"/>
  <c r="B1057" i="4"/>
  <c r="J1057" i="4" s="1"/>
  <c r="G1057" i="4"/>
  <c r="I1057" i="4" s="1"/>
  <c r="N1057" i="4"/>
  <c r="O1057" i="4"/>
  <c r="P1057" i="4"/>
  <c r="Q1057" i="4"/>
  <c r="T1057" i="4"/>
  <c r="W1057" i="4"/>
  <c r="X1057" i="4"/>
  <c r="B1058" i="4"/>
  <c r="J1058" i="4" s="1"/>
  <c r="G1058" i="4"/>
  <c r="I1058" i="4" s="1"/>
  <c r="N1058" i="4"/>
  <c r="O1058" i="4"/>
  <c r="P1058" i="4"/>
  <c r="Q1058" i="4"/>
  <c r="T1058" i="4"/>
  <c r="W1058" i="4"/>
  <c r="X1058" i="4"/>
  <c r="B1059" i="4"/>
  <c r="J1059" i="4" s="1"/>
  <c r="G1059" i="4"/>
  <c r="I1059" i="4" s="1"/>
  <c r="N1059" i="4"/>
  <c r="O1059" i="4"/>
  <c r="P1059" i="4"/>
  <c r="Q1059" i="4"/>
  <c r="R1059" i="4"/>
  <c r="T1059" i="4"/>
  <c r="W1059" i="4"/>
  <c r="X1059" i="4"/>
  <c r="B1060" i="4"/>
  <c r="J1060" i="4" s="1"/>
  <c r="G1060" i="4"/>
  <c r="I1060" i="4" s="1"/>
  <c r="N1060" i="4"/>
  <c r="O1060" i="4"/>
  <c r="P1060" i="4"/>
  <c r="Q1060" i="4"/>
  <c r="R1060" i="4"/>
  <c r="T1060" i="4"/>
  <c r="W1060" i="4"/>
  <c r="X1060" i="4"/>
  <c r="B1061" i="4"/>
  <c r="J1061" i="4" s="1"/>
  <c r="G1061" i="4"/>
  <c r="I1061" i="4" s="1"/>
  <c r="N1061" i="4"/>
  <c r="O1061" i="4"/>
  <c r="P1061" i="4"/>
  <c r="Q1061" i="4"/>
  <c r="T1061" i="4"/>
  <c r="W1061" i="4"/>
  <c r="X1061" i="4"/>
  <c r="B1062" i="4"/>
  <c r="J1062" i="4" s="1"/>
  <c r="G1062" i="4"/>
  <c r="I1062" i="4" s="1"/>
  <c r="N1062" i="4"/>
  <c r="O1062" i="4"/>
  <c r="P1062" i="4"/>
  <c r="Q1062" i="4"/>
  <c r="T1062" i="4"/>
  <c r="W1062" i="4"/>
  <c r="X1062" i="4"/>
  <c r="B1063" i="4"/>
  <c r="J1063" i="4" s="1"/>
  <c r="G1063" i="4"/>
  <c r="I1063" i="4" s="1"/>
  <c r="N1063" i="4"/>
  <c r="O1063" i="4"/>
  <c r="P1063" i="4"/>
  <c r="Q1063" i="4"/>
  <c r="R1063" i="4"/>
  <c r="T1063" i="4"/>
  <c r="W1063" i="4"/>
  <c r="X1063" i="4"/>
  <c r="B1064" i="4"/>
  <c r="J1064" i="4" s="1"/>
  <c r="G1064" i="4"/>
  <c r="I1064" i="4" s="1"/>
  <c r="N1064" i="4"/>
  <c r="O1064" i="4"/>
  <c r="P1064" i="4"/>
  <c r="Q1064" i="4"/>
  <c r="T1064" i="4"/>
  <c r="W1064" i="4"/>
  <c r="X1064" i="4"/>
  <c r="B1065" i="4"/>
  <c r="J1065" i="4" s="1"/>
  <c r="G1065" i="4"/>
  <c r="I1065" i="4" s="1"/>
  <c r="N1065" i="4"/>
  <c r="O1065" i="4"/>
  <c r="P1065" i="4"/>
  <c r="Q1065" i="4"/>
  <c r="R1065" i="4"/>
  <c r="T1065" i="4"/>
  <c r="W1065" i="4"/>
  <c r="X1065" i="4"/>
  <c r="B1066" i="4"/>
  <c r="J1066" i="4" s="1"/>
  <c r="G1066" i="4"/>
  <c r="I1066" i="4" s="1"/>
  <c r="N1066" i="4"/>
  <c r="O1066" i="4"/>
  <c r="P1066" i="4"/>
  <c r="Q1066" i="4"/>
  <c r="R1066" i="4"/>
  <c r="T1066" i="4"/>
  <c r="W1066" i="4"/>
  <c r="X1066" i="4"/>
  <c r="B1067" i="4"/>
  <c r="J1067" i="4" s="1"/>
  <c r="G1067" i="4"/>
  <c r="I1067" i="4" s="1"/>
  <c r="N1067" i="4"/>
  <c r="O1067" i="4"/>
  <c r="P1067" i="4"/>
  <c r="Q1067" i="4"/>
  <c r="R1067" i="4"/>
  <c r="T1067" i="4"/>
  <c r="W1067" i="4"/>
  <c r="X1067" i="4"/>
  <c r="B1068" i="4"/>
  <c r="J1068" i="4" s="1"/>
  <c r="G1068" i="4"/>
  <c r="I1068" i="4" s="1"/>
  <c r="N1068" i="4"/>
  <c r="O1068" i="4"/>
  <c r="P1068" i="4"/>
  <c r="Q1068" i="4"/>
  <c r="T1068" i="4"/>
  <c r="W1068" i="4"/>
  <c r="X1068" i="4"/>
  <c r="B1069" i="4"/>
  <c r="J1069" i="4" s="1"/>
  <c r="G1069" i="4"/>
  <c r="I1069" i="4" s="1"/>
  <c r="N1069" i="4"/>
  <c r="O1069" i="4"/>
  <c r="P1069" i="4"/>
  <c r="Q1069" i="4"/>
  <c r="R1069" i="4"/>
  <c r="T1069" i="4"/>
  <c r="W1069" i="4"/>
  <c r="X1069" i="4"/>
  <c r="B1070" i="4"/>
  <c r="J1070" i="4" s="1"/>
  <c r="G1070" i="4"/>
  <c r="I1070" i="4" s="1"/>
  <c r="N1070" i="4"/>
  <c r="O1070" i="4"/>
  <c r="P1070" i="4"/>
  <c r="Q1070" i="4"/>
  <c r="R1070" i="4"/>
  <c r="T1070" i="4"/>
  <c r="W1070" i="4"/>
  <c r="X1070" i="4"/>
  <c r="B1071" i="4"/>
  <c r="J1071" i="4" s="1"/>
  <c r="G1071" i="4"/>
  <c r="I1071" i="4" s="1"/>
  <c r="N1071" i="4"/>
  <c r="O1071" i="4"/>
  <c r="P1071" i="4"/>
  <c r="Q1071" i="4"/>
  <c r="T1071" i="4"/>
  <c r="W1071" i="4"/>
  <c r="X1071" i="4"/>
  <c r="B1072" i="4"/>
  <c r="J1072" i="4" s="1"/>
  <c r="G1072" i="4"/>
  <c r="I1072" i="4" s="1"/>
  <c r="N1072" i="4"/>
  <c r="O1072" i="4"/>
  <c r="P1072" i="4"/>
  <c r="Q1072" i="4"/>
  <c r="R1072" i="4"/>
  <c r="T1072" i="4"/>
  <c r="W1072" i="4"/>
  <c r="X1072" i="4"/>
  <c r="B1073" i="4"/>
  <c r="J1073" i="4" s="1"/>
  <c r="G1073" i="4"/>
  <c r="I1073" i="4" s="1"/>
  <c r="N1073" i="4"/>
  <c r="O1073" i="4"/>
  <c r="P1073" i="4"/>
  <c r="Q1073" i="4"/>
  <c r="R1073" i="4"/>
  <c r="T1073" i="4"/>
  <c r="W1073" i="4"/>
  <c r="X1073" i="4"/>
  <c r="B1074" i="4"/>
  <c r="J1074" i="4" s="1"/>
  <c r="G1074" i="4"/>
  <c r="I1074" i="4" s="1"/>
  <c r="N1074" i="4"/>
  <c r="O1074" i="4"/>
  <c r="P1074" i="4"/>
  <c r="Q1074" i="4"/>
  <c r="R1074" i="4"/>
  <c r="T1074" i="4"/>
  <c r="W1074" i="4"/>
  <c r="X1074" i="4"/>
  <c r="B1075" i="4"/>
  <c r="J1075" i="4" s="1"/>
  <c r="G1075" i="4"/>
  <c r="I1075" i="4" s="1"/>
  <c r="N1075" i="4"/>
  <c r="O1075" i="4"/>
  <c r="P1075" i="4"/>
  <c r="Q1075" i="4"/>
  <c r="R1075" i="4"/>
  <c r="T1075" i="4"/>
  <c r="W1075" i="4"/>
  <c r="X1075" i="4"/>
  <c r="B1076" i="4"/>
  <c r="J1076" i="4" s="1"/>
  <c r="G1076" i="4"/>
  <c r="I1076" i="4" s="1"/>
  <c r="N1076" i="4"/>
  <c r="O1076" i="4"/>
  <c r="P1076" i="4"/>
  <c r="Q1076" i="4"/>
  <c r="R1076" i="4"/>
  <c r="T1076" i="4"/>
  <c r="W1076" i="4"/>
  <c r="X1076" i="4"/>
  <c r="B1077" i="4"/>
  <c r="J1077" i="4" s="1"/>
  <c r="G1077" i="4"/>
  <c r="I1077" i="4" s="1"/>
  <c r="N1077" i="4"/>
  <c r="O1077" i="4"/>
  <c r="P1077" i="4"/>
  <c r="Q1077" i="4"/>
  <c r="R1077" i="4"/>
  <c r="T1077" i="4"/>
  <c r="W1077" i="4"/>
  <c r="X1077" i="4"/>
  <c r="B1078" i="4"/>
  <c r="J1078" i="4" s="1"/>
  <c r="G1078" i="4"/>
  <c r="I1078" i="4" s="1"/>
  <c r="N1078" i="4"/>
  <c r="O1078" i="4"/>
  <c r="P1078" i="4"/>
  <c r="Q1078" i="4"/>
  <c r="R1078" i="4"/>
  <c r="T1078" i="4"/>
  <c r="W1078" i="4"/>
  <c r="X1078" i="4"/>
  <c r="B1079" i="4"/>
  <c r="J1079" i="4" s="1"/>
  <c r="G1079" i="4"/>
  <c r="I1079" i="4" s="1"/>
  <c r="N1079" i="4"/>
  <c r="O1079" i="4"/>
  <c r="P1079" i="4"/>
  <c r="Q1079" i="4"/>
  <c r="R1079" i="4"/>
  <c r="T1079" i="4"/>
  <c r="W1079" i="4"/>
  <c r="X1079" i="4"/>
  <c r="B1080" i="4"/>
  <c r="J1080" i="4" s="1"/>
  <c r="G1080" i="4"/>
  <c r="I1080" i="4" s="1"/>
  <c r="N1080" i="4"/>
  <c r="O1080" i="4"/>
  <c r="P1080" i="4"/>
  <c r="Q1080" i="4"/>
  <c r="R1080" i="4"/>
  <c r="T1080" i="4"/>
  <c r="W1080" i="4"/>
  <c r="X1080" i="4"/>
  <c r="B1081" i="4"/>
  <c r="J1081" i="4" s="1"/>
  <c r="G1081" i="4"/>
  <c r="I1081" i="4" s="1"/>
  <c r="N1081" i="4"/>
  <c r="O1081" i="4"/>
  <c r="P1081" i="4"/>
  <c r="Q1081" i="4"/>
  <c r="R1081" i="4"/>
  <c r="T1081" i="4"/>
  <c r="W1081" i="4"/>
  <c r="X1081" i="4"/>
  <c r="B1082" i="4"/>
  <c r="J1082" i="4" s="1"/>
  <c r="G1082" i="4"/>
  <c r="I1082" i="4" s="1"/>
  <c r="N1082" i="4"/>
  <c r="O1082" i="4"/>
  <c r="P1082" i="4"/>
  <c r="Q1082" i="4"/>
  <c r="T1082" i="4"/>
  <c r="W1082" i="4"/>
  <c r="X1082" i="4"/>
  <c r="B1083" i="4"/>
  <c r="J1083" i="4" s="1"/>
  <c r="G1083" i="4"/>
  <c r="I1083" i="4" s="1"/>
  <c r="N1083" i="4"/>
  <c r="O1083" i="4"/>
  <c r="P1083" i="4"/>
  <c r="Q1083" i="4"/>
  <c r="R1083" i="4"/>
  <c r="T1083" i="4"/>
  <c r="W1083" i="4"/>
  <c r="X1083" i="4"/>
  <c r="B1084" i="4"/>
  <c r="J1084" i="4" s="1"/>
  <c r="G1084" i="4"/>
  <c r="I1084" i="4" s="1"/>
  <c r="N1084" i="4"/>
  <c r="O1084" i="4"/>
  <c r="P1084" i="4"/>
  <c r="Q1084" i="4"/>
  <c r="T1084" i="4"/>
  <c r="W1084" i="4"/>
  <c r="X1084" i="4"/>
  <c r="B1085" i="4"/>
  <c r="J1085" i="4" s="1"/>
  <c r="G1085" i="4"/>
  <c r="I1085" i="4" s="1"/>
  <c r="N1085" i="4"/>
  <c r="O1085" i="4"/>
  <c r="P1085" i="4"/>
  <c r="Q1085" i="4"/>
  <c r="T1085" i="4"/>
  <c r="W1085" i="4"/>
  <c r="X1085" i="4"/>
  <c r="B1086" i="4"/>
  <c r="J1086" i="4" s="1"/>
  <c r="G1086" i="4"/>
  <c r="I1086" i="4" s="1"/>
  <c r="N1086" i="4"/>
  <c r="O1086" i="4"/>
  <c r="P1086" i="4"/>
  <c r="Q1086" i="4"/>
  <c r="R1086" i="4"/>
  <c r="T1086" i="4"/>
  <c r="W1086" i="4"/>
  <c r="X1086" i="4"/>
  <c r="B1087" i="4"/>
  <c r="J1087" i="4" s="1"/>
  <c r="G1087" i="4"/>
  <c r="I1087" i="4" s="1"/>
  <c r="N1087" i="4"/>
  <c r="O1087" i="4"/>
  <c r="P1087" i="4"/>
  <c r="Q1087" i="4"/>
  <c r="T1087" i="4"/>
  <c r="W1087" i="4"/>
  <c r="X1087" i="4"/>
  <c r="B1088" i="4"/>
  <c r="J1088" i="4" s="1"/>
  <c r="G1088" i="4"/>
  <c r="I1088" i="4" s="1"/>
  <c r="N1088" i="4"/>
  <c r="O1088" i="4"/>
  <c r="P1088" i="4"/>
  <c r="Q1088" i="4"/>
  <c r="R1088" i="4"/>
  <c r="T1088" i="4"/>
  <c r="W1088" i="4"/>
  <c r="X1088" i="4"/>
  <c r="B1089" i="4"/>
  <c r="J1089" i="4" s="1"/>
  <c r="G1089" i="4"/>
  <c r="I1089" i="4" s="1"/>
  <c r="N1089" i="4"/>
  <c r="O1089" i="4"/>
  <c r="P1089" i="4"/>
  <c r="Q1089" i="4"/>
  <c r="R1089" i="4"/>
  <c r="T1089" i="4"/>
  <c r="W1089" i="4"/>
  <c r="X1089" i="4"/>
  <c r="B1090" i="4"/>
  <c r="J1090" i="4" s="1"/>
  <c r="G1090" i="4"/>
  <c r="I1090" i="4" s="1"/>
  <c r="N1090" i="4"/>
  <c r="O1090" i="4"/>
  <c r="P1090" i="4"/>
  <c r="Q1090" i="4"/>
  <c r="R1090" i="4"/>
  <c r="T1090" i="4"/>
  <c r="W1090" i="4"/>
  <c r="X1090" i="4"/>
  <c r="B1091" i="4"/>
  <c r="J1091" i="4" s="1"/>
  <c r="G1091" i="4"/>
  <c r="I1091" i="4" s="1"/>
  <c r="N1091" i="4"/>
  <c r="O1091" i="4"/>
  <c r="P1091" i="4"/>
  <c r="Q1091" i="4"/>
  <c r="R1091" i="4"/>
  <c r="T1091" i="4"/>
  <c r="W1091" i="4"/>
  <c r="X1091" i="4"/>
  <c r="B1092" i="4"/>
  <c r="J1092" i="4" s="1"/>
  <c r="G1092" i="4"/>
  <c r="I1092" i="4" s="1"/>
  <c r="N1092" i="4"/>
  <c r="O1092" i="4"/>
  <c r="P1092" i="4"/>
  <c r="Q1092" i="4"/>
  <c r="R1092" i="4"/>
  <c r="T1092" i="4"/>
  <c r="W1092" i="4"/>
  <c r="X1092" i="4"/>
  <c r="B1093" i="4"/>
  <c r="J1093" i="4" s="1"/>
  <c r="G1093" i="4"/>
  <c r="I1093" i="4" s="1"/>
  <c r="N1093" i="4"/>
  <c r="O1093" i="4"/>
  <c r="P1093" i="4"/>
  <c r="Q1093" i="4"/>
  <c r="R1093" i="4"/>
  <c r="T1093" i="4"/>
  <c r="W1093" i="4"/>
  <c r="X1093" i="4"/>
  <c r="B1094" i="4"/>
  <c r="J1094" i="4" s="1"/>
  <c r="G1094" i="4"/>
  <c r="I1094" i="4" s="1"/>
  <c r="N1094" i="4"/>
  <c r="O1094" i="4"/>
  <c r="P1094" i="4"/>
  <c r="Q1094" i="4"/>
  <c r="R1094" i="4"/>
  <c r="T1094" i="4"/>
  <c r="W1094" i="4"/>
  <c r="X1094" i="4"/>
  <c r="B1095" i="4"/>
  <c r="J1095" i="4" s="1"/>
  <c r="G1095" i="4"/>
  <c r="I1095" i="4" s="1"/>
  <c r="N1095" i="4"/>
  <c r="O1095" i="4"/>
  <c r="P1095" i="4"/>
  <c r="Q1095" i="4"/>
  <c r="R1095" i="4"/>
  <c r="T1095" i="4"/>
  <c r="W1095" i="4"/>
  <c r="X1095" i="4"/>
  <c r="B1096" i="4"/>
  <c r="J1096" i="4" s="1"/>
  <c r="G1096" i="4"/>
  <c r="I1096" i="4" s="1"/>
  <c r="N1096" i="4"/>
  <c r="O1096" i="4"/>
  <c r="P1096" i="4"/>
  <c r="Q1096" i="4"/>
  <c r="R1096" i="4"/>
  <c r="T1096" i="4"/>
  <c r="W1096" i="4"/>
  <c r="X1096" i="4"/>
  <c r="B1097" i="4"/>
  <c r="J1097" i="4" s="1"/>
  <c r="G1097" i="4"/>
  <c r="I1097" i="4" s="1"/>
  <c r="N1097" i="4"/>
  <c r="O1097" i="4"/>
  <c r="P1097" i="4"/>
  <c r="Q1097" i="4"/>
  <c r="R1097" i="4"/>
  <c r="T1097" i="4"/>
  <c r="W1097" i="4"/>
  <c r="X1097" i="4"/>
  <c r="B1099" i="4"/>
  <c r="J1099" i="4" s="1"/>
  <c r="K1099" i="4" s="1"/>
  <c r="G1099" i="4"/>
  <c r="I1099" i="4" s="1"/>
  <c r="N1099" i="4"/>
  <c r="O1099" i="4"/>
  <c r="P1099" i="4"/>
  <c r="Q1099" i="4"/>
  <c r="R1099" i="4"/>
  <c r="T1099" i="4"/>
  <c r="W1099" i="4"/>
  <c r="X1099" i="4"/>
  <c r="B1100" i="4"/>
  <c r="J1100" i="4" s="1"/>
  <c r="G1100" i="4"/>
  <c r="I1100" i="4" s="1"/>
  <c r="N1100" i="4"/>
  <c r="O1100" i="4"/>
  <c r="P1100" i="4"/>
  <c r="Q1100" i="4"/>
  <c r="T1100" i="4"/>
  <c r="W1100" i="4"/>
  <c r="X1100" i="4"/>
  <c r="B1101" i="4"/>
  <c r="J1101" i="4" s="1"/>
  <c r="G1101" i="4"/>
  <c r="I1101" i="4" s="1"/>
  <c r="N1101" i="4"/>
  <c r="O1101" i="4"/>
  <c r="P1101" i="4"/>
  <c r="Q1101" i="4"/>
  <c r="R1101" i="4"/>
  <c r="T1101" i="4"/>
  <c r="W1101" i="4"/>
  <c r="X1101" i="4"/>
  <c r="B1102" i="4"/>
  <c r="J1102" i="4" s="1"/>
  <c r="G1102" i="4"/>
  <c r="I1102" i="4" s="1"/>
  <c r="N1102" i="4"/>
  <c r="O1102" i="4"/>
  <c r="P1102" i="4"/>
  <c r="Q1102" i="4"/>
  <c r="T1102" i="4"/>
  <c r="W1102" i="4"/>
  <c r="X1102" i="4"/>
  <c r="B1103" i="4"/>
  <c r="J1103" i="4" s="1"/>
  <c r="G1103" i="4"/>
  <c r="I1103" i="4" s="1"/>
  <c r="N1103" i="4"/>
  <c r="O1103" i="4"/>
  <c r="P1103" i="4"/>
  <c r="Q1103" i="4"/>
  <c r="T1103" i="4"/>
  <c r="W1103" i="4"/>
  <c r="X1103" i="4"/>
  <c r="B1104" i="4"/>
  <c r="J1104" i="4" s="1"/>
  <c r="G1104" i="4"/>
  <c r="I1104" i="4" s="1"/>
  <c r="N1104" i="4"/>
  <c r="O1104" i="4"/>
  <c r="P1104" i="4"/>
  <c r="Q1104" i="4"/>
  <c r="R1104" i="4"/>
  <c r="T1104" i="4"/>
  <c r="W1104" i="4"/>
  <c r="X1104" i="4"/>
  <c r="B1105" i="4"/>
  <c r="J1105" i="4" s="1"/>
  <c r="G1105" i="4"/>
  <c r="I1105" i="4" s="1"/>
  <c r="N1105" i="4"/>
  <c r="O1105" i="4"/>
  <c r="P1105" i="4"/>
  <c r="Q1105" i="4"/>
  <c r="R1105" i="4"/>
  <c r="T1105" i="4"/>
  <c r="W1105" i="4"/>
  <c r="X1105" i="4"/>
  <c r="B1106" i="4"/>
  <c r="J1106" i="4" s="1"/>
  <c r="G1106" i="4"/>
  <c r="I1106" i="4" s="1"/>
  <c r="N1106" i="4"/>
  <c r="O1106" i="4"/>
  <c r="P1106" i="4"/>
  <c r="Q1106" i="4"/>
  <c r="T1106" i="4"/>
  <c r="W1106" i="4"/>
  <c r="X1106" i="4"/>
  <c r="B1107" i="4"/>
  <c r="J1107" i="4" s="1"/>
  <c r="G1107" i="4"/>
  <c r="I1107" i="4" s="1"/>
  <c r="N1107" i="4"/>
  <c r="O1107" i="4"/>
  <c r="P1107" i="4"/>
  <c r="Q1107" i="4"/>
  <c r="T1107" i="4"/>
  <c r="W1107" i="4"/>
  <c r="X1107" i="4"/>
  <c r="B1108" i="4"/>
  <c r="J1108" i="4" s="1"/>
  <c r="G1108" i="4"/>
  <c r="I1108" i="4" s="1"/>
  <c r="N1108" i="4"/>
  <c r="O1108" i="4"/>
  <c r="P1108" i="4"/>
  <c r="Q1108" i="4"/>
  <c r="T1108" i="4"/>
  <c r="W1108" i="4"/>
  <c r="X1108" i="4"/>
  <c r="B1145" i="4"/>
  <c r="J1145" i="4" s="1"/>
  <c r="G1145" i="4"/>
  <c r="I1145" i="4" s="1"/>
  <c r="N1145" i="4"/>
  <c r="O1145" i="4"/>
  <c r="P1145" i="4"/>
  <c r="Q1145" i="4"/>
  <c r="R1145" i="4"/>
  <c r="T1145" i="4"/>
  <c r="W1145" i="4"/>
  <c r="X1145" i="4"/>
  <c r="B1140" i="4"/>
  <c r="J1140" i="4" s="1"/>
  <c r="G1140" i="4"/>
  <c r="I1140" i="4" s="1"/>
  <c r="N1140" i="4"/>
  <c r="O1140" i="4"/>
  <c r="P1140" i="4"/>
  <c r="Q1140" i="4"/>
  <c r="R1140" i="4"/>
  <c r="T1140" i="4"/>
  <c r="W1140" i="4"/>
  <c r="X1140" i="4"/>
  <c r="B1137" i="4"/>
  <c r="J1137" i="4" s="1"/>
  <c r="G1137" i="4"/>
  <c r="I1137" i="4" s="1"/>
  <c r="N1137" i="4"/>
  <c r="O1137" i="4"/>
  <c r="P1137" i="4"/>
  <c r="Q1137" i="4"/>
  <c r="R1137" i="4"/>
  <c r="T1137" i="4"/>
  <c r="W1137" i="4"/>
  <c r="X1137" i="4"/>
  <c r="B1160" i="4"/>
  <c r="J1160" i="4" s="1"/>
  <c r="G1160" i="4"/>
  <c r="I1160" i="4" s="1"/>
  <c r="N1160" i="4"/>
  <c r="O1160" i="4"/>
  <c r="P1160" i="4"/>
  <c r="Q1160" i="4"/>
  <c r="R1160" i="4"/>
  <c r="T1160" i="4"/>
  <c r="W1160" i="4"/>
  <c r="X1160" i="4"/>
  <c r="B1139" i="4"/>
  <c r="J1139" i="4" s="1"/>
  <c r="G1139" i="4"/>
  <c r="I1139" i="4" s="1"/>
  <c r="N1139" i="4"/>
  <c r="O1139" i="4"/>
  <c r="P1139" i="4"/>
  <c r="Q1139" i="4"/>
  <c r="R1139" i="4"/>
  <c r="T1139" i="4"/>
  <c r="W1139" i="4"/>
  <c r="X1139" i="4"/>
  <c r="B1158" i="4"/>
  <c r="J1158" i="4" s="1"/>
  <c r="G1158" i="4"/>
  <c r="I1158" i="4" s="1"/>
  <c r="N1158" i="4"/>
  <c r="O1158" i="4"/>
  <c r="P1158" i="4"/>
  <c r="Q1158" i="4"/>
  <c r="T1158" i="4"/>
  <c r="W1158" i="4"/>
  <c r="X1158" i="4"/>
  <c r="B1150" i="4"/>
  <c r="J1150" i="4" s="1"/>
  <c r="G1150" i="4"/>
  <c r="I1150" i="4" s="1"/>
  <c r="N1150" i="4"/>
  <c r="O1150" i="4"/>
  <c r="P1150" i="4"/>
  <c r="Q1150" i="4"/>
  <c r="R1150" i="4"/>
  <c r="T1150" i="4"/>
  <c r="W1150" i="4"/>
  <c r="X1150" i="4"/>
  <c r="B1159" i="4"/>
  <c r="J1159" i="4" s="1"/>
  <c r="G1159" i="4"/>
  <c r="I1159" i="4" s="1"/>
  <c r="N1159" i="4"/>
  <c r="O1159" i="4"/>
  <c r="P1159" i="4"/>
  <c r="Q1159" i="4"/>
  <c r="R1159" i="4"/>
  <c r="T1159" i="4"/>
  <c r="W1159" i="4"/>
  <c r="X1159" i="4"/>
  <c r="B1149" i="4"/>
  <c r="J1149" i="4" s="1"/>
  <c r="K1149" i="4" s="1"/>
  <c r="Z1149" i="4" s="1"/>
  <c r="N1149" i="4"/>
  <c r="O1149" i="4"/>
  <c r="P1149" i="4"/>
  <c r="Q1149" i="4"/>
  <c r="R1149" i="4"/>
  <c r="S1149" i="4"/>
  <c r="T1149" i="4"/>
  <c r="W1149" i="4"/>
  <c r="X1149" i="4"/>
  <c r="B1147" i="4"/>
  <c r="J1147" i="4" s="1"/>
  <c r="G1147" i="4"/>
  <c r="I1147" i="4" s="1"/>
  <c r="N1147" i="4"/>
  <c r="O1147" i="4"/>
  <c r="P1147" i="4"/>
  <c r="Q1147" i="4"/>
  <c r="R1147" i="4"/>
  <c r="T1147" i="4"/>
  <c r="W1147" i="4"/>
  <c r="X1147" i="4"/>
  <c r="B1117" i="4"/>
  <c r="J1117" i="4" s="1"/>
  <c r="G1117" i="4"/>
  <c r="I1117" i="4" s="1"/>
  <c r="N1117" i="4"/>
  <c r="O1117" i="4"/>
  <c r="P1117" i="4"/>
  <c r="Q1117" i="4"/>
  <c r="R1117" i="4"/>
  <c r="T1117" i="4"/>
  <c r="W1117" i="4"/>
  <c r="X1117" i="4"/>
  <c r="B1132" i="4"/>
  <c r="J1132" i="4" s="1"/>
  <c r="G1132" i="4"/>
  <c r="I1132" i="4" s="1"/>
  <c r="N1132" i="4"/>
  <c r="O1132" i="4"/>
  <c r="P1132" i="4"/>
  <c r="Q1132" i="4"/>
  <c r="R1132" i="4"/>
  <c r="T1132" i="4"/>
  <c r="W1132" i="4"/>
  <c r="X1132" i="4"/>
  <c r="B1146" i="4"/>
  <c r="J1146" i="4" s="1"/>
  <c r="K1146" i="4" s="1"/>
  <c r="Z1146" i="4" s="1"/>
  <c r="G1146" i="4"/>
  <c r="N1146" i="4"/>
  <c r="O1146" i="4"/>
  <c r="P1146" i="4"/>
  <c r="Q1146" i="4"/>
  <c r="R1146" i="4"/>
  <c r="S1146" i="4"/>
  <c r="T1146" i="4"/>
  <c r="W1146" i="4"/>
  <c r="X1146" i="4"/>
  <c r="B1142" i="4"/>
  <c r="J1142" i="4" s="1"/>
  <c r="G1142" i="4"/>
  <c r="I1142" i="4" s="1"/>
  <c r="N1142" i="4"/>
  <c r="O1142" i="4"/>
  <c r="P1142" i="4"/>
  <c r="Q1142" i="4"/>
  <c r="R1142" i="4"/>
  <c r="T1142" i="4"/>
  <c r="W1142" i="4"/>
  <c r="X1142" i="4"/>
  <c r="B1124" i="4"/>
  <c r="J1124" i="4" s="1"/>
  <c r="G1124" i="4"/>
  <c r="I1124" i="4" s="1"/>
  <c r="N1124" i="4"/>
  <c r="O1124" i="4"/>
  <c r="P1124" i="4"/>
  <c r="Q1124" i="4"/>
  <c r="T1124" i="4"/>
  <c r="W1124" i="4"/>
  <c r="X1124" i="4"/>
  <c r="B1133" i="4"/>
  <c r="J1133" i="4" s="1"/>
  <c r="G1133" i="4"/>
  <c r="I1133" i="4" s="1"/>
  <c r="N1133" i="4"/>
  <c r="O1133" i="4"/>
  <c r="P1133" i="4"/>
  <c r="Q1133" i="4"/>
  <c r="R1133" i="4"/>
  <c r="T1133" i="4"/>
  <c r="W1133" i="4"/>
  <c r="X1133" i="4"/>
  <c r="B1183" i="4"/>
  <c r="J1183" i="4" s="1"/>
  <c r="G1183" i="4"/>
  <c r="I1183" i="4" s="1"/>
  <c r="N1183" i="4"/>
  <c r="O1183" i="4"/>
  <c r="P1183" i="4"/>
  <c r="Q1183" i="4"/>
  <c r="T1183" i="4"/>
  <c r="W1183" i="4"/>
  <c r="X1183" i="4"/>
  <c r="B1151" i="4"/>
  <c r="J1151" i="4" s="1"/>
  <c r="G1151" i="4"/>
  <c r="I1151" i="4" s="1"/>
  <c r="N1151" i="4"/>
  <c r="O1151" i="4"/>
  <c r="P1151" i="4"/>
  <c r="Q1151" i="4"/>
  <c r="R1151" i="4"/>
  <c r="T1151" i="4"/>
  <c r="W1151" i="4"/>
  <c r="X1151" i="4"/>
  <c r="B1123" i="4"/>
  <c r="J1123" i="4" s="1"/>
  <c r="G1123" i="4"/>
  <c r="I1123" i="4" s="1"/>
  <c r="N1123" i="4"/>
  <c r="O1123" i="4"/>
  <c r="P1123" i="4"/>
  <c r="Q1123" i="4"/>
  <c r="R1123" i="4"/>
  <c r="T1123" i="4"/>
  <c r="W1123" i="4"/>
  <c r="X1123" i="4"/>
  <c r="B1116" i="4"/>
  <c r="J1116" i="4" s="1"/>
  <c r="G1116" i="4"/>
  <c r="I1116" i="4" s="1"/>
  <c r="N1116" i="4"/>
  <c r="O1116" i="4"/>
  <c r="P1116" i="4"/>
  <c r="Q1116" i="4"/>
  <c r="R1116" i="4"/>
  <c r="T1116" i="4"/>
  <c r="W1116" i="4"/>
  <c r="X1116" i="4"/>
  <c r="B1154" i="4"/>
  <c r="J1154" i="4" s="1"/>
  <c r="G1154" i="4"/>
  <c r="I1154" i="4" s="1"/>
  <c r="N1154" i="4"/>
  <c r="O1154" i="4"/>
  <c r="P1154" i="4"/>
  <c r="Q1154" i="4"/>
  <c r="R1154" i="4"/>
  <c r="T1154" i="4"/>
  <c r="W1154" i="4"/>
  <c r="X1154" i="4"/>
  <c r="B1127" i="4"/>
  <c r="J1127" i="4" s="1"/>
  <c r="G1127" i="4"/>
  <c r="I1127" i="4" s="1"/>
  <c r="N1127" i="4"/>
  <c r="O1127" i="4"/>
  <c r="P1127" i="4"/>
  <c r="Q1127" i="4"/>
  <c r="R1127" i="4"/>
  <c r="T1127" i="4"/>
  <c r="W1127" i="4"/>
  <c r="X1127" i="4"/>
  <c r="G1156" i="4"/>
  <c r="I1156" i="4" s="1"/>
  <c r="N1156" i="4"/>
  <c r="O1156" i="4"/>
  <c r="P1156" i="4"/>
  <c r="Q1156" i="4"/>
  <c r="R1156" i="4"/>
  <c r="T1156" i="4"/>
  <c r="W1156" i="4"/>
  <c r="X1156" i="4"/>
  <c r="B1162" i="4"/>
  <c r="J1162" i="4" s="1"/>
  <c r="G1162" i="4"/>
  <c r="I1162" i="4" s="1"/>
  <c r="N1162" i="4"/>
  <c r="O1162" i="4"/>
  <c r="P1162" i="4"/>
  <c r="Q1162" i="4"/>
  <c r="R1162" i="4"/>
  <c r="T1162" i="4"/>
  <c r="W1162" i="4"/>
  <c r="X1162" i="4"/>
  <c r="B1165" i="4"/>
  <c r="J1165" i="4" s="1"/>
  <c r="G1165" i="4"/>
  <c r="I1165" i="4" s="1"/>
  <c r="N1165" i="4"/>
  <c r="O1165" i="4"/>
  <c r="P1165" i="4"/>
  <c r="Q1165" i="4"/>
  <c r="R1165" i="4"/>
  <c r="T1165" i="4"/>
  <c r="W1165" i="4"/>
  <c r="X1165" i="4"/>
  <c r="B1113" i="4"/>
  <c r="J1113" i="4" s="1"/>
  <c r="G1113" i="4"/>
  <c r="I1113" i="4" s="1"/>
  <c r="N1113" i="4"/>
  <c r="O1113" i="4"/>
  <c r="P1113" i="4"/>
  <c r="Q1113" i="4"/>
  <c r="T1113" i="4"/>
  <c r="W1113" i="4"/>
  <c r="X1113" i="4"/>
  <c r="B1126" i="4"/>
  <c r="J1126" i="4" s="1"/>
  <c r="G1126" i="4"/>
  <c r="I1126" i="4" s="1"/>
  <c r="N1126" i="4"/>
  <c r="O1126" i="4"/>
  <c r="P1126" i="4"/>
  <c r="Q1126" i="4"/>
  <c r="R1126" i="4"/>
  <c r="T1126" i="4"/>
  <c r="W1126" i="4"/>
  <c r="X1126" i="4"/>
  <c r="B1135" i="4"/>
  <c r="J1135" i="4" s="1"/>
  <c r="G1135" i="4"/>
  <c r="I1135" i="4" s="1"/>
  <c r="N1135" i="4"/>
  <c r="O1135" i="4"/>
  <c r="P1135" i="4"/>
  <c r="Q1135" i="4"/>
  <c r="R1135" i="4"/>
  <c r="T1135" i="4"/>
  <c r="W1135" i="4"/>
  <c r="X1135" i="4"/>
  <c r="B1180" i="4"/>
  <c r="J1180" i="4" s="1"/>
  <c r="G1180" i="4"/>
  <c r="I1180" i="4" s="1"/>
  <c r="N1180" i="4"/>
  <c r="O1180" i="4"/>
  <c r="P1180" i="4"/>
  <c r="Q1180" i="4"/>
  <c r="R1180" i="4"/>
  <c r="T1180" i="4"/>
  <c r="W1180" i="4"/>
  <c r="X1180" i="4"/>
  <c r="B1120" i="4"/>
  <c r="J1120" i="4" s="1"/>
  <c r="G1120" i="4"/>
  <c r="I1120" i="4" s="1"/>
  <c r="N1120" i="4"/>
  <c r="O1120" i="4"/>
  <c r="P1120" i="4"/>
  <c r="Q1120" i="4"/>
  <c r="R1120" i="4"/>
  <c r="T1120" i="4"/>
  <c r="W1120" i="4"/>
  <c r="X1120" i="4"/>
  <c r="B1128" i="4"/>
  <c r="J1128" i="4" s="1"/>
  <c r="G1128" i="4"/>
  <c r="I1128" i="4" s="1"/>
  <c r="N1128" i="4"/>
  <c r="O1128" i="4"/>
  <c r="P1128" i="4"/>
  <c r="Q1128" i="4"/>
  <c r="T1128" i="4"/>
  <c r="W1128" i="4"/>
  <c r="X1128" i="4"/>
  <c r="B1130" i="4"/>
  <c r="J1130" i="4" s="1"/>
  <c r="G1130" i="4"/>
  <c r="I1130" i="4" s="1"/>
  <c r="N1130" i="4"/>
  <c r="O1130" i="4"/>
  <c r="P1130" i="4"/>
  <c r="Q1130" i="4"/>
  <c r="T1130" i="4"/>
  <c r="W1130" i="4"/>
  <c r="X1130" i="4"/>
  <c r="B1178" i="4"/>
  <c r="J1178" i="4" s="1"/>
  <c r="G1178" i="4"/>
  <c r="I1178" i="4" s="1"/>
  <c r="N1178" i="4"/>
  <c r="O1178" i="4"/>
  <c r="P1178" i="4"/>
  <c r="Q1178" i="4"/>
  <c r="R1178" i="4"/>
  <c r="T1178" i="4"/>
  <c r="W1178" i="4"/>
  <c r="X1178" i="4"/>
  <c r="B1167" i="4"/>
  <c r="J1167" i="4" s="1"/>
  <c r="G1167" i="4"/>
  <c r="I1167" i="4" s="1"/>
  <c r="N1167" i="4"/>
  <c r="O1167" i="4"/>
  <c r="P1167" i="4"/>
  <c r="Q1167" i="4"/>
  <c r="R1167" i="4"/>
  <c r="T1167" i="4"/>
  <c r="W1167" i="4"/>
  <c r="X1167" i="4"/>
  <c r="B1163" i="4"/>
  <c r="J1163" i="4" s="1"/>
  <c r="G1163" i="4"/>
  <c r="I1163" i="4" s="1"/>
  <c r="N1163" i="4"/>
  <c r="O1163" i="4"/>
  <c r="P1163" i="4"/>
  <c r="Q1163" i="4"/>
  <c r="T1163" i="4"/>
  <c r="W1163" i="4"/>
  <c r="X1163" i="4"/>
  <c r="B1136" i="4"/>
  <c r="J1136" i="4" s="1"/>
  <c r="G1136" i="4"/>
  <c r="I1136" i="4" s="1"/>
  <c r="N1136" i="4"/>
  <c r="O1136" i="4"/>
  <c r="P1136" i="4"/>
  <c r="Q1136" i="4"/>
  <c r="R1136" i="4"/>
  <c r="T1136" i="4"/>
  <c r="W1136" i="4"/>
  <c r="X1136" i="4"/>
  <c r="B1118" i="4"/>
  <c r="J1118" i="4" s="1"/>
  <c r="G1118" i="4"/>
  <c r="I1118" i="4" s="1"/>
  <c r="N1118" i="4"/>
  <c r="O1118" i="4"/>
  <c r="P1118" i="4"/>
  <c r="Q1118" i="4"/>
  <c r="T1118" i="4"/>
  <c r="W1118" i="4"/>
  <c r="X1118" i="4"/>
  <c r="B1125" i="4"/>
  <c r="J1125" i="4" s="1"/>
  <c r="G1125" i="4"/>
  <c r="I1125" i="4" s="1"/>
  <c r="N1125" i="4"/>
  <c r="O1125" i="4"/>
  <c r="P1125" i="4"/>
  <c r="Q1125" i="4"/>
  <c r="R1125" i="4"/>
  <c r="T1125" i="4"/>
  <c r="W1125" i="4"/>
  <c r="X1125" i="4"/>
  <c r="B1119" i="4"/>
  <c r="J1119" i="4" s="1"/>
  <c r="G1119" i="4"/>
  <c r="I1119" i="4" s="1"/>
  <c r="N1119" i="4"/>
  <c r="O1119" i="4"/>
  <c r="P1119" i="4"/>
  <c r="Q1119" i="4"/>
  <c r="R1119" i="4"/>
  <c r="T1119" i="4"/>
  <c r="W1119" i="4"/>
  <c r="X1119" i="4"/>
  <c r="B1175" i="4"/>
  <c r="J1175" i="4" s="1"/>
  <c r="G1175" i="4"/>
  <c r="I1175" i="4" s="1"/>
  <c r="N1175" i="4"/>
  <c r="O1175" i="4"/>
  <c r="P1175" i="4"/>
  <c r="Q1175" i="4"/>
  <c r="T1175" i="4"/>
  <c r="W1175" i="4"/>
  <c r="X1175" i="4"/>
  <c r="B1131" i="4"/>
  <c r="J1131" i="4" s="1"/>
  <c r="G1131" i="4"/>
  <c r="I1131" i="4" s="1"/>
  <c r="N1131" i="4"/>
  <c r="O1131" i="4"/>
  <c r="P1131" i="4"/>
  <c r="Q1131" i="4"/>
  <c r="R1131" i="4"/>
  <c r="T1131" i="4"/>
  <c r="W1131" i="4"/>
  <c r="X1131" i="4"/>
  <c r="B1134" i="4"/>
  <c r="J1134" i="4" s="1"/>
  <c r="G1134" i="4"/>
  <c r="I1134" i="4" s="1"/>
  <c r="N1134" i="4"/>
  <c r="O1134" i="4"/>
  <c r="P1134" i="4"/>
  <c r="Q1134" i="4"/>
  <c r="T1134" i="4"/>
  <c r="W1134" i="4"/>
  <c r="X1134" i="4"/>
  <c r="B1152" i="4"/>
  <c r="J1152" i="4" s="1"/>
  <c r="G1152" i="4"/>
  <c r="I1152" i="4" s="1"/>
  <c r="N1152" i="4"/>
  <c r="O1152" i="4"/>
  <c r="P1152" i="4"/>
  <c r="Q1152" i="4"/>
  <c r="R1152" i="4"/>
  <c r="T1152" i="4"/>
  <c r="W1152" i="4"/>
  <c r="X1152" i="4"/>
  <c r="B1170" i="4"/>
  <c r="J1170" i="4" s="1"/>
  <c r="G1170" i="4"/>
  <c r="N1170" i="4"/>
  <c r="O1170" i="4"/>
  <c r="P1170" i="4"/>
  <c r="R1170" i="4"/>
  <c r="T1170" i="4"/>
  <c r="W1170" i="4"/>
  <c r="X1170" i="4"/>
  <c r="B1153" i="4"/>
  <c r="J1153" i="4" s="1"/>
  <c r="G1153" i="4"/>
  <c r="I1153" i="4" s="1"/>
  <c r="N1153" i="4"/>
  <c r="O1153" i="4"/>
  <c r="P1153" i="4"/>
  <c r="Q1153" i="4"/>
  <c r="R1153" i="4"/>
  <c r="T1153" i="4"/>
  <c r="W1153" i="4"/>
  <c r="X1153" i="4"/>
  <c r="B1174" i="4"/>
  <c r="J1174" i="4" s="1"/>
  <c r="G1174" i="4"/>
  <c r="I1174" i="4" s="1"/>
  <c r="N1174" i="4"/>
  <c r="O1174" i="4"/>
  <c r="P1174" i="4"/>
  <c r="Q1174" i="4"/>
  <c r="T1174" i="4"/>
  <c r="W1174" i="4"/>
  <c r="X1174" i="4"/>
  <c r="B1141" i="4"/>
  <c r="J1141" i="4" s="1"/>
  <c r="G1141" i="4"/>
  <c r="I1141" i="4" s="1"/>
  <c r="N1141" i="4"/>
  <c r="O1141" i="4"/>
  <c r="P1141" i="4"/>
  <c r="Q1141" i="4"/>
  <c r="R1141" i="4"/>
  <c r="T1141" i="4"/>
  <c r="W1141" i="4"/>
  <c r="X1141" i="4"/>
  <c r="B1181" i="4"/>
  <c r="J1181" i="4" s="1"/>
  <c r="G1181" i="4"/>
  <c r="I1181" i="4" s="1"/>
  <c r="N1181" i="4"/>
  <c r="O1181" i="4"/>
  <c r="P1181" i="4"/>
  <c r="Q1181" i="4"/>
  <c r="R1181" i="4"/>
  <c r="T1181" i="4"/>
  <c r="W1181" i="4"/>
  <c r="X1181" i="4"/>
  <c r="B1144" i="4"/>
  <c r="J1144" i="4" s="1"/>
  <c r="G1144" i="4"/>
  <c r="I1144" i="4" s="1"/>
  <c r="N1144" i="4"/>
  <c r="O1144" i="4"/>
  <c r="P1144" i="4"/>
  <c r="Q1144" i="4"/>
  <c r="R1144" i="4"/>
  <c r="T1144" i="4"/>
  <c r="W1144" i="4"/>
  <c r="X1144" i="4"/>
  <c r="B1168" i="4"/>
  <c r="J1168" i="4" s="1"/>
  <c r="G1168" i="4"/>
  <c r="I1168" i="4" s="1"/>
  <c r="N1168" i="4"/>
  <c r="O1168" i="4"/>
  <c r="P1168" i="4"/>
  <c r="Q1168" i="4"/>
  <c r="R1168" i="4"/>
  <c r="T1168" i="4"/>
  <c r="W1168" i="4"/>
  <c r="X1168" i="4"/>
  <c r="B1177" i="4"/>
  <c r="J1177" i="4" s="1"/>
  <c r="G1177" i="4"/>
  <c r="I1177" i="4" s="1"/>
  <c r="N1177" i="4"/>
  <c r="O1177" i="4"/>
  <c r="P1177" i="4"/>
  <c r="Q1177" i="4"/>
  <c r="R1177" i="4"/>
  <c r="T1177" i="4"/>
  <c r="W1177" i="4"/>
  <c r="X1177" i="4"/>
  <c r="B1173" i="4"/>
  <c r="J1173" i="4" s="1"/>
  <c r="G1173" i="4"/>
  <c r="I1173" i="4" s="1"/>
  <c r="N1173" i="4"/>
  <c r="O1173" i="4"/>
  <c r="P1173" i="4"/>
  <c r="Q1173" i="4"/>
  <c r="R1173" i="4"/>
  <c r="T1173" i="4"/>
  <c r="W1173" i="4"/>
  <c r="X1173" i="4"/>
  <c r="B1182" i="4"/>
  <c r="J1182" i="4" s="1"/>
  <c r="G1182" i="4"/>
  <c r="I1182" i="4" s="1"/>
  <c r="N1182" i="4"/>
  <c r="O1182" i="4"/>
  <c r="P1182" i="4"/>
  <c r="Q1182" i="4"/>
  <c r="T1182" i="4"/>
  <c r="W1182" i="4"/>
  <c r="X1182" i="4"/>
  <c r="B1114" i="4"/>
  <c r="J1114" i="4" s="1"/>
  <c r="G1114" i="4"/>
  <c r="I1114" i="4" s="1"/>
  <c r="N1114" i="4"/>
  <c r="O1114" i="4"/>
  <c r="P1114" i="4"/>
  <c r="Q1114" i="4"/>
  <c r="R1114" i="4"/>
  <c r="T1114" i="4"/>
  <c r="W1114" i="4"/>
  <c r="X1114" i="4"/>
  <c r="B1129" i="4"/>
  <c r="J1129" i="4" s="1"/>
  <c r="G1129" i="4"/>
  <c r="I1129" i="4" s="1"/>
  <c r="N1129" i="4"/>
  <c r="O1129" i="4"/>
  <c r="P1129" i="4"/>
  <c r="Q1129" i="4"/>
  <c r="T1129" i="4"/>
  <c r="W1129" i="4"/>
  <c r="X1129" i="4"/>
  <c r="B1161" i="4"/>
  <c r="J1161" i="4" s="1"/>
  <c r="G1161" i="4"/>
  <c r="I1161" i="4" s="1"/>
  <c r="N1161" i="4"/>
  <c r="O1161" i="4"/>
  <c r="P1161" i="4"/>
  <c r="Q1161" i="4"/>
  <c r="R1161" i="4"/>
  <c r="T1161" i="4"/>
  <c r="W1161" i="4"/>
  <c r="X1161" i="4"/>
  <c r="B1169" i="4"/>
  <c r="J1169" i="4" s="1"/>
  <c r="G1169" i="4"/>
  <c r="I1169" i="4" s="1"/>
  <c r="N1169" i="4"/>
  <c r="O1169" i="4"/>
  <c r="P1169" i="4"/>
  <c r="Q1169" i="4"/>
  <c r="R1169" i="4"/>
  <c r="T1169" i="4"/>
  <c r="W1169" i="4"/>
  <c r="X1169" i="4"/>
  <c r="B1157" i="4"/>
  <c r="J1157" i="4" s="1"/>
  <c r="I1157" i="4"/>
  <c r="N1157" i="4"/>
  <c r="O1157" i="4"/>
  <c r="P1157" i="4"/>
  <c r="Q1157" i="4"/>
  <c r="R1157" i="4"/>
  <c r="T1157" i="4"/>
  <c r="W1157" i="4"/>
  <c r="X1157" i="4"/>
  <c r="B1179" i="4"/>
  <c r="J1179" i="4" s="1"/>
  <c r="G1179" i="4"/>
  <c r="I1179" i="4" s="1"/>
  <c r="N1179" i="4"/>
  <c r="O1179" i="4"/>
  <c r="P1179" i="4"/>
  <c r="Q1179" i="4"/>
  <c r="R1179" i="4"/>
  <c r="T1179" i="4"/>
  <c r="W1179" i="4"/>
  <c r="X1179" i="4"/>
  <c r="B1115" i="4"/>
  <c r="J1115" i="4" s="1"/>
  <c r="G1115" i="4"/>
  <c r="I1115" i="4" s="1"/>
  <c r="N1115" i="4"/>
  <c r="O1115" i="4"/>
  <c r="P1115" i="4"/>
  <c r="Q1115" i="4"/>
  <c r="R1115" i="4"/>
  <c r="T1115" i="4"/>
  <c r="W1115" i="4"/>
  <c r="X1115" i="4"/>
  <c r="B1138" i="4"/>
  <c r="J1138" i="4" s="1"/>
  <c r="G1138" i="4"/>
  <c r="I1138" i="4" s="1"/>
  <c r="N1138" i="4"/>
  <c r="O1138" i="4"/>
  <c r="P1138" i="4"/>
  <c r="Q1138" i="4"/>
  <c r="R1138" i="4"/>
  <c r="T1138" i="4"/>
  <c r="W1138" i="4"/>
  <c r="X1138" i="4"/>
  <c r="B1143" i="4"/>
  <c r="J1143" i="4" s="1"/>
  <c r="G1143" i="4"/>
  <c r="I1143" i="4" s="1"/>
  <c r="N1143" i="4"/>
  <c r="O1143" i="4"/>
  <c r="P1143" i="4"/>
  <c r="Q1143" i="4"/>
  <c r="R1143" i="4"/>
  <c r="T1143" i="4"/>
  <c r="W1143" i="4"/>
  <c r="X1143" i="4"/>
  <c r="B1164" i="4"/>
  <c r="J1164" i="4" s="1"/>
  <c r="G1164" i="4"/>
  <c r="I1164" i="4" s="1"/>
  <c r="N1164" i="4"/>
  <c r="O1164" i="4"/>
  <c r="P1164" i="4"/>
  <c r="Q1164" i="4"/>
  <c r="R1164" i="4"/>
  <c r="T1164" i="4"/>
  <c r="W1164" i="4"/>
  <c r="X1164" i="4"/>
  <c r="B1122" i="4"/>
  <c r="J1122" i="4" s="1"/>
  <c r="G1122" i="4"/>
  <c r="I1122" i="4" s="1"/>
  <c r="N1122" i="4"/>
  <c r="O1122" i="4"/>
  <c r="P1122" i="4"/>
  <c r="Q1122" i="4"/>
  <c r="R1122" i="4"/>
  <c r="T1122" i="4"/>
  <c r="W1122" i="4"/>
  <c r="X1122" i="4"/>
  <c r="B1171" i="4"/>
  <c r="J1171" i="4" s="1"/>
  <c r="G1171" i="4"/>
  <c r="I1171" i="4" s="1"/>
  <c r="N1171" i="4"/>
  <c r="O1171" i="4"/>
  <c r="P1171" i="4"/>
  <c r="Q1171" i="4"/>
  <c r="R1171" i="4"/>
  <c r="T1171" i="4"/>
  <c r="W1171" i="4"/>
  <c r="X1171" i="4"/>
  <c r="B1176" i="4"/>
  <c r="J1176" i="4" s="1"/>
  <c r="G1176" i="4"/>
  <c r="I1176" i="4" s="1"/>
  <c r="N1176" i="4"/>
  <c r="O1176" i="4"/>
  <c r="P1176" i="4"/>
  <c r="Q1176" i="4"/>
  <c r="T1176" i="4"/>
  <c r="W1176" i="4"/>
  <c r="X1176" i="4"/>
  <c r="B1166" i="4"/>
  <c r="J1166" i="4" s="1"/>
  <c r="G1166" i="4"/>
  <c r="I1166" i="4" s="1"/>
  <c r="N1166" i="4"/>
  <c r="O1166" i="4"/>
  <c r="P1166" i="4"/>
  <c r="Q1166" i="4"/>
  <c r="R1166" i="4"/>
  <c r="T1166" i="4"/>
  <c r="W1166" i="4"/>
  <c r="X1166" i="4"/>
  <c r="B1121" i="4"/>
  <c r="J1121" i="4" s="1"/>
  <c r="G1121" i="4"/>
  <c r="I1121" i="4" s="1"/>
  <c r="N1121" i="4"/>
  <c r="O1121" i="4"/>
  <c r="P1121" i="4"/>
  <c r="Q1121" i="4"/>
  <c r="R1121" i="4"/>
  <c r="T1121" i="4"/>
  <c r="W1121" i="4"/>
  <c r="X1121" i="4"/>
  <c r="J1184" i="4"/>
  <c r="G1184" i="4"/>
  <c r="I1184" i="4" s="1"/>
  <c r="N1184" i="4"/>
  <c r="O1184" i="4"/>
  <c r="P1184" i="4"/>
  <c r="Q1184" i="4"/>
  <c r="T1184" i="4"/>
  <c r="W1184" i="4"/>
  <c r="X1184" i="4"/>
  <c r="B1185" i="4"/>
  <c r="J1185" i="4" s="1"/>
  <c r="G1185" i="4"/>
  <c r="I1185" i="4" s="1"/>
  <c r="N1185" i="4"/>
  <c r="O1185" i="4"/>
  <c r="P1185" i="4"/>
  <c r="Q1185" i="4"/>
  <c r="R1185" i="4"/>
  <c r="T1185" i="4"/>
  <c r="W1185" i="4"/>
  <c r="X1185" i="4"/>
  <c r="B1186" i="4"/>
  <c r="J1186" i="4" s="1"/>
  <c r="G1186" i="4"/>
  <c r="I1186" i="4" s="1"/>
  <c r="N1186" i="4"/>
  <c r="O1186" i="4"/>
  <c r="P1186" i="4"/>
  <c r="Q1186" i="4"/>
  <c r="R1186" i="4"/>
  <c r="T1186" i="4"/>
  <c r="W1186" i="4"/>
  <c r="X1186" i="4"/>
  <c r="B1187" i="4"/>
  <c r="J1187" i="4" s="1"/>
  <c r="G1187" i="4"/>
  <c r="I1187" i="4" s="1"/>
  <c r="N1187" i="4"/>
  <c r="O1187" i="4"/>
  <c r="P1187" i="4"/>
  <c r="Q1187" i="4"/>
  <c r="R1187" i="4"/>
  <c r="T1187" i="4"/>
  <c r="W1187" i="4"/>
  <c r="X1187" i="4"/>
  <c r="B1188" i="4"/>
  <c r="J1188" i="4" s="1"/>
  <c r="G1188" i="4"/>
  <c r="I1188" i="4" s="1"/>
  <c r="N1188" i="4"/>
  <c r="O1188" i="4"/>
  <c r="P1188" i="4"/>
  <c r="Q1188" i="4"/>
  <c r="R1188" i="4"/>
  <c r="T1188" i="4"/>
  <c r="W1188" i="4"/>
  <c r="X1188" i="4"/>
  <c r="B1189" i="4"/>
  <c r="J1189" i="4" s="1"/>
  <c r="G1189" i="4"/>
  <c r="I1189" i="4" s="1"/>
  <c r="N1189" i="4"/>
  <c r="O1189" i="4"/>
  <c r="P1189" i="4"/>
  <c r="Q1189" i="4"/>
  <c r="R1189" i="4"/>
  <c r="T1189" i="4"/>
  <c r="W1189" i="4"/>
  <c r="X1189" i="4"/>
  <c r="B1190" i="4"/>
  <c r="J1190" i="4" s="1"/>
  <c r="G1190" i="4"/>
  <c r="I1190" i="4" s="1"/>
  <c r="N1190" i="4"/>
  <c r="O1190" i="4"/>
  <c r="P1190" i="4"/>
  <c r="Q1190" i="4"/>
  <c r="R1190" i="4"/>
  <c r="T1190" i="4"/>
  <c r="W1190" i="4"/>
  <c r="X1190" i="4"/>
  <c r="B1191" i="4"/>
  <c r="J1191" i="4" s="1"/>
  <c r="G1191" i="4"/>
  <c r="I1191" i="4" s="1"/>
  <c r="N1191" i="4"/>
  <c r="O1191" i="4"/>
  <c r="P1191" i="4"/>
  <c r="Q1191" i="4"/>
  <c r="R1191" i="4"/>
  <c r="T1191" i="4"/>
  <c r="W1191" i="4"/>
  <c r="X1191" i="4"/>
  <c r="B1192" i="4"/>
  <c r="J1192" i="4" s="1"/>
  <c r="G1192" i="4"/>
  <c r="I1192" i="4" s="1"/>
  <c r="N1192" i="4"/>
  <c r="O1192" i="4"/>
  <c r="P1192" i="4"/>
  <c r="Q1192" i="4"/>
  <c r="R1192" i="4"/>
  <c r="T1192" i="4"/>
  <c r="W1192" i="4"/>
  <c r="X1192" i="4"/>
  <c r="B1193" i="4"/>
  <c r="J1193" i="4" s="1"/>
  <c r="G1193" i="4"/>
  <c r="I1193" i="4" s="1"/>
  <c r="N1193" i="4"/>
  <c r="O1193" i="4"/>
  <c r="P1193" i="4"/>
  <c r="Q1193" i="4"/>
  <c r="R1193" i="4"/>
  <c r="T1193" i="4"/>
  <c r="W1193" i="4"/>
  <c r="X1193" i="4"/>
  <c r="B1194" i="4"/>
  <c r="J1194" i="4" s="1"/>
  <c r="G1194" i="4"/>
  <c r="I1194" i="4" s="1"/>
  <c r="N1194" i="4"/>
  <c r="O1194" i="4"/>
  <c r="P1194" i="4"/>
  <c r="Q1194" i="4"/>
  <c r="R1194" i="4"/>
  <c r="T1194" i="4"/>
  <c r="W1194" i="4"/>
  <c r="X1194" i="4"/>
  <c r="B1195" i="4"/>
  <c r="J1195" i="4" s="1"/>
  <c r="G1195" i="4"/>
  <c r="I1195" i="4" s="1"/>
  <c r="N1195" i="4"/>
  <c r="O1195" i="4"/>
  <c r="P1195" i="4"/>
  <c r="Q1195" i="4"/>
  <c r="R1195" i="4"/>
  <c r="T1195" i="4"/>
  <c r="W1195" i="4"/>
  <c r="X1195" i="4"/>
  <c r="B1196" i="4"/>
  <c r="J1196" i="4" s="1"/>
  <c r="G1196" i="4"/>
  <c r="I1196" i="4" s="1"/>
  <c r="N1196" i="4"/>
  <c r="O1196" i="4"/>
  <c r="P1196" i="4"/>
  <c r="Q1196" i="4"/>
  <c r="R1196" i="4"/>
  <c r="T1196" i="4"/>
  <c r="W1196" i="4"/>
  <c r="X1196" i="4"/>
  <c r="B1197" i="4"/>
  <c r="J1197" i="4" s="1"/>
  <c r="G1197" i="4"/>
  <c r="I1197" i="4" s="1"/>
  <c r="N1197" i="4"/>
  <c r="O1197" i="4"/>
  <c r="P1197" i="4"/>
  <c r="Q1197" i="4"/>
  <c r="T1197" i="4"/>
  <c r="W1197" i="4"/>
  <c r="X1197" i="4"/>
  <c r="B1198" i="4"/>
  <c r="J1198" i="4" s="1"/>
  <c r="G1198" i="4"/>
  <c r="I1198" i="4" s="1"/>
  <c r="N1198" i="4"/>
  <c r="O1198" i="4"/>
  <c r="P1198" i="4"/>
  <c r="Q1198" i="4"/>
  <c r="R1198" i="4"/>
  <c r="T1198" i="4"/>
  <c r="W1198" i="4"/>
  <c r="X1198" i="4"/>
  <c r="B1199" i="4"/>
  <c r="J1199" i="4" s="1"/>
  <c r="G1199" i="4"/>
  <c r="I1199" i="4" s="1"/>
  <c r="N1199" i="4"/>
  <c r="O1199" i="4"/>
  <c r="P1199" i="4"/>
  <c r="Q1199" i="4"/>
  <c r="R1199" i="4"/>
  <c r="T1199" i="4"/>
  <c r="W1199" i="4"/>
  <c r="X1199" i="4"/>
  <c r="B1200" i="4"/>
  <c r="J1200" i="4" s="1"/>
  <c r="G1200" i="4"/>
  <c r="I1200" i="4" s="1"/>
  <c r="N1200" i="4"/>
  <c r="O1200" i="4"/>
  <c r="P1200" i="4"/>
  <c r="Q1200" i="4"/>
  <c r="R1200" i="4"/>
  <c r="T1200" i="4"/>
  <c r="W1200" i="4"/>
  <c r="X1200" i="4"/>
  <c r="B1201" i="4"/>
  <c r="J1201" i="4" s="1"/>
  <c r="G1201" i="4"/>
  <c r="I1201" i="4" s="1"/>
  <c r="N1201" i="4"/>
  <c r="O1201" i="4"/>
  <c r="P1201" i="4"/>
  <c r="Q1201" i="4"/>
  <c r="R1201" i="4"/>
  <c r="T1201" i="4"/>
  <c r="W1201" i="4"/>
  <c r="X1201" i="4"/>
  <c r="B1202" i="4"/>
  <c r="J1202" i="4" s="1"/>
  <c r="G1202" i="4"/>
  <c r="I1202" i="4" s="1"/>
  <c r="N1202" i="4"/>
  <c r="O1202" i="4"/>
  <c r="P1202" i="4"/>
  <c r="Q1202" i="4"/>
  <c r="R1202" i="4"/>
  <c r="T1202" i="4"/>
  <c r="W1202" i="4"/>
  <c r="X1202" i="4"/>
  <c r="B1203" i="4"/>
  <c r="J1203" i="4" s="1"/>
  <c r="G1203" i="4"/>
  <c r="I1203" i="4" s="1"/>
  <c r="N1203" i="4"/>
  <c r="O1203" i="4"/>
  <c r="P1203" i="4"/>
  <c r="Q1203" i="4"/>
  <c r="R1203" i="4"/>
  <c r="T1203" i="4"/>
  <c r="W1203" i="4"/>
  <c r="X1203" i="4"/>
  <c r="B1204" i="4"/>
  <c r="J1204" i="4" s="1"/>
  <c r="G1204" i="4"/>
  <c r="I1204" i="4" s="1"/>
  <c r="N1204" i="4"/>
  <c r="O1204" i="4"/>
  <c r="P1204" i="4"/>
  <c r="Q1204" i="4"/>
  <c r="R1204" i="4"/>
  <c r="T1204" i="4"/>
  <c r="W1204" i="4"/>
  <c r="X1204" i="4"/>
  <c r="B1205" i="4"/>
  <c r="J1205" i="4" s="1"/>
  <c r="G1205" i="4"/>
  <c r="I1205" i="4" s="1"/>
  <c r="N1205" i="4"/>
  <c r="O1205" i="4"/>
  <c r="P1205" i="4"/>
  <c r="Q1205" i="4"/>
  <c r="R1205" i="4"/>
  <c r="T1205" i="4"/>
  <c r="W1205" i="4"/>
  <c r="X1205" i="4"/>
  <c r="B1206" i="4"/>
  <c r="J1206" i="4" s="1"/>
  <c r="G1206" i="4"/>
  <c r="I1206" i="4" s="1"/>
  <c r="N1206" i="4"/>
  <c r="O1206" i="4"/>
  <c r="P1206" i="4"/>
  <c r="Q1206" i="4"/>
  <c r="R1206" i="4"/>
  <c r="T1206" i="4"/>
  <c r="W1206" i="4"/>
  <c r="X1206" i="4"/>
  <c r="B1207" i="4"/>
  <c r="J1207" i="4" s="1"/>
  <c r="G1207" i="4"/>
  <c r="I1207" i="4" s="1"/>
  <c r="N1207" i="4"/>
  <c r="O1207" i="4"/>
  <c r="P1207" i="4"/>
  <c r="Q1207" i="4"/>
  <c r="R1207" i="4"/>
  <c r="T1207" i="4"/>
  <c r="W1207" i="4"/>
  <c r="X1207" i="4"/>
  <c r="B1208" i="4"/>
  <c r="J1208" i="4" s="1"/>
  <c r="G1208" i="4"/>
  <c r="I1208" i="4" s="1"/>
  <c r="N1208" i="4"/>
  <c r="O1208" i="4"/>
  <c r="P1208" i="4"/>
  <c r="Q1208" i="4"/>
  <c r="R1208" i="4"/>
  <c r="T1208" i="4"/>
  <c r="W1208" i="4"/>
  <c r="X1208" i="4"/>
  <c r="B1209" i="4"/>
  <c r="J1209" i="4" s="1"/>
  <c r="G1209" i="4"/>
  <c r="I1209" i="4" s="1"/>
  <c r="N1209" i="4"/>
  <c r="O1209" i="4"/>
  <c r="P1209" i="4"/>
  <c r="Q1209" i="4"/>
  <c r="T1209" i="4"/>
  <c r="W1209" i="4"/>
  <c r="X1209" i="4"/>
  <c r="J1210" i="4"/>
  <c r="G1210" i="4"/>
  <c r="I1210" i="4" s="1"/>
  <c r="S1210" i="4" s="1"/>
  <c r="N1210" i="4"/>
  <c r="O1210" i="4"/>
  <c r="P1210" i="4"/>
  <c r="Q1210" i="4"/>
  <c r="R1210" i="4"/>
  <c r="T1210" i="4"/>
  <c r="W1210" i="4"/>
  <c r="X1210" i="4"/>
  <c r="J1211" i="4"/>
  <c r="G1211" i="4"/>
  <c r="I1211" i="4" s="1"/>
  <c r="S1211" i="4" s="1"/>
  <c r="N1211" i="4"/>
  <c r="O1211" i="4"/>
  <c r="P1211" i="4"/>
  <c r="Q1211" i="4"/>
  <c r="R1211" i="4"/>
  <c r="T1211" i="4"/>
  <c r="W1211" i="4"/>
  <c r="X1211" i="4"/>
  <c r="J1212" i="4"/>
  <c r="G1212" i="4"/>
  <c r="I1212" i="4" s="1"/>
  <c r="S1212" i="4" s="1"/>
  <c r="N1212" i="4"/>
  <c r="O1212" i="4"/>
  <c r="P1212" i="4"/>
  <c r="Q1212" i="4"/>
  <c r="T1212" i="4"/>
  <c r="W1212" i="4"/>
  <c r="X1212" i="4"/>
  <c r="J1213" i="4"/>
  <c r="G1213" i="4"/>
  <c r="I1213" i="4" s="1"/>
  <c r="S1213" i="4" s="1"/>
  <c r="N1213" i="4"/>
  <c r="O1213" i="4"/>
  <c r="P1213" i="4"/>
  <c r="Q1213" i="4"/>
  <c r="R1213" i="4"/>
  <c r="T1213" i="4"/>
  <c r="W1213" i="4"/>
  <c r="X1213" i="4"/>
  <c r="J1214" i="4"/>
  <c r="G1214" i="4"/>
  <c r="I1214" i="4" s="1"/>
  <c r="S1214" i="4" s="1"/>
  <c r="N1214" i="4"/>
  <c r="O1214" i="4"/>
  <c r="P1214" i="4"/>
  <c r="Q1214" i="4"/>
  <c r="R1214" i="4"/>
  <c r="T1214" i="4"/>
  <c r="W1214" i="4"/>
  <c r="X1214" i="4"/>
  <c r="J1215" i="4"/>
  <c r="G1215" i="4"/>
  <c r="I1215" i="4" s="1"/>
  <c r="S1215" i="4" s="1"/>
  <c r="N1215" i="4"/>
  <c r="O1215" i="4"/>
  <c r="P1215" i="4"/>
  <c r="Q1215" i="4"/>
  <c r="R1215" i="4"/>
  <c r="T1215" i="4"/>
  <c r="W1215" i="4"/>
  <c r="X1215" i="4"/>
  <c r="J1216" i="4"/>
  <c r="G1216" i="4"/>
  <c r="I1216" i="4" s="1"/>
  <c r="S1216" i="4" s="1"/>
  <c r="N1216" i="4"/>
  <c r="O1216" i="4"/>
  <c r="P1216" i="4"/>
  <c r="Q1216" i="4"/>
  <c r="R1216" i="4"/>
  <c r="T1216" i="4"/>
  <c r="W1216" i="4"/>
  <c r="X1216" i="4"/>
  <c r="J1217" i="4"/>
  <c r="G1217" i="4"/>
  <c r="I1217" i="4" s="1"/>
  <c r="S1217" i="4" s="1"/>
  <c r="N1217" i="4"/>
  <c r="O1217" i="4"/>
  <c r="P1217" i="4"/>
  <c r="Q1217" i="4"/>
  <c r="T1217" i="4"/>
  <c r="W1217" i="4"/>
  <c r="X1217" i="4"/>
  <c r="J1218" i="4"/>
  <c r="G1218" i="4"/>
  <c r="I1218" i="4" s="1"/>
  <c r="S1218" i="4" s="1"/>
  <c r="N1218" i="4"/>
  <c r="O1218" i="4"/>
  <c r="P1218" i="4"/>
  <c r="Q1218" i="4"/>
  <c r="R1218" i="4"/>
  <c r="T1218" i="4"/>
  <c r="W1218" i="4"/>
  <c r="X1218" i="4"/>
  <c r="J1219" i="4"/>
  <c r="G1219" i="4"/>
  <c r="I1219" i="4" s="1"/>
  <c r="S1219" i="4" s="1"/>
  <c r="N1219" i="4"/>
  <c r="O1219" i="4"/>
  <c r="P1219" i="4"/>
  <c r="Q1219" i="4"/>
  <c r="R1219" i="4"/>
  <c r="T1219" i="4"/>
  <c r="W1219" i="4"/>
  <c r="X1219" i="4"/>
  <c r="B1220" i="4"/>
  <c r="J1220" i="4" s="1"/>
  <c r="G1220" i="4"/>
  <c r="I1220" i="4" s="1"/>
  <c r="N1220" i="4"/>
  <c r="O1220" i="4"/>
  <c r="P1220" i="4"/>
  <c r="Q1220" i="4"/>
  <c r="R1220" i="4"/>
  <c r="T1220" i="4"/>
  <c r="W1220" i="4"/>
  <c r="X1220" i="4"/>
  <c r="B1221" i="4"/>
  <c r="J1221" i="4" s="1"/>
  <c r="G1221" i="4"/>
  <c r="I1221" i="4" s="1"/>
  <c r="N1221" i="4"/>
  <c r="O1221" i="4"/>
  <c r="P1221" i="4"/>
  <c r="Q1221" i="4"/>
  <c r="R1221" i="4"/>
  <c r="T1221" i="4"/>
  <c r="W1221" i="4"/>
  <c r="X1221" i="4"/>
  <c r="B1222" i="4"/>
  <c r="J1222" i="4" s="1"/>
  <c r="G1222" i="4"/>
  <c r="I1222" i="4" s="1"/>
  <c r="N1222" i="4"/>
  <c r="O1222" i="4"/>
  <c r="P1222" i="4"/>
  <c r="Q1222" i="4"/>
  <c r="T1222" i="4"/>
  <c r="W1222" i="4"/>
  <c r="X1222" i="4"/>
  <c r="B1223" i="4"/>
  <c r="J1223" i="4" s="1"/>
  <c r="G1223" i="4"/>
  <c r="I1223" i="4" s="1"/>
  <c r="N1223" i="4"/>
  <c r="O1223" i="4"/>
  <c r="P1223" i="4"/>
  <c r="Q1223" i="4"/>
  <c r="R1223" i="4"/>
  <c r="T1223" i="4"/>
  <c r="W1223" i="4"/>
  <c r="X1223" i="4"/>
  <c r="B1224" i="4"/>
  <c r="J1224" i="4" s="1"/>
  <c r="G1224" i="4"/>
  <c r="I1224" i="4" s="1"/>
  <c r="N1224" i="4"/>
  <c r="O1224" i="4"/>
  <c r="P1224" i="4"/>
  <c r="Q1224" i="4"/>
  <c r="R1224" i="4"/>
  <c r="T1224" i="4"/>
  <c r="W1224" i="4"/>
  <c r="X1224" i="4"/>
  <c r="B1225" i="4"/>
  <c r="J1225" i="4" s="1"/>
  <c r="G1225" i="4"/>
  <c r="I1225" i="4" s="1"/>
  <c r="N1225" i="4"/>
  <c r="O1225" i="4"/>
  <c r="P1225" i="4"/>
  <c r="Q1225" i="4"/>
  <c r="R1225" i="4"/>
  <c r="T1225" i="4"/>
  <c r="W1225" i="4"/>
  <c r="X1225" i="4"/>
  <c r="B1034" i="4"/>
  <c r="J1034" i="4" s="1"/>
  <c r="G1034" i="4"/>
  <c r="I1034" i="4" s="1"/>
  <c r="N1034" i="4"/>
  <c r="O1034" i="4"/>
  <c r="P1034" i="4"/>
  <c r="Q1034" i="4"/>
  <c r="R1034" i="4"/>
  <c r="T1034" i="4"/>
  <c r="W1034" i="4"/>
  <c r="X1034" i="4"/>
  <c r="B1035" i="4"/>
  <c r="J1035" i="4" s="1"/>
  <c r="G1035" i="4"/>
  <c r="I1035" i="4" s="1"/>
  <c r="N1035" i="4"/>
  <c r="O1035" i="4"/>
  <c r="P1035" i="4"/>
  <c r="Q1035" i="4"/>
  <c r="R1035" i="4"/>
  <c r="T1035" i="4"/>
  <c r="W1035" i="4"/>
  <c r="X1035" i="4"/>
  <c r="B1036" i="4"/>
  <c r="J1036" i="4" s="1"/>
  <c r="G1036" i="4"/>
  <c r="I1036" i="4" s="1"/>
  <c r="N1036" i="4"/>
  <c r="O1036" i="4"/>
  <c r="P1036" i="4"/>
  <c r="Q1036" i="4"/>
  <c r="R1036" i="4"/>
  <c r="T1036" i="4"/>
  <c r="W1036" i="4"/>
  <c r="X1036" i="4"/>
  <c r="B1023" i="4"/>
  <c r="J1023" i="4" s="1"/>
  <c r="G1023" i="4"/>
  <c r="I1023" i="4" s="1"/>
  <c r="N1023" i="4"/>
  <c r="O1023" i="4"/>
  <c r="P1023" i="4"/>
  <c r="Q1023" i="4"/>
  <c r="R1023" i="4"/>
  <c r="T1023" i="4"/>
  <c r="W1023" i="4"/>
  <c r="X1023" i="4"/>
  <c r="B1024" i="4"/>
  <c r="J1024" i="4" s="1"/>
  <c r="G1024" i="4"/>
  <c r="I1024" i="4" s="1"/>
  <c r="N1024" i="4"/>
  <c r="O1024" i="4"/>
  <c r="P1024" i="4"/>
  <c r="Q1024" i="4"/>
  <c r="R1024" i="4"/>
  <c r="T1024" i="4"/>
  <c r="W1024" i="4"/>
  <c r="X1024" i="4"/>
  <c r="B1025" i="4"/>
  <c r="J1025" i="4" s="1"/>
  <c r="G1025" i="4"/>
  <c r="I1025" i="4" s="1"/>
  <c r="N1025" i="4"/>
  <c r="O1025" i="4"/>
  <c r="P1025" i="4"/>
  <c r="Q1025" i="4"/>
  <c r="T1025" i="4"/>
  <c r="W1025" i="4"/>
  <c r="X1025" i="4"/>
  <c r="B1026" i="4"/>
  <c r="J1026" i="4" s="1"/>
  <c r="G1026" i="4"/>
  <c r="I1026" i="4" s="1"/>
  <c r="N1026" i="4"/>
  <c r="O1026" i="4"/>
  <c r="P1026" i="4"/>
  <c r="Q1026" i="4"/>
  <c r="R1026" i="4"/>
  <c r="T1026" i="4"/>
  <c r="W1026" i="4"/>
  <c r="X1026" i="4"/>
  <c r="B1027" i="4"/>
  <c r="J1027" i="4" s="1"/>
  <c r="G1027" i="4"/>
  <c r="I1027" i="4" s="1"/>
  <c r="N1027" i="4"/>
  <c r="O1027" i="4"/>
  <c r="P1027" i="4"/>
  <c r="Q1027" i="4"/>
  <c r="R1027" i="4"/>
  <c r="T1027" i="4"/>
  <c r="W1027" i="4"/>
  <c r="X1027" i="4"/>
  <c r="B1028" i="4"/>
  <c r="J1028" i="4" s="1"/>
  <c r="G1028" i="4"/>
  <c r="I1028" i="4" s="1"/>
  <c r="N1028" i="4"/>
  <c r="O1028" i="4"/>
  <c r="P1028" i="4"/>
  <c r="Q1028" i="4"/>
  <c r="T1028" i="4"/>
  <c r="W1028" i="4"/>
  <c r="X1028" i="4"/>
  <c r="B1029" i="4"/>
  <c r="J1029" i="4" s="1"/>
  <c r="G1029" i="4"/>
  <c r="I1029" i="4" s="1"/>
  <c r="N1029" i="4"/>
  <c r="O1029" i="4"/>
  <c r="P1029" i="4"/>
  <c r="Q1029" i="4"/>
  <c r="R1029" i="4"/>
  <c r="T1029" i="4"/>
  <c r="W1029" i="4"/>
  <c r="X1029" i="4"/>
  <c r="B1030" i="4"/>
  <c r="J1030" i="4" s="1"/>
  <c r="G1030" i="4"/>
  <c r="I1030" i="4" s="1"/>
  <c r="N1030" i="4"/>
  <c r="O1030" i="4"/>
  <c r="P1030" i="4"/>
  <c r="Q1030" i="4"/>
  <c r="T1030" i="4"/>
  <c r="W1030" i="4"/>
  <c r="X1030" i="4"/>
  <c r="B1031" i="4"/>
  <c r="J1031" i="4" s="1"/>
  <c r="G1031" i="4"/>
  <c r="I1031" i="4" s="1"/>
  <c r="N1031" i="4"/>
  <c r="O1031" i="4"/>
  <c r="P1031" i="4"/>
  <c r="Q1031" i="4"/>
  <c r="R1031" i="4"/>
  <c r="T1031" i="4"/>
  <c r="W1031" i="4"/>
  <c r="X1031" i="4"/>
  <c r="B1032" i="4"/>
  <c r="J1032" i="4" s="1"/>
  <c r="G1032" i="4"/>
  <c r="I1032" i="4" s="1"/>
  <c r="N1032" i="4"/>
  <c r="O1032" i="4"/>
  <c r="P1032" i="4"/>
  <c r="Q1032" i="4"/>
  <c r="T1032" i="4"/>
  <c r="W1032" i="4"/>
  <c r="X1032" i="4"/>
  <c r="B1033" i="4"/>
  <c r="J1033" i="4" s="1"/>
  <c r="G1033" i="4"/>
  <c r="I1033" i="4" s="1"/>
  <c r="N1033" i="4"/>
  <c r="O1033" i="4"/>
  <c r="P1033" i="4"/>
  <c r="Q1033" i="4"/>
  <c r="R1033" i="4"/>
  <c r="T1033" i="4"/>
  <c r="W1033" i="4"/>
  <c r="X1033" i="4"/>
  <c r="B1006" i="4"/>
  <c r="J1006" i="4" s="1"/>
  <c r="G1006" i="4"/>
  <c r="I1006" i="4" s="1"/>
  <c r="N1006" i="4"/>
  <c r="O1006" i="4"/>
  <c r="P1006" i="4"/>
  <c r="Q1006" i="4"/>
  <c r="R1006" i="4"/>
  <c r="T1006" i="4"/>
  <c r="W1006" i="4"/>
  <c r="X1006" i="4"/>
  <c r="B1007" i="4"/>
  <c r="J1007" i="4" s="1"/>
  <c r="G1007" i="4"/>
  <c r="I1007" i="4" s="1"/>
  <c r="N1007" i="4"/>
  <c r="O1007" i="4"/>
  <c r="P1007" i="4"/>
  <c r="Q1007" i="4"/>
  <c r="R1007" i="4"/>
  <c r="T1007" i="4"/>
  <c r="W1007" i="4"/>
  <c r="X1007" i="4"/>
  <c r="B1008" i="4"/>
  <c r="J1008" i="4" s="1"/>
  <c r="G1008" i="4"/>
  <c r="I1008" i="4" s="1"/>
  <c r="N1008" i="4"/>
  <c r="O1008" i="4"/>
  <c r="P1008" i="4"/>
  <c r="Q1008" i="4"/>
  <c r="R1008" i="4"/>
  <c r="T1008" i="4"/>
  <c r="W1008" i="4"/>
  <c r="X1008" i="4"/>
  <c r="B1009" i="4"/>
  <c r="J1009" i="4" s="1"/>
  <c r="G1009" i="4"/>
  <c r="I1009" i="4" s="1"/>
  <c r="N1009" i="4"/>
  <c r="O1009" i="4"/>
  <c r="P1009" i="4"/>
  <c r="Q1009" i="4"/>
  <c r="R1009" i="4"/>
  <c r="T1009" i="4"/>
  <c r="W1009" i="4"/>
  <c r="X1009" i="4"/>
  <c r="B1010" i="4"/>
  <c r="J1010" i="4" s="1"/>
  <c r="G1010" i="4"/>
  <c r="I1010" i="4" s="1"/>
  <c r="N1010" i="4"/>
  <c r="O1010" i="4"/>
  <c r="P1010" i="4"/>
  <c r="Q1010" i="4"/>
  <c r="R1010" i="4"/>
  <c r="T1010" i="4"/>
  <c r="W1010" i="4"/>
  <c r="X1010" i="4"/>
  <c r="B1011" i="4"/>
  <c r="J1011" i="4" s="1"/>
  <c r="G1011" i="4"/>
  <c r="I1011" i="4" s="1"/>
  <c r="N1011" i="4"/>
  <c r="O1011" i="4"/>
  <c r="P1011" i="4"/>
  <c r="Q1011" i="4"/>
  <c r="R1011" i="4"/>
  <c r="T1011" i="4"/>
  <c r="W1011" i="4"/>
  <c r="X1011" i="4"/>
  <c r="B1012" i="4"/>
  <c r="J1012" i="4" s="1"/>
  <c r="G1012" i="4"/>
  <c r="I1012" i="4" s="1"/>
  <c r="N1012" i="4"/>
  <c r="O1012" i="4"/>
  <c r="P1012" i="4"/>
  <c r="Q1012" i="4"/>
  <c r="T1012" i="4"/>
  <c r="W1012" i="4"/>
  <c r="X1012" i="4"/>
  <c r="B1013" i="4"/>
  <c r="J1013" i="4" s="1"/>
  <c r="G1013" i="4"/>
  <c r="I1013" i="4" s="1"/>
  <c r="N1013" i="4"/>
  <c r="O1013" i="4"/>
  <c r="P1013" i="4"/>
  <c r="Q1013" i="4"/>
  <c r="R1013" i="4"/>
  <c r="T1013" i="4"/>
  <c r="W1013" i="4"/>
  <c r="X1013" i="4"/>
  <c r="B1014" i="4"/>
  <c r="J1014" i="4" s="1"/>
  <c r="G1014" i="4"/>
  <c r="I1014" i="4" s="1"/>
  <c r="N1014" i="4"/>
  <c r="O1014" i="4"/>
  <c r="P1014" i="4"/>
  <c r="Q1014" i="4"/>
  <c r="R1014" i="4"/>
  <c r="T1014" i="4"/>
  <c r="W1014" i="4"/>
  <c r="X1014" i="4"/>
  <c r="B1015" i="4"/>
  <c r="J1015" i="4" s="1"/>
  <c r="G1015" i="4"/>
  <c r="I1015" i="4" s="1"/>
  <c r="N1015" i="4"/>
  <c r="O1015" i="4"/>
  <c r="P1015" i="4"/>
  <c r="Q1015" i="4"/>
  <c r="R1015" i="4"/>
  <c r="T1015" i="4"/>
  <c r="W1015" i="4"/>
  <c r="X1015" i="4"/>
  <c r="B1016" i="4"/>
  <c r="J1016" i="4" s="1"/>
  <c r="G1016" i="4"/>
  <c r="I1016" i="4" s="1"/>
  <c r="N1016" i="4"/>
  <c r="O1016" i="4"/>
  <c r="P1016" i="4"/>
  <c r="Q1016" i="4"/>
  <c r="T1016" i="4"/>
  <c r="W1016" i="4"/>
  <c r="X1016" i="4"/>
  <c r="B1017" i="4"/>
  <c r="J1017" i="4" s="1"/>
  <c r="G1017" i="4"/>
  <c r="I1017" i="4" s="1"/>
  <c r="N1017" i="4"/>
  <c r="O1017" i="4"/>
  <c r="P1017" i="4"/>
  <c r="Q1017" i="4"/>
  <c r="T1017" i="4"/>
  <c r="W1017" i="4"/>
  <c r="X1017" i="4"/>
  <c r="B1018" i="4"/>
  <c r="J1018" i="4" s="1"/>
  <c r="G1018" i="4"/>
  <c r="I1018" i="4" s="1"/>
  <c r="N1018" i="4"/>
  <c r="O1018" i="4"/>
  <c r="P1018" i="4"/>
  <c r="Q1018" i="4"/>
  <c r="T1018" i="4"/>
  <c r="W1018" i="4"/>
  <c r="X1018" i="4"/>
  <c r="B1019" i="4"/>
  <c r="J1019" i="4" s="1"/>
  <c r="G1019" i="4"/>
  <c r="I1019" i="4" s="1"/>
  <c r="N1019" i="4"/>
  <c r="O1019" i="4"/>
  <c r="P1019" i="4"/>
  <c r="Q1019" i="4"/>
  <c r="R1019" i="4"/>
  <c r="T1019" i="4"/>
  <c r="W1019" i="4"/>
  <c r="X1019" i="4"/>
  <c r="B1020" i="4"/>
  <c r="J1020" i="4" s="1"/>
  <c r="G1020" i="4"/>
  <c r="I1020" i="4" s="1"/>
  <c r="N1020" i="4"/>
  <c r="O1020" i="4"/>
  <c r="P1020" i="4"/>
  <c r="Q1020" i="4"/>
  <c r="R1020" i="4"/>
  <c r="T1020" i="4"/>
  <c r="W1020" i="4"/>
  <c r="X1020" i="4"/>
  <c r="B1021" i="4"/>
  <c r="J1021" i="4" s="1"/>
  <c r="G1021" i="4"/>
  <c r="I1021" i="4" s="1"/>
  <c r="N1021" i="4"/>
  <c r="O1021" i="4"/>
  <c r="P1021" i="4"/>
  <c r="Q1021" i="4"/>
  <c r="R1021" i="4"/>
  <c r="T1021" i="4"/>
  <c r="W1021" i="4"/>
  <c r="X1021" i="4"/>
  <c r="B1022" i="4"/>
  <c r="J1022" i="4" s="1"/>
  <c r="G1022" i="4"/>
  <c r="I1022" i="4" s="1"/>
  <c r="N1022" i="4"/>
  <c r="O1022" i="4"/>
  <c r="P1022" i="4"/>
  <c r="Q1022" i="4"/>
  <c r="R1022" i="4"/>
  <c r="T1022" i="4"/>
  <c r="W1022" i="4"/>
  <c r="X1022" i="4"/>
  <c r="G989" i="4"/>
  <c r="I989" i="4" s="1"/>
  <c r="B983" i="4"/>
  <c r="J983" i="4" s="1"/>
  <c r="G983" i="4"/>
  <c r="I983" i="4" s="1"/>
  <c r="N983" i="4"/>
  <c r="O983" i="4"/>
  <c r="P983" i="4"/>
  <c r="Q983" i="4"/>
  <c r="T983" i="4"/>
  <c r="W983" i="4"/>
  <c r="X983" i="4"/>
  <c r="B984" i="4"/>
  <c r="J984" i="4" s="1"/>
  <c r="G984" i="4"/>
  <c r="I984" i="4" s="1"/>
  <c r="N984" i="4"/>
  <c r="O984" i="4"/>
  <c r="P984" i="4"/>
  <c r="Q984" i="4"/>
  <c r="R984" i="4"/>
  <c r="T984" i="4"/>
  <c r="W984" i="4"/>
  <c r="X984" i="4"/>
  <c r="B985" i="4"/>
  <c r="J985" i="4" s="1"/>
  <c r="G985" i="4"/>
  <c r="I985" i="4" s="1"/>
  <c r="N985" i="4"/>
  <c r="O985" i="4"/>
  <c r="P985" i="4"/>
  <c r="Q985" i="4"/>
  <c r="T985" i="4"/>
  <c r="W985" i="4"/>
  <c r="X985" i="4"/>
  <c r="B986" i="4"/>
  <c r="J986" i="4" s="1"/>
  <c r="G986" i="4"/>
  <c r="I986" i="4" s="1"/>
  <c r="N986" i="4"/>
  <c r="O986" i="4"/>
  <c r="P986" i="4"/>
  <c r="Q986" i="4"/>
  <c r="T986" i="4"/>
  <c r="W986" i="4"/>
  <c r="X986" i="4"/>
  <c r="J987" i="4"/>
  <c r="N987" i="4"/>
  <c r="O987" i="4"/>
  <c r="P987" i="4"/>
  <c r="Q987" i="4"/>
  <c r="R987" i="4"/>
  <c r="S987" i="4"/>
  <c r="T987" i="4"/>
  <c r="W987" i="4"/>
  <c r="X987" i="4"/>
  <c r="B988" i="4"/>
  <c r="J988" i="4" s="1"/>
  <c r="G988" i="4"/>
  <c r="I988" i="4" s="1"/>
  <c r="N988" i="4"/>
  <c r="O988" i="4"/>
  <c r="P988" i="4"/>
  <c r="Q988" i="4"/>
  <c r="R988" i="4"/>
  <c r="T988" i="4"/>
  <c r="W988" i="4"/>
  <c r="X988" i="4"/>
  <c r="B989" i="4"/>
  <c r="J989" i="4" s="1"/>
  <c r="N989" i="4"/>
  <c r="O989" i="4"/>
  <c r="P989" i="4"/>
  <c r="Q989" i="4"/>
  <c r="T989" i="4"/>
  <c r="W989" i="4"/>
  <c r="X989" i="4"/>
  <c r="B990" i="4"/>
  <c r="J990" i="4" s="1"/>
  <c r="G990" i="4"/>
  <c r="I990" i="4" s="1"/>
  <c r="N990" i="4"/>
  <c r="O990" i="4"/>
  <c r="P990" i="4"/>
  <c r="Q990" i="4"/>
  <c r="R990" i="4"/>
  <c r="T990" i="4"/>
  <c r="W990" i="4"/>
  <c r="X990" i="4"/>
  <c r="B991" i="4"/>
  <c r="J991" i="4" s="1"/>
  <c r="G991" i="4"/>
  <c r="I991" i="4" s="1"/>
  <c r="N991" i="4"/>
  <c r="O991" i="4"/>
  <c r="P991" i="4"/>
  <c r="Q991" i="4"/>
  <c r="R991" i="4"/>
  <c r="T991" i="4"/>
  <c r="W991" i="4"/>
  <c r="X991" i="4"/>
  <c r="B992" i="4"/>
  <c r="J992" i="4" s="1"/>
  <c r="G992" i="4"/>
  <c r="I992" i="4" s="1"/>
  <c r="N992" i="4"/>
  <c r="O992" i="4"/>
  <c r="P992" i="4"/>
  <c r="Q992" i="4"/>
  <c r="T992" i="4"/>
  <c r="W992" i="4"/>
  <c r="X992" i="4"/>
  <c r="B993" i="4"/>
  <c r="J993" i="4" s="1"/>
  <c r="G993" i="4"/>
  <c r="I993" i="4" s="1"/>
  <c r="N993" i="4"/>
  <c r="O993" i="4"/>
  <c r="P993" i="4"/>
  <c r="Q993" i="4"/>
  <c r="T993" i="4"/>
  <c r="W993" i="4"/>
  <c r="X993" i="4"/>
  <c r="B994" i="4"/>
  <c r="J994" i="4" s="1"/>
  <c r="G994" i="4"/>
  <c r="I994" i="4" s="1"/>
  <c r="N994" i="4"/>
  <c r="O994" i="4"/>
  <c r="P994" i="4"/>
  <c r="Q994" i="4"/>
  <c r="R994" i="4"/>
  <c r="T994" i="4"/>
  <c r="W994" i="4"/>
  <c r="X994" i="4"/>
  <c r="B995" i="4"/>
  <c r="J995" i="4" s="1"/>
  <c r="G995" i="4"/>
  <c r="I995" i="4" s="1"/>
  <c r="N995" i="4"/>
  <c r="O995" i="4"/>
  <c r="P995" i="4"/>
  <c r="Q995" i="4"/>
  <c r="R995" i="4"/>
  <c r="T995" i="4"/>
  <c r="W995" i="4"/>
  <c r="X995" i="4"/>
  <c r="B996" i="4"/>
  <c r="J996" i="4" s="1"/>
  <c r="G996" i="4"/>
  <c r="I996" i="4" s="1"/>
  <c r="N996" i="4"/>
  <c r="O996" i="4"/>
  <c r="P996" i="4"/>
  <c r="Q996" i="4"/>
  <c r="T996" i="4"/>
  <c r="W996" i="4"/>
  <c r="X996" i="4"/>
  <c r="B997" i="4"/>
  <c r="J997" i="4" s="1"/>
  <c r="G997" i="4"/>
  <c r="I997" i="4" s="1"/>
  <c r="N997" i="4"/>
  <c r="O997" i="4"/>
  <c r="P997" i="4"/>
  <c r="Q997" i="4"/>
  <c r="R997" i="4"/>
  <c r="T997" i="4"/>
  <c r="W997" i="4"/>
  <c r="X997" i="4"/>
  <c r="B998" i="4"/>
  <c r="J998" i="4" s="1"/>
  <c r="G998" i="4"/>
  <c r="I998" i="4" s="1"/>
  <c r="N998" i="4"/>
  <c r="O998" i="4"/>
  <c r="P998" i="4"/>
  <c r="Q998" i="4"/>
  <c r="R998" i="4"/>
  <c r="T998" i="4"/>
  <c r="W998" i="4"/>
  <c r="X998" i="4"/>
  <c r="B999" i="4"/>
  <c r="J999" i="4" s="1"/>
  <c r="G999" i="4"/>
  <c r="I999" i="4" s="1"/>
  <c r="N999" i="4"/>
  <c r="O999" i="4"/>
  <c r="P999" i="4"/>
  <c r="Q999" i="4"/>
  <c r="T999" i="4"/>
  <c r="W999" i="4"/>
  <c r="X999" i="4"/>
  <c r="B1000" i="4"/>
  <c r="J1000" i="4" s="1"/>
  <c r="G1000" i="4"/>
  <c r="I1000" i="4" s="1"/>
  <c r="N1000" i="4"/>
  <c r="O1000" i="4"/>
  <c r="P1000" i="4"/>
  <c r="Q1000" i="4"/>
  <c r="T1000" i="4"/>
  <c r="W1000" i="4"/>
  <c r="X1000" i="4"/>
  <c r="B1001" i="4"/>
  <c r="J1001" i="4" s="1"/>
  <c r="G1001" i="4"/>
  <c r="I1001" i="4" s="1"/>
  <c r="N1001" i="4"/>
  <c r="O1001" i="4"/>
  <c r="P1001" i="4"/>
  <c r="Q1001" i="4"/>
  <c r="R1001" i="4"/>
  <c r="T1001" i="4"/>
  <c r="W1001" i="4"/>
  <c r="X1001" i="4"/>
  <c r="B1002" i="4"/>
  <c r="J1002" i="4" s="1"/>
  <c r="G1002" i="4"/>
  <c r="I1002" i="4" s="1"/>
  <c r="N1002" i="4"/>
  <c r="O1002" i="4"/>
  <c r="P1002" i="4"/>
  <c r="Q1002" i="4"/>
  <c r="R1002" i="4"/>
  <c r="T1002" i="4"/>
  <c r="W1002" i="4"/>
  <c r="X1002" i="4"/>
  <c r="B1003" i="4"/>
  <c r="J1003" i="4" s="1"/>
  <c r="G1003" i="4"/>
  <c r="I1003" i="4" s="1"/>
  <c r="N1003" i="4"/>
  <c r="O1003" i="4"/>
  <c r="P1003" i="4"/>
  <c r="Q1003" i="4"/>
  <c r="R1003" i="4"/>
  <c r="T1003" i="4"/>
  <c r="W1003" i="4"/>
  <c r="X1003" i="4"/>
  <c r="B1004" i="4"/>
  <c r="J1004" i="4" s="1"/>
  <c r="G1004" i="4"/>
  <c r="I1004" i="4" s="1"/>
  <c r="N1004" i="4"/>
  <c r="O1004" i="4"/>
  <c r="P1004" i="4"/>
  <c r="Q1004" i="4"/>
  <c r="R1004" i="4"/>
  <c r="T1004" i="4"/>
  <c r="W1004" i="4"/>
  <c r="X1004" i="4"/>
  <c r="B1005" i="4"/>
  <c r="J1005" i="4" s="1"/>
  <c r="G1005" i="4"/>
  <c r="I1005" i="4" s="1"/>
  <c r="N1005" i="4"/>
  <c r="O1005" i="4"/>
  <c r="P1005" i="4"/>
  <c r="Q1005" i="4"/>
  <c r="T1005" i="4"/>
  <c r="W1005" i="4"/>
  <c r="X1005" i="4"/>
  <c r="R118" i="22" l="1"/>
  <c r="R115" i="22"/>
  <c r="R59" i="22"/>
  <c r="R108" i="22"/>
  <c r="R105" i="22"/>
  <c r="R95" i="22"/>
  <c r="R91" i="22"/>
  <c r="R87" i="22"/>
  <c r="R75" i="22"/>
  <c r="R79" i="22"/>
  <c r="R83" i="22"/>
  <c r="R71" i="22"/>
  <c r="R67" i="22"/>
  <c r="R63" i="22"/>
  <c r="R101" i="22"/>
  <c r="R55" i="22"/>
  <c r="R51" i="22"/>
  <c r="R47" i="22"/>
  <c r="R43" i="22"/>
  <c r="R39" i="22"/>
  <c r="R35" i="22"/>
  <c r="R31" i="22"/>
  <c r="R27" i="22"/>
  <c r="R23" i="22"/>
  <c r="R19" i="22"/>
  <c r="R15" i="22"/>
  <c r="R11" i="22"/>
  <c r="R7" i="22"/>
  <c r="R3" i="22"/>
  <c r="R117" i="22"/>
  <c r="R109" i="22"/>
  <c r="R99" i="22"/>
  <c r="R114" i="22"/>
  <c r="R102" i="22"/>
  <c r="R98" i="22"/>
  <c r="R94" i="22"/>
  <c r="R90" i="22"/>
  <c r="R86" i="22"/>
  <c r="R82" i="22"/>
  <c r="R78" i="22"/>
  <c r="R74" i="22"/>
  <c r="R70" i="22"/>
  <c r="R66" i="22"/>
  <c r="R62" i="22"/>
  <c r="R58" i="22"/>
  <c r="R54" i="22"/>
  <c r="R50" i="22"/>
  <c r="R46" i="22"/>
  <c r="R42" i="22"/>
  <c r="R38" i="22"/>
  <c r="R34" i="22"/>
  <c r="R30" i="22"/>
  <c r="R26" i="22"/>
  <c r="R22" i="22"/>
  <c r="R18" i="22"/>
  <c r="R14" i="22"/>
  <c r="R10" i="22"/>
  <c r="R6" i="22"/>
  <c r="R113" i="22"/>
  <c r="R111" i="22"/>
  <c r="R104" i="22"/>
  <c r="R89" i="22"/>
  <c r="R107" i="22"/>
  <c r="R97" i="22"/>
  <c r="R93" i="22"/>
  <c r="R103" i="22"/>
  <c r="R85" i="22"/>
  <c r="R81" i="22"/>
  <c r="R77" i="22"/>
  <c r="R73" i="22"/>
  <c r="R69" i="22"/>
  <c r="R65" i="22"/>
  <c r="R61" i="22"/>
  <c r="R57" i="22"/>
  <c r="R53" i="22"/>
  <c r="R49" i="22"/>
  <c r="R45" i="22"/>
  <c r="R41" i="22"/>
  <c r="R37" i="22"/>
  <c r="R33" i="22"/>
  <c r="R29" i="22"/>
  <c r="R25" i="22"/>
  <c r="R21" i="22"/>
  <c r="R17" i="22"/>
  <c r="R13" i="22"/>
  <c r="R9" i="22"/>
  <c r="R5" i="22"/>
  <c r="R110" i="22"/>
  <c r="R116" i="22"/>
  <c r="R112" i="22"/>
  <c r="R106" i="22"/>
  <c r="R100" i="22"/>
  <c r="R96" i="22"/>
  <c r="R92" i="22"/>
  <c r="R88" i="22"/>
  <c r="R84" i="22"/>
  <c r="R80" i="22"/>
  <c r="R76" i="22"/>
  <c r="R72" i="22"/>
  <c r="R68" i="22"/>
  <c r="R64" i="22"/>
  <c r="R60" i="22"/>
  <c r="R56" i="22"/>
  <c r="R52" i="22"/>
  <c r="R48" i="22"/>
  <c r="R44" i="22"/>
  <c r="R40" i="22"/>
  <c r="R36" i="22"/>
  <c r="R32" i="22"/>
  <c r="R28" i="22"/>
  <c r="R24" i="22"/>
  <c r="R20" i="22"/>
  <c r="R16" i="22"/>
  <c r="R12" i="22"/>
  <c r="R8" i="22"/>
  <c r="R4" i="22"/>
  <c r="S1251" i="4"/>
  <c r="S1252" i="4"/>
  <c r="S1249" i="4"/>
  <c r="S1250" i="4"/>
  <c r="K1250" i="4"/>
  <c r="S1247" i="4"/>
  <c r="S1246" i="4"/>
  <c r="S1245" i="4"/>
  <c r="K1189" i="4"/>
  <c r="Z1189" i="4" s="1"/>
  <c r="K1247" i="4"/>
  <c r="Z1247" i="4" s="1"/>
  <c r="S1248" i="4"/>
  <c r="S1184" i="4"/>
  <c r="S1220" i="4"/>
  <c r="S1223" i="4"/>
  <c r="S1225" i="4"/>
  <c r="S1206" i="4"/>
  <c r="S1230" i="4"/>
  <c r="S1237" i="4"/>
  <c r="S1231" i="4"/>
  <c r="K1218" i="4"/>
  <c r="Z1218" i="4" s="1"/>
  <c r="S1239" i="4"/>
  <c r="S1233" i="4"/>
  <c r="S1227" i="4"/>
  <c r="S1240" i="4"/>
  <c r="S1228" i="4"/>
  <c r="S1241" i="4"/>
  <c r="S1234" i="4"/>
  <c r="S1243" i="4"/>
  <c r="S1235" i="4"/>
  <c r="S1229" i="4"/>
  <c r="S1200" i="4"/>
  <c r="S1244" i="4"/>
  <c r="S1207" i="4"/>
  <c r="S1236" i="4"/>
  <c r="S1201" i="4"/>
  <c r="S1221" i="4"/>
  <c r="S1202" i="4"/>
  <c r="S1238" i="4"/>
  <c r="S1232" i="4"/>
  <c r="S1226" i="4"/>
  <c r="S1222" i="4"/>
  <c r="K1209" i="4"/>
  <c r="Z1209" i="4" s="1"/>
  <c r="S1242" i="4"/>
  <c r="K1244" i="4"/>
  <c r="U1244" i="4" s="1"/>
  <c r="K1239" i="4"/>
  <c r="U1239" i="4" s="1"/>
  <c r="K1236" i="4"/>
  <c r="Z1236" i="4" s="1"/>
  <c r="S1224" i="4"/>
  <c r="S1205" i="4"/>
  <c r="S1199" i="4"/>
  <c r="S1203" i="4"/>
  <c r="K1243" i="4"/>
  <c r="K1248" i="4"/>
  <c r="K1246" i="4"/>
  <c r="K1251" i="4"/>
  <c r="K1249" i="4"/>
  <c r="K1245" i="4"/>
  <c r="K1252" i="4"/>
  <c r="K1242" i="4"/>
  <c r="K1234" i="4"/>
  <c r="Z1234" i="4" s="1"/>
  <c r="K1231" i="4"/>
  <c r="Z1231" i="4" s="1"/>
  <c r="K1228" i="4"/>
  <c r="Z1228" i="4" s="1"/>
  <c r="K1212" i="4"/>
  <c r="Z1212" i="4" s="1"/>
  <c r="S1208" i="4"/>
  <c r="S1198" i="4"/>
  <c r="S1209" i="4"/>
  <c r="S1196" i="4"/>
  <c r="S1197" i="4"/>
  <c r="S1204" i="4"/>
  <c r="K1233" i="4"/>
  <c r="K1230" i="4"/>
  <c r="K1227" i="4"/>
  <c r="K1240" i="4"/>
  <c r="K1237" i="4"/>
  <c r="K1235" i="4"/>
  <c r="K1232" i="4"/>
  <c r="K1229" i="4"/>
  <c r="K1226" i="4"/>
  <c r="Z1226" i="4" s="1"/>
  <c r="K1241" i="4"/>
  <c r="K1238" i="4"/>
  <c r="K1215" i="4"/>
  <c r="Z1215" i="4" s="1"/>
  <c r="K1206" i="4"/>
  <c r="Z1206" i="4" s="1"/>
  <c r="K1203" i="4"/>
  <c r="Z1203" i="4" s="1"/>
  <c r="K1200" i="4"/>
  <c r="Z1200" i="4" s="1"/>
  <c r="K1197" i="4"/>
  <c r="Z1197" i="4" s="1"/>
  <c r="S1194" i="4"/>
  <c r="S1195" i="4"/>
  <c r="S1192" i="4"/>
  <c r="S1187" i="4"/>
  <c r="S1188" i="4"/>
  <c r="S1189" i="4"/>
  <c r="S1193" i="4"/>
  <c r="S1190" i="4"/>
  <c r="S1185" i="4"/>
  <c r="S1191" i="4"/>
  <c r="S1186" i="4"/>
  <c r="K1194" i="4"/>
  <c r="Z1194" i="4" s="1"/>
  <c r="K1188" i="4"/>
  <c r="Z1188" i="4" s="1"/>
  <c r="K1186" i="4"/>
  <c r="Z1186" i="4" s="1"/>
  <c r="S1156" i="4"/>
  <c r="K1111" i="4"/>
  <c r="Z1111" i="4" s="1"/>
  <c r="S1111" i="4"/>
  <c r="S1121" i="4"/>
  <c r="S1166" i="4"/>
  <c r="S1129" i="4"/>
  <c r="S1177" i="4"/>
  <c r="S1141" i="4"/>
  <c r="S1126" i="4"/>
  <c r="S1123" i="4"/>
  <c r="S1124" i="4"/>
  <c r="K1117" i="4"/>
  <c r="S1171" i="4"/>
  <c r="S1115" i="4"/>
  <c r="S1161" i="4"/>
  <c r="S1173" i="4"/>
  <c r="S1181" i="4"/>
  <c r="S1135" i="4"/>
  <c r="S1139" i="4"/>
  <c r="S1145" i="4"/>
  <c r="K1132" i="4"/>
  <c r="Z1132" i="4" s="1"/>
  <c r="S1176" i="4"/>
  <c r="S1172" i="4"/>
  <c r="K1166" i="4"/>
  <c r="S1148" i="4"/>
  <c r="S1155" i="4"/>
  <c r="K1172" i="4"/>
  <c r="K1155" i="4"/>
  <c r="K1148" i="4"/>
  <c r="S1143" i="4"/>
  <c r="S1114" i="4"/>
  <c r="S1168" i="4"/>
  <c r="S1113" i="4"/>
  <c r="K1164" i="4"/>
  <c r="Z1164" i="4" s="1"/>
  <c r="S1138" i="4"/>
  <c r="S1169" i="4"/>
  <c r="S1182" i="4"/>
  <c r="S1144" i="4"/>
  <c r="S1164" i="4"/>
  <c r="S1179" i="4"/>
  <c r="S1157" i="4"/>
  <c r="S1122" i="4"/>
  <c r="K1169" i="4"/>
  <c r="Z1169" i="4" s="1"/>
  <c r="K1161" i="4"/>
  <c r="K1114" i="4"/>
  <c r="Z1114" i="4" s="1"/>
  <c r="K1177" i="4"/>
  <c r="K1144" i="4"/>
  <c r="K1153" i="4"/>
  <c r="Z1153" i="4" s="1"/>
  <c r="K1131" i="4"/>
  <c r="Z1131" i="4" s="1"/>
  <c r="K1119" i="4"/>
  <c r="Z1119" i="4" s="1"/>
  <c r="K1134" i="4"/>
  <c r="Z1134" i="4" s="1"/>
  <c r="K1125" i="4"/>
  <c r="Z1125" i="4" s="1"/>
  <c r="K1120" i="4"/>
  <c r="Z1120" i="4" s="1"/>
  <c r="K1175" i="4"/>
  <c r="Z1175" i="4" s="1"/>
  <c r="K1136" i="4"/>
  <c r="Z1136" i="4" s="1"/>
  <c r="S1180" i="4"/>
  <c r="S1165" i="4"/>
  <c r="S1154" i="4"/>
  <c r="S1183" i="4"/>
  <c r="S1130" i="4"/>
  <c r="S1163" i="4"/>
  <c r="S1128" i="4"/>
  <c r="S1167" i="4"/>
  <c r="S1178" i="4"/>
  <c r="S1174" i="4"/>
  <c r="S1153" i="4"/>
  <c r="S1131" i="4"/>
  <c r="S1118" i="4"/>
  <c r="S1175" i="4"/>
  <c r="S1136" i="4"/>
  <c r="S1120" i="4"/>
  <c r="S1152" i="4"/>
  <c r="S1119" i="4"/>
  <c r="K1170" i="4"/>
  <c r="I1170" i="4"/>
  <c r="S1170" i="4" s="1"/>
  <c r="S1134" i="4"/>
  <c r="S1125" i="4"/>
  <c r="K1167" i="4"/>
  <c r="Z1167" i="4" s="1"/>
  <c r="K1178" i="4"/>
  <c r="K1128" i="4"/>
  <c r="K1180" i="4"/>
  <c r="Z1180" i="4" s="1"/>
  <c r="K1126" i="4"/>
  <c r="Z1126" i="4" s="1"/>
  <c r="K1156" i="4"/>
  <c r="Z1156" i="4" s="1"/>
  <c r="S1151" i="4"/>
  <c r="S1127" i="4"/>
  <c r="S1162" i="4"/>
  <c r="S1132" i="4"/>
  <c r="S1117" i="4"/>
  <c r="S1142" i="4"/>
  <c r="S1147" i="4"/>
  <c r="S1116" i="4"/>
  <c r="S1133" i="4"/>
  <c r="S1158" i="4"/>
  <c r="S1140" i="4"/>
  <c r="K1162" i="4"/>
  <c r="Z1162" i="4" s="1"/>
  <c r="K1127" i="4"/>
  <c r="Z1127" i="4" s="1"/>
  <c r="K1154" i="4"/>
  <c r="Z1154" i="4" s="1"/>
  <c r="K1116" i="4"/>
  <c r="Z1116" i="4" s="1"/>
  <c r="K1151" i="4"/>
  <c r="Z1151" i="4" s="1"/>
  <c r="K1133" i="4"/>
  <c r="Z1133" i="4" s="1"/>
  <c r="K1124" i="4"/>
  <c r="S1150" i="4"/>
  <c r="S1159" i="4"/>
  <c r="S1160" i="4"/>
  <c r="K1150" i="4"/>
  <c r="Z1150" i="4" s="1"/>
  <c r="K1158" i="4"/>
  <c r="K1139" i="4"/>
  <c r="K1160" i="4"/>
  <c r="Z1160" i="4" s="1"/>
  <c r="S1112" i="4"/>
  <c r="S1110" i="4"/>
  <c r="K1110" i="4"/>
  <c r="K1112" i="4"/>
  <c r="K1109" i="4"/>
  <c r="Z1109" i="4" s="1"/>
  <c r="S1137" i="4"/>
  <c r="K1137" i="4"/>
  <c r="Z1137" i="4" s="1"/>
  <c r="K1140" i="4"/>
  <c r="Z1140" i="4" s="1"/>
  <c r="S1037" i="4"/>
  <c r="S1043" i="4"/>
  <c r="S1042" i="4"/>
  <c r="S1035" i="4"/>
  <c r="S1070" i="4"/>
  <c r="S1049" i="4"/>
  <c r="K1102" i="4"/>
  <c r="S1056" i="4"/>
  <c r="S1097" i="4"/>
  <c r="S1101" i="4"/>
  <c r="S1103" i="4"/>
  <c r="S1096" i="4"/>
  <c r="S1089" i="4"/>
  <c r="K1075" i="4"/>
  <c r="S1079" i="4"/>
  <c r="S1080" i="4"/>
  <c r="K1059" i="4"/>
  <c r="S1099" i="4"/>
  <c r="S1086" i="4"/>
  <c r="S1094" i="4"/>
  <c r="S1083" i="4"/>
  <c r="S1075" i="4"/>
  <c r="K1056" i="4"/>
  <c r="S1077" i="4"/>
  <c r="S1058" i="4"/>
  <c r="S1092" i="4"/>
  <c r="S1071" i="4"/>
  <c r="S1052" i="4"/>
  <c r="S1046" i="4"/>
  <c r="K1078" i="4"/>
  <c r="S1060" i="4"/>
  <c r="S1067" i="4"/>
  <c r="S1061" i="4"/>
  <c r="S1054" i="4"/>
  <c r="S1082" i="4"/>
  <c r="S1068" i="4"/>
  <c r="K1094" i="4"/>
  <c r="S1105" i="4"/>
  <c r="S1078" i="4"/>
  <c r="S1064" i="4"/>
  <c r="K1057" i="4"/>
  <c r="S1050" i="4"/>
  <c r="S1044" i="4"/>
  <c r="S1102" i="4"/>
  <c r="S1065" i="4"/>
  <c r="S1081" i="4"/>
  <c r="S1072" i="4"/>
  <c r="S1051" i="4"/>
  <c r="S1045" i="4"/>
  <c r="S1073" i="4"/>
  <c r="S1066" i="4"/>
  <c r="S1059" i="4"/>
  <c r="S1040" i="4"/>
  <c r="S1074" i="4"/>
  <c r="S1053" i="4"/>
  <c r="S1047" i="4"/>
  <c r="S1041" i="4"/>
  <c r="K1092" i="4"/>
  <c r="K1083" i="4"/>
  <c r="S1084" i="4"/>
  <c r="S1076" i="4"/>
  <c r="S1069" i="4"/>
  <c r="S1062" i="4"/>
  <c r="K1054" i="4"/>
  <c r="S1048" i="4"/>
  <c r="S1104" i="4"/>
  <c r="S1063" i="4"/>
  <c r="S1055" i="4"/>
  <c r="S1108" i="4"/>
  <c r="K1108" i="4"/>
  <c r="S1107" i="4"/>
  <c r="S1106" i="4"/>
  <c r="K1106" i="4"/>
  <c r="K1105" i="4"/>
  <c r="K1104" i="4"/>
  <c r="K1103" i="4"/>
  <c r="K1101" i="4"/>
  <c r="S1100" i="4"/>
  <c r="Z1099" i="4"/>
  <c r="K1098" i="4"/>
  <c r="S1098" i="4"/>
  <c r="K1097" i="4"/>
  <c r="K1096" i="4"/>
  <c r="S1095" i="4"/>
  <c r="K1095" i="4"/>
  <c r="K1093" i="4"/>
  <c r="S1093" i="4"/>
  <c r="S1091" i="4"/>
  <c r="S1090" i="4"/>
  <c r="K1090" i="4"/>
  <c r="S1088" i="4"/>
  <c r="S1087" i="4"/>
  <c r="K1087" i="4"/>
  <c r="K1086" i="4"/>
  <c r="S1085" i="4"/>
  <c r="K1084" i="4"/>
  <c r="K1082" i="4"/>
  <c r="K1081" i="4"/>
  <c r="K1080" i="4"/>
  <c r="K1077" i="4"/>
  <c r="K1074" i="4"/>
  <c r="K1072" i="4"/>
  <c r="K1071" i="4"/>
  <c r="K1069" i="4"/>
  <c r="K1068" i="4"/>
  <c r="K1066" i="4"/>
  <c r="K1065" i="4"/>
  <c r="K1063" i="4"/>
  <c r="K1062" i="4"/>
  <c r="K1060" i="4"/>
  <c r="S1057" i="4"/>
  <c r="K1053" i="4"/>
  <c r="K1051" i="4"/>
  <c r="K1050" i="4"/>
  <c r="K1048" i="4"/>
  <c r="K1047" i="4"/>
  <c r="K1045" i="4"/>
  <c r="K1044" i="4"/>
  <c r="K1042" i="4"/>
  <c r="K1041" i="4"/>
  <c r="S1039" i="4"/>
  <c r="K1039" i="4"/>
  <c r="S1038" i="4"/>
  <c r="K1038" i="4"/>
  <c r="S1036" i="4"/>
  <c r="K1036" i="4"/>
  <c r="K1223" i="4"/>
  <c r="K1159" i="4"/>
  <c r="K1143" i="4"/>
  <c r="K1157" i="4"/>
  <c r="K1220" i="4"/>
  <c r="K1208" i="4"/>
  <c r="K1196" i="4"/>
  <c r="K1129" i="4"/>
  <c r="K1182" i="4"/>
  <c r="K1173" i="4"/>
  <c r="K1123" i="4"/>
  <c r="K1141" i="4"/>
  <c r="K1174" i="4"/>
  <c r="K1211" i="4"/>
  <c r="K1199" i="4"/>
  <c r="K1217" i="4"/>
  <c r="K1205" i="4"/>
  <c r="K1193" i="4"/>
  <c r="K1190" i="4"/>
  <c r="K1091" i="4"/>
  <c r="K1185" i="4"/>
  <c r="K1184" i="4"/>
  <c r="K1113" i="4"/>
  <c r="K1088" i="4"/>
  <c r="K1179" i="4"/>
  <c r="K1118" i="4"/>
  <c r="K1214" i="4"/>
  <c r="K1202" i="4"/>
  <c r="K1187" i="4"/>
  <c r="K1145" i="4"/>
  <c r="K1085" i="4"/>
  <c r="K1171" i="4"/>
  <c r="K1122" i="4"/>
  <c r="K1225" i="4"/>
  <c r="K1222" i="4"/>
  <c r="K1219" i="4"/>
  <c r="K1216" i="4"/>
  <c r="K1213" i="4"/>
  <c r="K1210" i="4"/>
  <c r="K1207" i="4"/>
  <c r="K1204" i="4"/>
  <c r="K1201" i="4"/>
  <c r="K1198" i="4"/>
  <c r="K1195" i="4"/>
  <c r="K1192" i="4"/>
  <c r="K1121" i="4"/>
  <c r="Z1121" i="4" s="1"/>
  <c r="K1138" i="4"/>
  <c r="K1168" i="4"/>
  <c r="K1152" i="4"/>
  <c r="K1130" i="4"/>
  <c r="K1165" i="4"/>
  <c r="K1142" i="4"/>
  <c r="K1163" i="4"/>
  <c r="K1135" i="4"/>
  <c r="K1183" i="4"/>
  <c r="K1147" i="4"/>
  <c r="K1107" i="4"/>
  <c r="K1100" i="4"/>
  <c r="K1089" i="4"/>
  <c r="K1191" i="4"/>
  <c r="K1115" i="4"/>
  <c r="K1224" i="4"/>
  <c r="K1221" i="4"/>
  <c r="Z1221" i="4" s="1"/>
  <c r="K1176" i="4"/>
  <c r="K1181" i="4"/>
  <c r="K1079" i="4"/>
  <c r="K1076" i="4"/>
  <c r="K1073" i="4"/>
  <c r="K1070" i="4"/>
  <c r="K1067" i="4"/>
  <c r="K1064" i="4"/>
  <c r="K1061" i="4"/>
  <c r="K1058" i="4"/>
  <c r="K1055" i="4"/>
  <c r="K1052" i="4"/>
  <c r="K1049" i="4"/>
  <c r="K1046" i="4"/>
  <c r="K1043" i="4"/>
  <c r="K1040" i="4"/>
  <c r="K1037" i="4"/>
  <c r="S998" i="4"/>
  <c r="S992" i="4"/>
  <c r="S1031" i="4"/>
  <c r="S1025" i="4"/>
  <c r="S1029" i="4"/>
  <c r="S1030" i="4"/>
  <c r="S1032" i="4"/>
  <c r="S1026" i="4"/>
  <c r="S1033" i="4"/>
  <c r="S1027" i="4"/>
  <c r="S1028" i="4"/>
  <c r="S1034" i="4"/>
  <c r="K1031" i="4"/>
  <c r="K1035" i="4"/>
  <c r="K1034" i="4"/>
  <c r="K1028" i="4"/>
  <c r="K1025" i="4"/>
  <c r="S1016" i="4"/>
  <c r="S1015" i="4"/>
  <c r="S1009" i="4"/>
  <c r="S1001" i="4"/>
  <c r="S995" i="4"/>
  <c r="S1024" i="4"/>
  <c r="S1002" i="4"/>
  <c r="S996" i="4"/>
  <c r="S1003" i="4"/>
  <c r="S1005" i="4"/>
  <c r="S993" i="4"/>
  <c r="S1022" i="4"/>
  <c r="S1020" i="4"/>
  <c r="S1013" i="4"/>
  <c r="S1006" i="4"/>
  <c r="S1021" i="4"/>
  <c r="S1014" i="4"/>
  <c r="S1007" i="4"/>
  <c r="S1018" i="4"/>
  <c r="S1011" i="4"/>
  <c r="S1019" i="4"/>
  <c r="S1012" i="4"/>
  <c r="S1008" i="4"/>
  <c r="K988" i="4"/>
  <c r="S999" i="4"/>
  <c r="S1000" i="4"/>
  <c r="S1017" i="4"/>
  <c r="S1010" i="4"/>
  <c r="S1023" i="4"/>
  <c r="S1004" i="4"/>
  <c r="S997" i="4"/>
  <c r="S991" i="4"/>
  <c r="K1020" i="4"/>
  <c r="K1017" i="4"/>
  <c r="K1014" i="4"/>
  <c r="K1026" i="4"/>
  <c r="K1032" i="4"/>
  <c r="K1030" i="4"/>
  <c r="K1033" i="4"/>
  <c r="K1029" i="4"/>
  <c r="K1027" i="4"/>
  <c r="K1024" i="4"/>
  <c r="K1023" i="4"/>
  <c r="K1011" i="4"/>
  <c r="K1008" i="4"/>
  <c r="K1003" i="4"/>
  <c r="K1000" i="4"/>
  <c r="S990" i="4"/>
  <c r="S994" i="4"/>
  <c r="S988" i="4"/>
  <c r="S989" i="4"/>
  <c r="K1007" i="4"/>
  <c r="K1006" i="4"/>
  <c r="Z1006" i="4" s="1"/>
  <c r="K1022" i="4"/>
  <c r="K1019" i="4"/>
  <c r="K1016" i="4"/>
  <c r="K1013" i="4"/>
  <c r="K1010" i="4"/>
  <c r="K1021" i="4"/>
  <c r="K1018" i="4"/>
  <c r="K1015" i="4"/>
  <c r="K1012" i="4"/>
  <c r="K1009" i="4"/>
  <c r="K997" i="4"/>
  <c r="K994" i="4"/>
  <c r="K991" i="4"/>
  <c r="S984" i="4"/>
  <c r="S985" i="4"/>
  <c r="S986" i="4"/>
  <c r="S983" i="4"/>
  <c r="K985" i="4"/>
  <c r="K1002" i="4"/>
  <c r="K999" i="4"/>
  <c r="K1005" i="4"/>
  <c r="K996" i="4"/>
  <c r="K993" i="4"/>
  <c r="K990" i="4"/>
  <c r="K984" i="4"/>
  <c r="K987" i="4"/>
  <c r="K983" i="4"/>
  <c r="K1004" i="4"/>
  <c r="K1001" i="4"/>
  <c r="K998" i="4"/>
  <c r="K995" i="4"/>
  <c r="K992" i="4"/>
  <c r="K989" i="4"/>
  <c r="K986" i="4"/>
  <c r="B961" i="4"/>
  <c r="J961" i="4" s="1"/>
  <c r="G961" i="4"/>
  <c r="I961" i="4" s="1"/>
  <c r="N961" i="4"/>
  <c r="O961" i="4"/>
  <c r="P961" i="4"/>
  <c r="Q961" i="4"/>
  <c r="T961" i="4"/>
  <c r="W961" i="4"/>
  <c r="X961" i="4"/>
  <c r="B962" i="4"/>
  <c r="J962" i="4" s="1"/>
  <c r="G962" i="4"/>
  <c r="I962" i="4" s="1"/>
  <c r="N962" i="4"/>
  <c r="O962" i="4"/>
  <c r="P962" i="4"/>
  <c r="Q962" i="4"/>
  <c r="R962" i="4"/>
  <c r="T962" i="4"/>
  <c r="W962" i="4"/>
  <c r="X962" i="4"/>
  <c r="B963" i="4"/>
  <c r="J963" i="4" s="1"/>
  <c r="G963" i="4"/>
  <c r="I963" i="4" s="1"/>
  <c r="N963" i="4"/>
  <c r="O963" i="4"/>
  <c r="P963" i="4"/>
  <c r="Q963" i="4"/>
  <c r="R963" i="4"/>
  <c r="T963" i="4"/>
  <c r="W963" i="4"/>
  <c r="X963" i="4"/>
  <c r="B964" i="4"/>
  <c r="J964" i="4" s="1"/>
  <c r="G964" i="4"/>
  <c r="I964" i="4" s="1"/>
  <c r="N964" i="4"/>
  <c r="O964" i="4"/>
  <c r="P964" i="4"/>
  <c r="Q964" i="4"/>
  <c r="T964" i="4"/>
  <c r="W964" i="4"/>
  <c r="X964" i="4"/>
  <c r="B965" i="4"/>
  <c r="J965" i="4" s="1"/>
  <c r="G965" i="4"/>
  <c r="I965" i="4" s="1"/>
  <c r="N965" i="4"/>
  <c r="O965" i="4"/>
  <c r="P965" i="4"/>
  <c r="Q965" i="4"/>
  <c r="R965" i="4"/>
  <c r="T965" i="4"/>
  <c r="W965" i="4"/>
  <c r="X965" i="4"/>
  <c r="B966" i="4"/>
  <c r="J966" i="4" s="1"/>
  <c r="G966" i="4"/>
  <c r="I966" i="4" s="1"/>
  <c r="N966" i="4"/>
  <c r="O966" i="4"/>
  <c r="P966" i="4"/>
  <c r="Q966" i="4"/>
  <c r="R966" i="4"/>
  <c r="T966" i="4"/>
  <c r="W966" i="4"/>
  <c r="X966" i="4"/>
  <c r="B967" i="4"/>
  <c r="J967" i="4" s="1"/>
  <c r="G967" i="4"/>
  <c r="I967" i="4" s="1"/>
  <c r="N967" i="4"/>
  <c r="O967" i="4"/>
  <c r="P967" i="4"/>
  <c r="Q967" i="4"/>
  <c r="R967" i="4"/>
  <c r="T967" i="4"/>
  <c r="W967" i="4"/>
  <c r="X967" i="4"/>
  <c r="B968" i="4"/>
  <c r="J968" i="4" s="1"/>
  <c r="G968" i="4"/>
  <c r="I968" i="4" s="1"/>
  <c r="N968" i="4"/>
  <c r="O968" i="4"/>
  <c r="P968" i="4"/>
  <c r="Q968" i="4"/>
  <c r="R968" i="4"/>
  <c r="T968" i="4"/>
  <c r="W968" i="4"/>
  <c r="X968" i="4"/>
  <c r="B969" i="4"/>
  <c r="J969" i="4" s="1"/>
  <c r="G969" i="4"/>
  <c r="I969" i="4" s="1"/>
  <c r="N969" i="4"/>
  <c r="O969" i="4"/>
  <c r="P969" i="4"/>
  <c r="Q969" i="4"/>
  <c r="R969" i="4"/>
  <c r="T969" i="4"/>
  <c r="W969" i="4"/>
  <c r="X969" i="4"/>
  <c r="B970" i="4"/>
  <c r="J970" i="4" s="1"/>
  <c r="G970" i="4"/>
  <c r="I970" i="4" s="1"/>
  <c r="N970" i="4"/>
  <c r="O970" i="4"/>
  <c r="P970" i="4"/>
  <c r="Q970" i="4"/>
  <c r="T970" i="4"/>
  <c r="W970" i="4"/>
  <c r="X970" i="4"/>
  <c r="B971" i="4"/>
  <c r="J971" i="4" s="1"/>
  <c r="G971" i="4"/>
  <c r="I971" i="4" s="1"/>
  <c r="N971" i="4"/>
  <c r="O971" i="4"/>
  <c r="P971" i="4"/>
  <c r="Q971" i="4"/>
  <c r="R971" i="4"/>
  <c r="T971" i="4"/>
  <c r="W971" i="4"/>
  <c r="X971" i="4"/>
  <c r="B972" i="4"/>
  <c r="J972" i="4" s="1"/>
  <c r="G972" i="4"/>
  <c r="I972" i="4" s="1"/>
  <c r="N972" i="4"/>
  <c r="O972" i="4"/>
  <c r="P972" i="4"/>
  <c r="Q972" i="4"/>
  <c r="R972" i="4"/>
  <c r="T972" i="4"/>
  <c r="W972" i="4"/>
  <c r="X972" i="4"/>
  <c r="B973" i="4"/>
  <c r="J973" i="4" s="1"/>
  <c r="G973" i="4"/>
  <c r="I973" i="4" s="1"/>
  <c r="N973" i="4"/>
  <c r="O973" i="4"/>
  <c r="P973" i="4"/>
  <c r="Q973" i="4"/>
  <c r="R973" i="4"/>
  <c r="T973" i="4"/>
  <c r="W973" i="4"/>
  <c r="X973" i="4"/>
  <c r="B974" i="4"/>
  <c r="J974" i="4" s="1"/>
  <c r="G974" i="4"/>
  <c r="I974" i="4" s="1"/>
  <c r="N974" i="4"/>
  <c r="O974" i="4"/>
  <c r="P974" i="4"/>
  <c r="Q974" i="4"/>
  <c r="T974" i="4"/>
  <c r="W974" i="4"/>
  <c r="X974" i="4"/>
  <c r="B975" i="4"/>
  <c r="J975" i="4" s="1"/>
  <c r="G975" i="4"/>
  <c r="I975" i="4" s="1"/>
  <c r="N975" i="4"/>
  <c r="O975" i="4"/>
  <c r="P975" i="4"/>
  <c r="Q975" i="4"/>
  <c r="T975" i="4"/>
  <c r="W975" i="4"/>
  <c r="X975" i="4"/>
  <c r="B976" i="4"/>
  <c r="J976" i="4" s="1"/>
  <c r="G976" i="4"/>
  <c r="I976" i="4" s="1"/>
  <c r="N976" i="4"/>
  <c r="O976" i="4"/>
  <c r="P976" i="4"/>
  <c r="Q976" i="4"/>
  <c r="R976" i="4"/>
  <c r="T976" i="4"/>
  <c r="W976" i="4"/>
  <c r="X976" i="4"/>
  <c r="B977" i="4"/>
  <c r="J977" i="4" s="1"/>
  <c r="G977" i="4"/>
  <c r="I977" i="4" s="1"/>
  <c r="N977" i="4"/>
  <c r="O977" i="4"/>
  <c r="P977" i="4"/>
  <c r="Q977" i="4"/>
  <c r="R977" i="4"/>
  <c r="T977" i="4"/>
  <c r="W977" i="4"/>
  <c r="X977" i="4"/>
  <c r="B978" i="4"/>
  <c r="J978" i="4" s="1"/>
  <c r="G978" i="4"/>
  <c r="I978" i="4" s="1"/>
  <c r="N978" i="4"/>
  <c r="O978" i="4"/>
  <c r="P978" i="4"/>
  <c r="Q978" i="4"/>
  <c r="T978" i="4"/>
  <c r="W978" i="4"/>
  <c r="X978" i="4"/>
  <c r="B979" i="4"/>
  <c r="J979" i="4" s="1"/>
  <c r="G979" i="4"/>
  <c r="I979" i="4" s="1"/>
  <c r="N979" i="4"/>
  <c r="O979" i="4"/>
  <c r="P979" i="4"/>
  <c r="Q979" i="4"/>
  <c r="R979" i="4"/>
  <c r="T979" i="4"/>
  <c r="W979" i="4"/>
  <c r="X979" i="4"/>
  <c r="B980" i="4"/>
  <c r="J980" i="4" s="1"/>
  <c r="G980" i="4"/>
  <c r="I980" i="4" s="1"/>
  <c r="N980" i="4"/>
  <c r="O980" i="4"/>
  <c r="P980" i="4"/>
  <c r="Q980" i="4"/>
  <c r="R980" i="4"/>
  <c r="T980" i="4"/>
  <c r="W980" i="4"/>
  <c r="X980" i="4"/>
  <c r="B981" i="4"/>
  <c r="J981" i="4" s="1"/>
  <c r="G981" i="4"/>
  <c r="I981" i="4" s="1"/>
  <c r="N981" i="4"/>
  <c r="O981" i="4"/>
  <c r="P981" i="4"/>
  <c r="Q981" i="4"/>
  <c r="R981" i="4"/>
  <c r="T981" i="4"/>
  <c r="W981" i="4"/>
  <c r="X981" i="4"/>
  <c r="B982" i="4"/>
  <c r="J982" i="4" s="1"/>
  <c r="G982" i="4"/>
  <c r="I982" i="4" s="1"/>
  <c r="N982" i="4"/>
  <c r="O982" i="4"/>
  <c r="P982" i="4"/>
  <c r="Q982" i="4"/>
  <c r="T982" i="4"/>
  <c r="W982" i="4"/>
  <c r="X982" i="4"/>
  <c r="U1250" i="4" l="1"/>
  <c r="U1189" i="4"/>
  <c r="U1215" i="4"/>
  <c r="U1247" i="4"/>
  <c r="Z1252" i="4"/>
  <c r="Z1251" i="4"/>
  <c r="U1218" i="4"/>
  <c r="Z1250" i="4"/>
  <c r="Z1249" i="4"/>
  <c r="Z1248" i="4"/>
  <c r="Z1246" i="4"/>
  <c r="Z1245" i="4"/>
  <c r="U1242" i="4"/>
  <c r="U1236" i="4"/>
  <c r="U1203" i="4"/>
  <c r="U1206" i="4"/>
  <c r="Q79" i="13" s="1"/>
  <c r="U1188" i="4"/>
  <c r="U1234" i="4"/>
  <c r="Z1244" i="4"/>
  <c r="Z1243" i="4"/>
  <c r="Z1242" i="4"/>
  <c r="Z1241" i="4"/>
  <c r="Z1240" i="4"/>
  <c r="Z1239" i="4"/>
  <c r="Z1238" i="4"/>
  <c r="Z1237" i="4"/>
  <c r="U1249" i="4"/>
  <c r="U1251" i="4"/>
  <c r="U1248" i="4"/>
  <c r="Z1235" i="4"/>
  <c r="U1245" i="4"/>
  <c r="U1246" i="4"/>
  <c r="U1252" i="4"/>
  <c r="Q4" i="8" s="1"/>
  <c r="U1243" i="4"/>
  <c r="Z1233" i="4"/>
  <c r="Z1232" i="4"/>
  <c r="Z1230" i="4"/>
  <c r="Z1229" i="4"/>
  <c r="Z1227" i="4"/>
  <c r="U1226" i="4"/>
  <c r="Z1225" i="4"/>
  <c r="Z1224" i="4"/>
  <c r="U1200" i="4"/>
  <c r="U1227" i="4"/>
  <c r="U1186" i="4"/>
  <c r="U1237" i="4"/>
  <c r="Z1223" i="4"/>
  <c r="Z1222" i="4"/>
  <c r="Z1220" i="4"/>
  <c r="U1238" i="4"/>
  <c r="U1241" i="4"/>
  <c r="Z1216" i="4"/>
  <c r="Z1211" i="4"/>
  <c r="Z1217" i="4"/>
  <c r="Z1219" i="4"/>
  <c r="Z1210" i="4"/>
  <c r="Z1214" i="4"/>
  <c r="Z1213" i="4"/>
  <c r="Z1208" i="4"/>
  <c r="Z1207" i="4"/>
  <c r="Z1205" i="4"/>
  <c r="Z1204" i="4"/>
  <c r="Z1202" i="4"/>
  <c r="Z1201" i="4"/>
  <c r="Z1199" i="4"/>
  <c r="Z1198" i="4"/>
  <c r="Z1196" i="4"/>
  <c r="Z1195" i="4"/>
  <c r="U1194" i="4"/>
  <c r="Z1193" i="4"/>
  <c r="Z1192" i="4"/>
  <c r="Z1191" i="4"/>
  <c r="Z1190" i="4"/>
  <c r="Z1187" i="4"/>
  <c r="Z1185" i="4"/>
  <c r="U1177" i="4"/>
  <c r="U1166" i="4"/>
  <c r="U1111" i="4"/>
  <c r="U1119" i="4"/>
  <c r="Z1144" i="4"/>
  <c r="Z1166" i="4"/>
  <c r="Z1128" i="4"/>
  <c r="Z1139" i="4"/>
  <c r="Z1158" i="4"/>
  <c r="Z1161" i="4"/>
  <c r="Z1117" i="4"/>
  <c r="U1131" i="4"/>
  <c r="Z1177" i="4"/>
  <c r="Z1176" i="4"/>
  <c r="Z1155" i="4"/>
  <c r="Z1148" i="4"/>
  <c r="Z1172" i="4"/>
  <c r="U1155" i="4"/>
  <c r="U1172" i="4"/>
  <c r="Z1171" i="4"/>
  <c r="U1164" i="4"/>
  <c r="U1153" i="4"/>
  <c r="U1169" i="4"/>
  <c r="U1125" i="4"/>
  <c r="U1144" i="4"/>
  <c r="U1161" i="4"/>
  <c r="Z1122" i="4"/>
  <c r="Z1143" i="4"/>
  <c r="Z1138" i="4"/>
  <c r="Z1115" i="4"/>
  <c r="Z1179" i="4"/>
  <c r="Z1157" i="4"/>
  <c r="Z1129" i="4"/>
  <c r="U1114" i="4"/>
  <c r="Z1182" i="4"/>
  <c r="Z1173" i="4"/>
  <c r="Z1168" i="4"/>
  <c r="Z1181" i="4"/>
  <c r="U1120" i="4"/>
  <c r="U1167" i="4"/>
  <c r="U1180" i="4"/>
  <c r="U1154" i="4"/>
  <c r="U1156" i="4"/>
  <c r="P79" i="13" s="1"/>
  <c r="U1133" i="4"/>
  <c r="U1117" i="4"/>
  <c r="U1170" i="4"/>
  <c r="U1136" i="4"/>
  <c r="Z1184" i="4"/>
  <c r="U1178" i="4"/>
  <c r="U1126" i="4"/>
  <c r="Z1178" i="4"/>
  <c r="U1150" i="4"/>
  <c r="Z1141" i="4"/>
  <c r="Z1174" i="4"/>
  <c r="Z1170" i="4"/>
  <c r="Z1152" i="4"/>
  <c r="Z1118" i="4"/>
  <c r="Z1163" i="4"/>
  <c r="Z1130" i="4"/>
  <c r="Z1135" i="4"/>
  <c r="Z1113" i="4"/>
  <c r="Z1165" i="4"/>
  <c r="Z1124" i="4"/>
  <c r="U1151" i="4"/>
  <c r="U1162" i="4"/>
  <c r="U1132" i="4"/>
  <c r="U1160" i="4"/>
  <c r="U1127" i="4"/>
  <c r="U1116" i="4"/>
  <c r="Z1123" i="4"/>
  <c r="Z1183" i="4"/>
  <c r="Z1142" i="4"/>
  <c r="Z1147" i="4"/>
  <c r="U1139" i="4"/>
  <c r="Z1159" i="4"/>
  <c r="Z1110" i="4"/>
  <c r="U1110" i="4"/>
  <c r="Z1112" i="4"/>
  <c r="U1137" i="4"/>
  <c r="U1140" i="4"/>
  <c r="U1112" i="4"/>
  <c r="U1109" i="4"/>
  <c r="U1099" i="4"/>
  <c r="Z1145" i="4"/>
  <c r="U1070" i="4"/>
  <c r="Z1080" i="4"/>
  <c r="Z1104" i="4"/>
  <c r="Z1039" i="4"/>
  <c r="Z1060" i="4"/>
  <c r="Z1081" i="4"/>
  <c r="Z1093" i="4"/>
  <c r="U1054" i="4"/>
  <c r="Z1062" i="4"/>
  <c r="Z1095" i="4"/>
  <c r="Z1106" i="4"/>
  <c r="Z1041" i="4"/>
  <c r="Z1063" i="4"/>
  <c r="Z1042" i="4"/>
  <c r="Z1096" i="4"/>
  <c r="Z1057" i="4"/>
  <c r="Z1086" i="4"/>
  <c r="Z1078" i="4"/>
  <c r="Z1102" i="4"/>
  <c r="Z1045" i="4"/>
  <c r="Z1083" i="4"/>
  <c r="Z1069" i="4"/>
  <c r="Z1098" i="4"/>
  <c r="Z1092" i="4"/>
  <c r="Z1059" i="4"/>
  <c r="Z1048" i="4"/>
  <c r="Z1036" i="4"/>
  <c r="Z1072" i="4"/>
  <c r="Z1051" i="4"/>
  <c r="Z1101" i="4"/>
  <c r="Z1094" i="4"/>
  <c r="Z1075" i="4"/>
  <c r="Z1053" i="4"/>
  <c r="Z1077" i="4"/>
  <c r="Z1103" i="4"/>
  <c r="U1066" i="4"/>
  <c r="U1075" i="4"/>
  <c r="Z1054" i="4"/>
  <c r="Z1056" i="4"/>
  <c r="U1104" i="4"/>
  <c r="U1101" i="4"/>
  <c r="U1105" i="4"/>
  <c r="U1092" i="4"/>
  <c r="U1083" i="4"/>
  <c r="U1060" i="4"/>
  <c r="U1094" i="4"/>
  <c r="U1187" i="4"/>
  <c r="U1091" i="4"/>
  <c r="U1088" i="4"/>
  <c r="U1044" i="4"/>
  <c r="U1196" i="4"/>
  <c r="U1059" i="4"/>
  <c r="U1078" i="4"/>
  <c r="Z1084" i="4"/>
  <c r="U1193" i="4"/>
  <c r="U1093" i="4"/>
  <c r="U1048" i="4"/>
  <c r="U1192" i="4"/>
  <c r="U1036" i="4"/>
  <c r="U1081" i="4"/>
  <c r="U1179" i="4"/>
  <c r="U1185" i="4"/>
  <c r="U1045" i="4"/>
  <c r="U1171" i="4"/>
  <c r="U1123" i="4"/>
  <c r="Z998" i="4"/>
  <c r="Z1000" i="4"/>
  <c r="Z1001" i="4"/>
  <c r="Z1010" i="4"/>
  <c r="Z1003" i="4"/>
  <c r="Z1017" i="4"/>
  <c r="U1069" i="4"/>
  <c r="Z1004" i="4"/>
  <c r="Z1013" i="4"/>
  <c r="Z1008" i="4"/>
  <c r="Z1020" i="4"/>
  <c r="Z1034" i="4"/>
  <c r="U1072" i="4"/>
  <c r="U1173" i="4"/>
  <c r="Z983" i="4"/>
  <c r="Z1016" i="4"/>
  <c r="Z1011" i="4"/>
  <c r="Z987" i="4"/>
  <c r="Z1019" i="4"/>
  <c r="Z1023" i="4"/>
  <c r="Z1031" i="4"/>
  <c r="U1214" i="4"/>
  <c r="Z984" i="4"/>
  <c r="Z1022" i="4"/>
  <c r="Z985" i="4"/>
  <c r="Z1014" i="4"/>
  <c r="Z991" i="4"/>
  <c r="Z1024" i="4"/>
  <c r="Z993" i="4"/>
  <c r="Z997" i="4"/>
  <c r="Z1007" i="4"/>
  <c r="Z1029" i="4"/>
  <c r="U1051" i="4"/>
  <c r="U1096" i="4"/>
  <c r="Z990" i="4"/>
  <c r="Z994" i="4"/>
  <c r="Z1027" i="4"/>
  <c r="Z986" i="4"/>
  <c r="Z996" i="4"/>
  <c r="Z1009" i="4"/>
  <c r="Z1033" i="4"/>
  <c r="Z989" i="4"/>
  <c r="Z1005" i="4"/>
  <c r="Z1012" i="4"/>
  <c r="Z1030" i="4"/>
  <c r="Z992" i="4"/>
  <c r="Z999" i="4"/>
  <c r="Z1015" i="4"/>
  <c r="Z1032" i="4"/>
  <c r="U1142" i="4"/>
  <c r="U1204" i="4"/>
  <c r="Z1021" i="4"/>
  <c r="Z1028" i="4"/>
  <c r="Z995" i="4"/>
  <c r="Z1002" i="4"/>
  <c r="Z1018" i="4"/>
  <c r="Z1026" i="4"/>
  <c r="Z988" i="4"/>
  <c r="Z1025" i="4"/>
  <c r="U1063" i="4"/>
  <c r="U1191" i="4"/>
  <c r="U1211" i="4"/>
  <c r="U1143" i="4"/>
  <c r="Z1108" i="4"/>
  <c r="Z1107" i="4"/>
  <c r="Z1105" i="4"/>
  <c r="Z1100" i="4"/>
  <c r="U1098" i="4"/>
  <c r="Z1097" i="4"/>
  <c r="U1097" i="4"/>
  <c r="U1095" i="4"/>
  <c r="Z1091" i="4"/>
  <c r="Z1090" i="4"/>
  <c r="U1090" i="4"/>
  <c r="Z1089" i="4"/>
  <c r="Z1088" i="4"/>
  <c r="Z1087" i="4"/>
  <c r="U1086" i="4"/>
  <c r="Z1085" i="4"/>
  <c r="Z1082" i="4"/>
  <c r="U1080" i="4"/>
  <c r="Z1079" i="4"/>
  <c r="U1077" i="4"/>
  <c r="Z1076" i="4"/>
  <c r="Z1074" i="4"/>
  <c r="U1074" i="4"/>
  <c r="Z1073" i="4"/>
  <c r="Z1071" i="4"/>
  <c r="Z1070" i="4"/>
  <c r="Z1068" i="4"/>
  <c r="Z1067" i="4"/>
  <c r="Z1066" i="4"/>
  <c r="Z1065" i="4"/>
  <c r="U1065" i="4"/>
  <c r="Z1064" i="4"/>
  <c r="Z1061" i="4"/>
  <c r="Z1058" i="4"/>
  <c r="Z1055" i="4"/>
  <c r="U1053" i="4"/>
  <c r="Z1052" i="4"/>
  <c r="Z1050" i="4"/>
  <c r="Z1049" i="4"/>
  <c r="Z1047" i="4"/>
  <c r="U1047" i="4"/>
  <c r="Z1046" i="4"/>
  <c r="U1046" i="4"/>
  <c r="Z1044" i="4"/>
  <c r="Z1043" i="4"/>
  <c r="U1042" i="4"/>
  <c r="Z1040" i="4"/>
  <c r="U1039" i="4"/>
  <c r="Z1038" i="4"/>
  <c r="U1038" i="4"/>
  <c r="Z1037" i="4"/>
  <c r="Z1035" i="4"/>
  <c r="U1037" i="4"/>
  <c r="U1073" i="4"/>
  <c r="U1165" i="4"/>
  <c r="U1121" i="4"/>
  <c r="U1040" i="4"/>
  <c r="U1076" i="4"/>
  <c r="U1145" i="4"/>
  <c r="U1225" i="4"/>
  <c r="U1190" i="4"/>
  <c r="U1221" i="4"/>
  <c r="Q63" i="13" s="1"/>
  <c r="U1159" i="4"/>
  <c r="U1201" i="4"/>
  <c r="U1043" i="4"/>
  <c r="U1079" i="4"/>
  <c r="U1138" i="4"/>
  <c r="U1213" i="4"/>
  <c r="U1216" i="4"/>
  <c r="U1168" i="4"/>
  <c r="U1147" i="4"/>
  <c r="U1198" i="4"/>
  <c r="U1089" i="4"/>
  <c r="U1205" i="4"/>
  <c r="U1208" i="4"/>
  <c r="U1115" i="4"/>
  <c r="U1210" i="4"/>
  <c r="U1152" i="4"/>
  <c r="U1195" i="4"/>
  <c r="U1122" i="4"/>
  <c r="U1224" i="4"/>
  <c r="U1220" i="4"/>
  <c r="U1207" i="4"/>
  <c r="U1049" i="4"/>
  <c r="U1219" i="4"/>
  <c r="U1067" i="4"/>
  <c r="U1135" i="4"/>
  <c r="U1141" i="4"/>
  <c r="U1223" i="4"/>
  <c r="U1202" i="4"/>
  <c r="U1181" i="4"/>
  <c r="U1199" i="4"/>
  <c r="U1157" i="4"/>
  <c r="P42" i="25" s="1"/>
  <c r="U1035" i="4"/>
  <c r="U1034" i="4"/>
  <c r="U1031" i="4"/>
  <c r="U994" i="4"/>
  <c r="U988" i="4"/>
  <c r="S982" i="4"/>
  <c r="U1027" i="4"/>
  <c r="U991" i="4"/>
  <c r="S976" i="4"/>
  <c r="U1023" i="4"/>
  <c r="U1020" i="4"/>
  <c r="U1014" i="4"/>
  <c r="U1029" i="4"/>
  <c r="U1033" i="4"/>
  <c r="U1024" i="4"/>
  <c r="U1026" i="4"/>
  <c r="U1011" i="4"/>
  <c r="U1008" i="4"/>
  <c r="U1007" i="4"/>
  <c r="U1006" i="4"/>
  <c r="U1003" i="4"/>
  <c r="U1009" i="4"/>
  <c r="U1013" i="4"/>
  <c r="U1019" i="4"/>
  <c r="U1022" i="4"/>
  <c r="U1015" i="4"/>
  <c r="U1010" i="4"/>
  <c r="U1021" i="4"/>
  <c r="U997" i="4"/>
  <c r="K978" i="4"/>
  <c r="S973" i="4"/>
  <c r="S981" i="4"/>
  <c r="S978" i="4"/>
  <c r="S972" i="4"/>
  <c r="S980" i="4"/>
  <c r="S974" i="4"/>
  <c r="U1002" i="4"/>
  <c r="S979" i="4"/>
  <c r="S977" i="4"/>
  <c r="S975" i="4"/>
  <c r="U998" i="4"/>
  <c r="K981" i="4"/>
  <c r="U1001" i="4"/>
  <c r="U1004" i="4"/>
  <c r="U984" i="4"/>
  <c r="U990" i="4"/>
  <c r="U995" i="4"/>
  <c r="K975" i="4"/>
  <c r="K972" i="4"/>
  <c r="S970" i="4"/>
  <c r="S971" i="4"/>
  <c r="S968" i="4"/>
  <c r="S962" i="4"/>
  <c r="S969" i="4"/>
  <c r="S963" i="4"/>
  <c r="S964" i="4"/>
  <c r="S965" i="4"/>
  <c r="S966" i="4"/>
  <c r="S967" i="4"/>
  <c r="S961" i="4"/>
  <c r="K969" i="4"/>
  <c r="K966" i="4"/>
  <c r="K963" i="4"/>
  <c r="K982" i="4"/>
  <c r="Z982" i="4" s="1"/>
  <c r="K964" i="4"/>
  <c r="K962" i="4"/>
  <c r="K965" i="4"/>
  <c r="K970" i="4"/>
  <c r="K971" i="4"/>
  <c r="K973" i="4"/>
  <c r="K974" i="4"/>
  <c r="K976" i="4"/>
  <c r="K977" i="4"/>
  <c r="K967" i="4"/>
  <c r="K968" i="4"/>
  <c r="K979" i="4"/>
  <c r="K980" i="4"/>
  <c r="K961" i="4"/>
  <c r="B938" i="4"/>
  <c r="J938" i="4" s="1"/>
  <c r="G938" i="4"/>
  <c r="I938" i="4" s="1"/>
  <c r="N938" i="4"/>
  <c r="O938" i="4"/>
  <c r="P938" i="4"/>
  <c r="Q938" i="4"/>
  <c r="R938" i="4"/>
  <c r="T938" i="4"/>
  <c r="W938" i="4"/>
  <c r="X938" i="4"/>
  <c r="B939" i="4"/>
  <c r="G939" i="4"/>
  <c r="I939" i="4" s="1"/>
  <c r="N939" i="4"/>
  <c r="O939" i="4"/>
  <c r="P939" i="4"/>
  <c r="Q939" i="4"/>
  <c r="R939" i="4"/>
  <c r="T939" i="4"/>
  <c r="W939" i="4"/>
  <c r="X939" i="4"/>
  <c r="B940" i="4"/>
  <c r="G940" i="4"/>
  <c r="I940" i="4" s="1"/>
  <c r="N940" i="4"/>
  <c r="O940" i="4"/>
  <c r="P940" i="4"/>
  <c r="Q940" i="4"/>
  <c r="R940" i="4"/>
  <c r="T940" i="4"/>
  <c r="W940" i="4"/>
  <c r="X940" i="4"/>
  <c r="B941" i="4"/>
  <c r="J941" i="4" s="1"/>
  <c r="G941" i="4"/>
  <c r="I941" i="4" s="1"/>
  <c r="N941" i="4"/>
  <c r="O941" i="4"/>
  <c r="P941" i="4"/>
  <c r="Q941" i="4"/>
  <c r="R941" i="4"/>
  <c r="T941" i="4"/>
  <c r="W941" i="4"/>
  <c r="X941" i="4"/>
  <c r="B942" i="4"/>
  <c r="J942" i="4" s="1"/>
  <c r="G942" i="4"/>
  <c r="I942" i="4" s="1"/>
  <c r="N942" i="4"/>
  <c r="O942" i="4"/>
  <c r="P942" i="4"/>
  <c r="Q942" i="4"/>
  <c r="R942" i="4"/>
  <c r="T942" i="4"/>
  <c r="W942" i="4"/>
  <c r="X942" i="4"/>
  <c r="B943" i="4"/>
  <c r="J943" i="4" s="1"/>
  <c r="G943" i="4"/>
  <c r="I943" i="4" s="1"/>
  <c r="N943" i="4"/>
  <c r="O943" i="4"/>
  <c r="P943" i="4"/>
  <c r="Q943" i="4"/>
  <c r="T943" i="4"/>
  <c r="W943" i="4"/>
  <c r="X943" i="4"/>
  <c r="B944" i="4"/>
  <c r="J944" i="4" s="1"/>
  <c r="G944" i="4"/>
  <c r="I944" i="4" s="1"/>
  <c r="N944" i="4"/>
  <c r="O944" i="4"/>
  <c r="P944" i="4"/>
  <c r="Q944" i="4"/>
  <c r="T944" i="4"/>
  <c r="W944" i="4"/>
  <c r="X944" i="4"/>
  <c r="B945" i="4"/>
  <c r="J945" i="4" s="1"/>
  <c r="G945" i="4"/>
  <c r="I945" i="4" s="1"/>
  <c r="N945" i="4"/>
  <c r="O945" i="4"/>
  <c r="P945" i="4"/>
  <c r="Q945" i="4"/>
  <c r="R945" i="4"/>
  <c r="T945" i="4"/>
  <c r="W945" i="4"/>
  <c r="X945" i="4"/>
  <c r="B946" i="4"/>
  <c r="G946" i="4"/>
  <c r="I946" i="4" s="1"/>
  <c r="N946" i="4"/>
  <c r="O946" i="4"/>
  <c r="P946" i="4"/>
  <c r="Q946" i="4"/>
  <c r="R946" i="4"/>
  <c r="T946" i="4"/>
  <c r="W946" i="4"/>
  <c r="X946" i="4"/>
  <c r="B947" i="4"/>
  <c r="J947" i="4" s="1"/>
  <c r="G947" i="4"/>
  <c r="I947" i="4" s="1"/>
  <c r="N947" i="4"/>
  <c r="O947" i="4"/>
  <c r="P947" i="4"/>
  <c r="Q947" i="4"/>
  <c r="T947" i="4"/>
  <c r="W947" i="4"/>
  <c r="X947" i="4"/>
  <c r="B948" i="4"/>
  <c r="J948" i="4" s="1"/>
  <c r="G948" i="4"/>
  <c r="N948" i="4"/>
  <c r="O948" i="4"/>
  <c r="P948" i="4"/>
  <c r="Q948" i="4"/>
  <c r="R948" i="4"/>
  <c r="T948" i="4"/>
  <c r="W948" i="4"/>
  <c r="X948" i="4"/>
  <c r="B949" i="4"/>
  <c r="G949" i="4"/>
  <c r="I949" i="4" s="1"/>
  <c r="N949" i="4"/>
  <c r="O949" i="4"/>
  <c r="P949" i="4"/>
  <c r="Q949" i="4"/>
  <c r="T949" i="4"/>
  <c r="W949" i="4"/>
  <c r="X949" i="4"/>
  <c r="B950" i="4"/>
  <c r="J950" i="4" s="1"/>
  <c r="G950" i="4"/>
  <c r="I950" i="4" s="1"/>
  <c r="N950" i="4"/>
  <c r="O950" i="4"/>
  <c r="P950" i="4"/>
  <c r="Q950" i="4"/>
  <c r="R950" i="4"/>
  <c r="T950" i="4"/>
  <c r="W950" i="4"/>
  <c r="X950" i="4"/>
  <c r="B951" i="4"/>
  <c r="J951" i="4" s="1"/>
  <c r="G951" i="4"/>
  <c r="I951" i="4" s="1"/>
  <c r="N951" i="4"/>
  <c r="O951" i="4"/>
  <c r="P951" i="4"/>
  <c r="Q951" i="4"/>
  <c r="R951" i="4"/>
  <c r="T951" i="4"/>
  <c r="W951" i="4"/>
  <c r="X951" i="4"/>
  <c r="B952" i="4"/>
  <c r="G952" i="4"/>
  <c r="I952" i="4" s="1"/>
  <c r="N952" i="4"/>
  <c r="O952" i="4"/>
  <c r="P952" i="4"/>
  <c r="Q952" i="4"/>
  <c r="R952" i="4"/>
  <c r="T952" i="4"/>
  <c r="W952" i="4"/>
  <c r="X952" i="4"/>
  <c r="B953" i="4"/>
  <c r="J953" i="4" s="1"/>
  <c r="G953" i="4"/>
  <c r="I953" i="4" s="1"/>
  <c r="N953" i="4"/>
  <c r="O953" i="4"/>
  <c r="P953" i="4"/>
  <c r="Q953" i="4"/>
  <c r="R953" i="4"/>
  <c r="T953" i="4"/>
  <c r="W953" i="4"/>
  <c r="X953" i="4"/>
  <c r="B954" i="4"/>
  <c r="J954" i="4" s="1"/>
  <c r="G954" i="4"/>
  <c r="I954" i="4" s="1"/>
  <c r="N954" i="4"/>
  <c r="O954" i="4"/>
  <c r="P954" i="4"/>
  <c r="Q954" i="4"/>
  <c r="T954" i="4"/>
  <c r="W954" i="4"/>
  <c r="X954" i="4"/>
  <c r="B955" i="4"/>
  <c r="G955" i="4"/>
  <c r="I955" i="4" s="1"/>
  <c r="N955" i="4"/>
  <c r="O955" i="4"/>
  <c r="P955" i="4"/>
  <c r="Q955" i="4"/>
  <c r="R955" i="4"/>
  <c r="T955" i="4"/>
  <c r="W955" i="4"/>
  <c r="X955" i="4"/>
  <c r="B956" i="4"/>
  <c r="J956" i="4" s="1"/>
  <c r="G956" i="4"/>
  <c r="I956" i="4" s="1"/>
  <c r="N956" i="4"/>
  <c r="O956" i="4"/>
  <c r="P956" i="4"/>
  <c r="Q956" i="4"/>
  <c r="T956" i="4"/>
  <c r="W956" i="4"/>
  <c r="X956" i="4"/>
  <c r="B957" i="4"/>
  <c r="J957" i="4" s="1"/>
  <c r="G957" i="4"/>
  <c r="I957" i="4" s="1"/>
  <c r="N957" i="4"/>
  <c r="O957" i="4"/>
  <c r="P957" i="4"/>
  <c r="Q957" i="4"/>
  <c r="T957" i="4"/>
  <c r="W957" i="4"/>
  <c r="X957" i="4"/>
  <c r="B958" i="4"/>
  <c r="G958" i="4"/>
  <c r="I958" i="4" s="1"/>
  <c r="N958" i="4"/>
  <c r="O958" i="4"/>
  <c r="P958" i="4"/>
  <c r="Q958" i="4"/>
  <c r="R958" i="4"/>
  <c r="T958" i="4"/>
  <c r="W958" i="4"/>
  <c r="X958" i="4"/>
  <c r="B959" i="4"/>
  <c r="J959" i="4" s="1"/>
  <c r="G959" i="4"/>
  <c r="I959" i="4" s="1"/>
  <c r="N959" i="4"/>
  <c r="O959" i="4"/>
  <c r="P959" i="4"/>
  <c r="Q959" i="4"/>
  <c r="R959" i="4"/>
  <c r="T959" i="4"/>
  <c r="W959" i="4"/>
  <c r="X959" i="4"/>
  <c r="B960" i="4"/>
  <c r="G960" i="4"/>
  <c r="I960" i="4" s="1"/>
  <c r="N960" i="4"/>
  <c r="O960" i="4"/>
  <c r="P960" i="4"/>
  <c r="Q960" i="4"/>
  <c r="R960" i="4"/>
  <c r="T960" i="4"/>
  <c r="W960" i="4"/>
  <c r="X960" i="4"/>
  <c r="X937" i="4"/>
  <c r="W937" i="4"/>
  <c r="T937" i="4"/>
  <c r="R937" i="4"/>
  <c r="Q937" i="4"/>
  <c r="P937" i="4"/>
  <c r="O937" i="4"/>
  <c r="N937" i="4"/>
  <c r="G937" i="4"/>
  <c r="I937" i="4" s="1"/>
  <c r="B937" i="4"/>
  <c r="J937" i="4" s="1"/>
  <c r="X936" i="4"/>
  <c r="W936" i="4"/>
  <c r="T936" i="4"/>
  <c r="R936" i="4"/>
  <c r="Q936" i="4"/>
  <c r="P936" i="4"/>
  <c r="O936" i="4"/>
  <c r="N936" i="4"/>
  <c r="G936" i="4"/>
  <c r="I936" i="4" s="1"/>
  <c r="B936" i="4"/>
  <c r="J936" i="4" s="1"/>
  <c r="X935" i="4"/>
  <c r="W935" i="4"/>
  <c r="T935" i="4"/>
  <c r="R935" i="4"/>
  <c r="Q935" i="4"/>
  <c r="P935" i="4"/>
  <c r="O935" i="4"/>
  <c r="N935" i="4"/>
  <c r="G935" i="4"/>
  <c r="I935" i="4" s="1"/>
  <c r="B935" i="4"/>
  <c r="J935" i="4" s="1"/>
  <c r="X934" i="4"/>
  <c r="W934" i="4"/>
  <c r="T934" i="4"/>
  <c r="R934" i="4"/>
  <c r="Q934" i="4"/>
  <c r="P934" i="4"/>
  <c r="O934" i="4"/>
  <c r="N934" i="4"/>
  <c r="G934" i="4"/>
  <c r="I934" i="4" s="1"/>
  <c r="B934" i="4"/>
  <c r="J934" i="4" s="1"/>
  <c r="X933" i="4"/>
  <c r="W933" i="4"/>
  <c r="T933" i="4"/>
  <c r="Q933" i="4"/>
  <c r="P933" i="4"/>
  <c r="O933" i="4"/>
  <c r="N933" i="4"/>
  <c r="G933" i="4"/>
  <c r="I933" i="4" s="1"/>
  <c r="B933" i="4"/>
  <c r="J933" i="4" s="1"/>
  <c r="X932" i="4"/>
  <c r="W932" i="4"/>
  <c r="T932" i="4"/>
  <c r="Q932" i="4"/>
  <c r="P932" i="4"/>
  <c r="O932" i="4"/>
  <c r="N932" i="4"/>
  <c r="G932" i="4"/>
  <c r="I932" i="4" s="1"/>
  <c r="B932" i="4"/>
  <c r="J932" i="4" s="1"/>
  <c r="X931" i="4"/>
  <c r="W931" i="4"/>
  <c r="T931" i="4"/>
  <c r="S931" i="4"/>
  <c r="R931" i="4"/>
  <c r="Q931" i="4"/>
  <c r="P931" i="4"/>
  <c r="O931" i="4"/>
  <c r="N931" i="4"/>
  <c r="G931" i="4"/>
  <c r="B931" i="4"/>
  <c r="J931" i="4" s="1"/>
  <c r="X930" i="4"/>
  <c r="W930" i="4"/>
  <c r="T930" i="4"/>
  <c r="Q930" i="4"/>
  <c r="P930" i="4"/>
  <c r="O930" i="4"/>
  <c r="N930" i="4"/>
  <c r="G930" i="4"/>
  <c r="I930" i="4" s="1"/>
  <c r="B930" i="4"/>
  <c r="J930" i="4" s="1"/>
  <c r="X929" i="4"/>
  <c r="W929" i="4"/>
  <c r="T929" i="4"/>
  <c r="R929" i="4"/>
  <c r="Q929" i="4"/>
  <c r="P929" i="4"/>
  <c r="O929" i="4"/>
  <c r="N929" i="4"/>
  <c r="G929" i="4"/>
  <c r="I929" i="4" s="1"/>
  <c r="B929" i="4"/>
  <c r="J929" i="4" s="1"/>
  <c r="X928" i="4"/>
  <c r="W928" i="4"/>
  <c r="T928" i="4"/>
  <c r="R928" i="4"/>
  <c r="Q928" i="4"/>
  <c r="P928" i="4"/>
  <c r="O928" i="4"/>
  <c r="N928" i="4"/>
  <c r="G928" i="4"/>
  <c r="I928" i="4" s="1"/>
  <c r="B928" i="4"/>
  <c r="J928" i="4" s="1"/>
  <c r="X927" i="4"/>
  <c r="W927" i="4"/>
  <c r="T927" i="4"/>
  <c r="R927" i="4"/>
  <c r="Q927" i="4"/>
  <c r="P927" i="4"/>
  <c r="O927" i="4"/>
  <c r="N927" i="4"/>
  <c r="G927" i="4"/>
  <c r="I927" i="4" s="1"/>
  <c r="B927" i="4"/>
  <c r="J927" i="4" s="1"/>
  <c r="X926" i="4"/>
  <c r="W926" i="4"/>
  <c r="T926" i="4"/>
  <c r="R926" i="4"/>
  <c r="Q926" i="4"/>
  <c r="P926" i="4"/>
  <c r="O926" i="4"/>
  <c r="N926" i="4"/>
  <c r="G926" i="4"/>
  <c r="I926" i="4" s="1"/>
  <c r="B926" i="4"/>
  <c r="J926" i="4" s="1"/>
  <c r="X925" i="4"/>
  <c r="W925" i="4"/>
  <c r="T925" i="4"/>
  <c r="R925" i="4"/>
  <c r="Q925" i="4"/>
  <c r="P925" i="4"/>
  <c r="O925" i="4"/>
  <c r="N925" i="4"/>
  <c r="G925" i="4"/>
  <c r="I925" i="4" s="1"/>
  <c r="B925" i="4"/>
  <c r="J925" i="4" s="1"/>
  <c r="X924" i="4"/>
  <c r="W924" i="4"/>
  <c r="T924" i="4"/>
  <c r="R924" i="4"/>
  <c r="Q924" i="4"/>
  <c r="P924" i="4"/>
  <c r="O924" i="4"/>
  <c r="N924" i="4"/>
  <c r="G924" i="4"/>
  <c r="I924" i="4" s="1"/>
  <c r="B924" i="4"/>
  <c r="J924" i="4" s="1"/>
  <c r="X923" i="4"/>
  <c r="W923" i="4"/>
  <c r="T923" i="4"/>
  <c r="R923" i="4"/>
  <c r="Q923" i="4"/>
  <c r="P923" i="4"/>
  <c r="O923" i="4"/>
  <c r="N923" i="4"/>
  <c r="G923" i="4"/>
  <c r="I923" i="4" s="1"/>
  <c r="B923" i="4"/>
  <c r="J923" i="4" s="1"/>
  <c r="X922" i="4"/>
  <c r="W922" i="4"/>
  <c r="T922" i="4"/>
  <c r="Q922" i="4"/>
  <c r="P922" i="4"/>
  <c r="O922" i="4"/>
  <c r="N922" i="4"/>
  <c r="G922" i="4"/>
  <c r="I922" i="4" s="1"/>
  <c r="B922" i="4"/>
  <c r="J922" i="4" s="1"/>
  <c r="X921" i="4"/>
  <c r="W921" i="4"/>
  <c r="T921" i="4"/>
  <c r="R921" i="4"/>
  <c r="Q921" i="4"/>
  <c r="P921" i="4"/>
  <c r="O921" i="4"/>
  <c r="N921" i="4"/>
  <c r="G921" i="4"/>
  <c r="I921" i="4" s="1"/>
  <c r="B921" i="4"/>
  <c r="J921" i="4" s="1"/>
  <c r="X920" i="4"/>
  <c r="W920" i="4"/>
  <c r="T920" i="4"/>
  <c r="R920" i="4"/>
  <c r="Q920" i="4"/>
  <c r="P920" i="4"/>
  <c r="O920" i="4"/>
  <c r="N920" i="4"/>
  <c r="G920" i="4"/>
  <c r="I920" i="4" s="1"/>
  <c r="B920" i="4"/>
  <c r="J920" i="4" s="1"/>
  <c r="X919" i="4"/>
  <c r="W919" i="4"/>
  <c r="T919" i="4"/>
  <c r="R919" i="4"/>
  <c r="Q919" i="4"/>
  <c r="P919" i="4"/>
  <c r="O919" i="4"/>
  <c r="N919" i="4"/>
  <c r="G919" i="4"/>
  <c r="I919" i="4" s="1"/>
  <c r="B919" i="4"/>
  <c r="J919" i="4" s="1"/>
  <c r="X918" i="4"/>
  <c r="W918" i="4"/>
  <c r="T918" i="4"/>
  <c r="R918" i="4"/>
  <c r="Q918" i="4"/>
  <c r="P918" i="4"/>
  <c r="O918" i="4"/>
  <c r="N918" i="4"/>
  <c r="G918" i="4"/>
  <c r="I918" i="4" s="1"/>
  <c r="B918" i="4"/>
  <c r="J918" i="4" s="1"/>
  <c r="X917" i="4"/>
  <c r="W917" i="4"/>
  <c r="T917" i="4"/>
  <c r="Q917" i="4"/>
  <c r="P917" i="4"/>
  <c r="O917" i="4"/>
  <c r="N917" i="4"/>
  <c r="G917" i="4"/>
  <c r="I917" i="4" s="1"/>
  <c r="B917" i="4"/>
  <c r="J917" i="4" s="1"/>
  <c r="X916" i="4"/>
  <c r="W916" i="4"/>
  <c r="T916" i="4"/>
  <c r="R916" i="4"/>
  <c r="Q916" i="4"/>
  <c r="P916" i="4"/>
  <c r="O916" i="4"/>
  <c r="N916" i="4"/>
  <c r="G916" i="4"/>
  <c r="I916" i="4" s="1"/>
  <c r="B916" i="4"/>
  <c r="J916" i="4" s="1"/>
  <c r="X915" i="4"/>
  <c r="W915" i="4"/>
  <c r="T915" i="4"/>
  <c r="R915" i="4"/>
  <c r="Q915" i="4"/>
  <c r="P915" i="4"/>
  <c r="O915" i="4"/>
  <c r="N915" i="4"/>
  <c r="G915" i="4"/>
  <c r="I915" i="4" s="1"/>
  <c r="B915" i="4"/>
  <c r="J915" i="4" s="1"/>
  <c r="X914" i="4"/>
  <c r="W914" i="4"/>
  <c r="T914" i="4"/>
  <c r="R914" i="4"/>
  <c r="Q914" i="4"/>
  <c r="P914" i="4"/>
  <c r="O914" i="4"/>
  <c r="N914" i="4"/>
  <c r="G914" i="4"/>
  <c r="I914" i="4" s="1"/>
  <c r="B914" i="4"/>
  <c r="J914" i="4" s="1"/>
  <c r="X913" i="4"/>
  <c r="W913" i="4"/>
  <c r="T913" i="4"/>
  <c r="R913" i="4"/>
  <c r="Q913" i="4"/>
  <c r="P913" i="4"/>
  <c r="O913" i="4"/>
  <c r="N913" i="4"/>
  <c r="G913" i="4"/>
  <c r="I913" i="4" s="1"/>
  <c r="B913" i="4"/>
  <c r="J913" i="4" s="1"/>
  <c r="X912" i="4"/>
  <c r="W912" i="4"/>
  <c r="T912" i="4"/>
  <c r="Q912" i="4"/>
  <c r="P912" i="4"/>
  <c r="O912" i="4"/>
  <c r="N912" i="4"/>
  <c r="G912" i="4"/>
  <c r="I912" i="4" s="1"/>
  <c r="B912" i="4"/>
  <c r="J912" i="4" s="1"/>
  <c r="X911" i="4"/>
  <c r="W911" i="4"/>
  <c r="T911" i="4"/>
  <c r="Q911" i="4"/>
  <c r="P911" i="4"/>
  <c r="O911" i="4"/>
  <c r="N911" i="4"/>
  <c r="G911" i="4"/>
  <c r="I911" i="4" s="1"/>
  <c r="B911" i="4"/>
  <c r="J911" i="4" s="1"/>
  <c r="X910" i="4"/>
  <c r="W910" i="4"/>
  <c r="T910" i="4"/>
  <c r="R910" i="4"/>
  <c r="Q910" i="4"/>
  <c r="P910" i="4"/>
  <c r="O910" i="4"/>
  <c r="N910" i="4"/>
  <c r="G910" i="4"/>
  <c r="I910" i="4" s="1"/>
  <c r="B910" i="4"/>
  <c r="J910" i="4" s="1"/>
  <c r="X909" i="4"/>
  <c r="W909" i="4"/>
  <c r="T909" i="4"/>
  <c r="Q909" i="4"/>
  <c r="P909" i="4"/>
  <c r="O909" i="4"/>
  <c r="N909" i="4"/>
  <c r="G909" i="4"/>
  <c r="I909" i="4" s="1"/>
  <c r="B909" i="4"/>
  <c r="J909" i="4" s="1"/>
  <c r="X908" i="4"/>
  <c r="W908" i="4"/>
  <c r="T908" i="4"/>
  <c r="Q908" i="4"/>
  <c r="P908" i="4"/>
  <c r="O908" i="4"/>
  <c r="N908" i="4"/>
  <c r="G908" i="4"/>
  <c r="I908" i="4" s="1"/>
  <c r="B908" i="4"/>
  <c r="J908" i="4" s="1"/>
  <c r="X907" i="4"/>
  <c r="W907" i="4"/>
  <c r="T907" i="4"/>
  <c r="R907" i="4"/>
  <c r="Q907" i="4"/>
  <c r="P907" i="4"/>
  <c r="O907" i="4"/>
  <c r="N907" i="4"/>
  <c r="G907" i="4"/>
  <c r="I907" i="4" s="1"/>
  <c r="B907" i="4"/>
  <c r="J907" i="4" s="1"/>
  <c r="X906" i="4"/>
  <c r="W906" i="4"/>
  <c r="T906" i="4"/>
  <c r="R906" i="4"/>
  <c r="Q906" i="4"/>
  <c r="P906" i="4"/>
  <c r="O906" i="4"/>
  <c r="N906" i="4"/>
  <c r="G906" i="4"/>
  <c r="I906" i="4" s="1"/>
  <c r="B906" i="4"/>
  <c r="J906" i="4" s="1"/>
  <c r="X905" i="4"/>
  <c r="W905" i="4"/>
  <c r="T905" i="4"/>
  <c r="R905" i="4"/>
  <c r="Q905" i="4"/>
  <c r="P905" i="4"/>
  <c r="O905" i="4"/>
  <c r="N905" i="4"/>
  <c r="G905" i="4"/>
  <c r="I905" i="4" s="1"/>
  <c r="B905" i="4"/>
  <c r="J905" i="4" s="1"/>
  <c r="X904" i="4"/>
  <c r="W904" i="4"/>
  <c r="T904" i="4"/>
  <c r="R904" i="4"/>
  <c r="Q904" i="4"/>
  <c r="P904" i="4"/>
  <c r="O904" i="4"/>
  <c r="N904" i="4"/>
  <c r="G904" i="4"/>
  <c r="I904" i="4" s="1"/>
  <c r="B904" i="4"/>
  <c r="J904" i="4" s="1"/>
  <c r="X903" i="4"/>
  <c r="W903" i="4"/>
  <c r="T903" i="4"/>
  <c r="Q903" i="4"/>
  <c r="P903" i="4"/>
  <c r="O903" i="4"/>
  <c r="N903" i="4"/>
  <c r="G903" i="4"/>
  <c r="I903" i="4" s="1"/>
  <c r="B903" i="4"/>
  <c r="J903" i="4" s="1"/>
  <c r="X902" i="4"/>
  <c r="W902" i="4"/>
  <c r="T902" i="4"/>
  <c r="Q902" i="4"/>
  <c r="P902" i="4"/>
  <c r="O902" i="4"/>
  <c r="N902" i="4"/>
  <c r="G902" i="4"/>
  <c r="I902" i="4" s="1"/>
  <c r="B902" i="4"/>
  <c r="J902" i="4" s="1"/>
  <c r="X901" i="4"/>
  <c r="W901" i="4"/>
  <c r="T901" i="4"/>
  <c r="R901" i="4"/>
  <c r="Q901" i="4"/>
  <c r="P901" i="4"/>
  <c r="O901" i="4"/>
  <c r="N901" i="4"/>
  <c r="G901" i="4"/>
  <c r="I901" i="4" s="1"/>
  <c r="B901" i="4"/>
  <c r="J901" i="4" s="1"/>
  <c r="X900" i="4"/>
  <c r="W900" i="4"/>
  <c r="T900" i="4"/>
  <c r="R900" i="4"/>
  <c r="Q900" i="4"/>
  <c r="P900" i="4"/>
  <c r="O900" i="4"/>
  <c r="N900" i="4"/>
  <c r="G900" i="4"/>
  <c r="I900" i="4" s="1"/>
  <c r="B900" i="4"/>
  <c r="J900" i="4" s="1"/>
  <c r="X899" i="4"/>
  <c r="W899" i="4"/>
  <c r="T899" i="4"/>
  <c r="R899" i="4"/>
  <c r="Q899" i="4"/>
  <c r="P899" i="4"/>
  <c r="O899" i="4"/>
  <c r="N899" i="4"/>
  <c r="G899" i="4"/>
  <c r="I899" i="4" s="1"/>
  <c r="B899" i="4"/>
  <c r="J899" i="4" s="1"/>
  <c r="X898" i="4"/>
  <c r="W898" i="4"/>
  <c r="T898" i="4"/>
  <c r="Q898" i="4"/>
  <c r="P898" i="4"/>
  <c r="O898" i="4"/>
  <c r="N898" i="4"/>
  <c r="G898" i="4"/>
  <c r="I898" i="4" s="1"/>
  <c r="B898" i="4"/>
  <c r="J898" i="4" s="1"/>
  <c r="X897" i="4"/>
  <c r="W897" i="4"/>
  <c r="T897" i="4"/>
  <c r="Q897" i="4"/>
  <c r="P897" i="4"/>
  <c r="O897" i="4"/>
  <c r="N897" i="4"/>
  <c r="G897" i="4"/>
  <c r="I897" i="4" s="1"/>
  <c r="B897" i="4"/>
  <c r="J897" i="4" s="1"/>
  <c r="X896" i="4"/>
  <c r="W896" i="4"/>
  <c r="T896" i="4"/>
  <c r="R896" i="4"/>
  <c r="Q896" i="4"/>
  <c r="P896" i="4"/>
  <c r="O896" i="4"/>
  <c r="N896" i="4"/>
  <c r="G896" i="4"/>
  <c r="I896" i="4" s="1"/>
  <c r="B896" i="4"/>
  <c r="J896" i="4" s="1"/>
  <c r="X895" i="4"/>
  <c r="W895" i="4"/>
  <c r="T895" i="4"/>
  <c r="R895" i="4"/>
  <c r="Q895" i="4"/>
  <c r="P895" i="4"/>
  <c r="O895" i="4"/>
  <c r="N895" i="4"/>
  <c r="G895" i="4"/>
  <c r="I895" i="4" s="1"/>
  <c r="B895" i="4"/>
  <c r="J895" i="4" s="1"/>
  <c r="X894" i="4"/>
  <c r="W894" i="4"/>
  <c r="T894" i="4"/>
  <c r="Q894" i="4"/>
  <c r="P894" i="4"/>
  <c r="O894" i="4"/>
  <c r="N894" i="4"/>
  <c r="G894" i="4"/>
  <c r="I894" i="4" s="1"/>
  <c r="B894" i="4"/>
  <c r="J894" i="4" s="1"/>
  <c r="X893" i="4"/>
  <c r="W893" i="4"/>
  <c r="T893" i="4"/>
  <c r="R893" i="4"/>
  <c r="Q893" i="4"/>
  <c r="P893" i="4"/>
  <c r="O893" i="4"/>
  <c r="N893" i="4"/>
  <c r="G893" i="4"/>
  <c r="I893" i="4" s="1"/>
  <c r="B893" i="4"/>
  <c r="J893" i="4" s="1"/>
  <c r="X892" i="4"/>
  <c r="W892" i="4"/>
  <c r="T892" i="4"/>
  <c r="R892" i="4"/>
  <c r="Q892" i="4"/>
  <c r="P892" i="4"/>
  <c r="O892" i="4"/>
  <c r="N892" i="4"/>
  <c r="G892" i="4"/>
  <c r="I892" i="4" s="1"/>
  <c r="B892" i="4"/>
  <c r="J892" i="4" s="1"/>
  <c r="X891" i="4"/>
  <c r="W891" i="4"/>
  <c r="T891" i="4"/>
  <c r="R891" i="4"/>
  <c r="Q891" i="4"/>
  <c r="P891" i="4"/>
  <c r="O891" i="4"/>
  <c r="N891" i="4"/>
  <c r="G891" i="4"/>
  <c r="I891" i="4" s="1"/>
  <c r="B891" i="4"/>
  <c r="J891" i="4" s="1"/>
  <c r="X890" i="4"/>
  <c r="W890" i="4"/>
  <c r="T890" i="4"/>
  <c r="R890" i="4"/>
  <c r="Q890" i="4"/>
  <c r="P890" i="4"/>
  <c r="O890" i="4"/>
  <c r="N890" i="4"/>
  <c r="G890" i="4"/>
  <c r="I890" i="4" s="1"/>
  <c r="B890" i="4"/>
  <c r="J890" i="4" s="1"/>
  <c r="X889" i="4"/>
  <c r="W889" i="4"/>
  <c r="T889" i="4"/>
  <c r="Q889" i="4"/>
  <c r="P889" i="4"/>
  <c r="O889" i="4"/>
  <c r="N889" i="4"/>
  <c r="G889" i="4"/>
  <c r="I889" i="4" s="1"/>
  <c r="B889" i="4"/>
  <c r="J889" i="4" s="1"/>
  <c r="X888" i="4"/>
  <c r="W888" i="4"/>
  <c r="T888" i="4"/>
  <c r="Q888" i="4"/>
  <c r="P888" i="4"/>
  <c r="O888" i="4"/>
  <c r="N888" i="4"/>
  <c r="G888" i="4"/>
  <c r="I888" i="4" s="1"/>
  <c r="B888" i="4"/>
  <c r="J888" i="4" s="1"/>
  <c r="X887" i="4"/>
  <c r="W887" i="4"/>
  <c r="T887" i="4"/>
  <c r="R887" i="4"/>
  <c r="Q887" i="4"/>
  <c r="P887" i="4"/>
  <c r="O887" i="4"/>
  <c r="N887" i="4"/>
  <c r="G887" i="4"/>
  <c r="I887" i="4" s="1"/>
  <c r="B887" i="4"/>
  <c r="J887" i="4" s="1"/>
  <c r="X886" i="4"/>
  <c r="W886" i="4"/>
  <c r="T886" i="4"/>
  <c r="R886" i="4"/>
  <c r="Q886" i="4"/>
  <c r="P886" i="4"/>
  <c r="O886" i="4"/>
  <c r="N886" i="4"/>
  <c r="G886" i="4"/>
  <c r="I886" i="4" s="1"/>
  <c r="B886" i="4"/>
  <c r="J886" i="4" s="1"/>
  <c r="X885" i="4"/>
  <c r="W885" i="4"/>
  <c r="T885" i="4"/>
  <c r="R885" i="4"/>
  <c r="Q885" i="4"/>
  <c r="P885" i="4"/>
  <c r="O885" i="4"/>
  <c r="N885" i="4"/>
  <c r="G885" i="4"/>
  <c r="I885" i="4" s="1"/>
  <c r="B885" i="4"/>
  <c r="J885" i="4" s="1"/>
  <c r="X884" i="4"/>
  <c r="W884" i="4"/>
  <c r="T884" i="4"/>
  <c r="R884" i="4"/>
  <c r="Q884" i="4"/>
  <c r="P884" i="4"/>
  <c r="O884" i="4"/>
  <c r="N884" i="4"/>
  <c r="G884" i="4"/>
  <c r="I884" i="4" s="1"/>
  <c r="B884" i="4"/>
  <c r="J884" i="4" s="1"/>
  <c r="X883" i="4"/>
  <c r="W883" i="4"/>
  <c r="T883" i="4"/>
  <c r="R883" i="4"/>
  <c r="Q883" i="4"/>
  <c r="P883" i="4"/>
  <c r="O883" i="4"/>
  <c r="N883" i="4"/>
  <c r="G883" i="4"/>
  <c r="I883" i="4" s="1"/>
  <c r="B883" i="4"/>
  <c r="J883" i="4" s="1"/>
  <c r="X882" i="4"/>
  <c r="W882" i="4"/>
  <c r="T882" i="4"/>
  <c r="R882" i="4"/>
  <c r="Q882" i="4"/>
  <c r="P882" i="4"/>
  <c r="O882" i="4"/>
  <c r="N882" i="4"/>
  <c r="G882" i="4"/>
  <c r="I882" i="4" s="1"/>
  <c r="B882" i="4"/>
  <c r="J882" i="4" s="1"/>
  <c r="X881" i="4"/>
  <c r="W881" i="4"/>
  <c r="T881" i="4"/>
  <c r="R881" i="4"/>
  <c r="Q881" i="4"/>
  <c r="P881" i="4"/>
  <c r="O881" i="4"/>
  <c r="N881" i="4"/>
  <c r="G881" i="4"/>
  <c r="I881" i="4" s="1"/>
  <c r="B881" i="4"/>
  <c r="J881" i="4" s="1"/>
  <c r="X880" i="4"/>
  <c r="W880" i="4"/>
  <c r="T880" i="4"/>
  <c r="R880" i="4"/>
  <c r="Q880" i="4"/>
  <c r="P880" i="4"/>
  <c r="O880" i="4"/>
  <c r="N880" i="4"/>
  <c r="G880" i="4"/>
  <c r="I880" i="4" s="1"/>
  <c r="B880" i="4"/>
  <c r="J880" i="4" s="1"/>
  <c r="X879" i="4"/>
  <c r="W879" i="4"/>
  <c r="T879" i="4"/>
  <c r="R879" i="4"/>
  <c r="Q879" i="4"/>
  <c r="P879" i="4"/>
  <c r="O879" i="4"/>
  <c r="N879" i="4"/>
  <c r="G879" i="4"/>
  <c r="I879" i="4" s="1"/>
  <c r="B879" i="4"/>
  <c r="J879" i="4" s="1"/>
  <c r="X878" i="4"/>
  <c r="W878" i="4"/>
  <c r="T878" i="4"/>
  <c r="R878" i="4"/>
  <c r="Q878" i="4"/>
  <c r="P878" i="4"/>
  <c r="O878" i="4"/>
  <c r="N878" i="4"/>
  <c r="G878" i="4"/>
  <c r="I878" i="4" s="1"/>
  <c r="B878" i="4"/>
  <c r="J878" i="4" s="1"/>
  <c r="X877" i="4"/>
  <c r="W877" i="4"/>
  <c r="T877" i="4"/>
  <c r="Q877" i="4"/>
  <c r="P877" i="4"/>
  <c r="O877" i="4"/>
  <c r="N877" i="4"/>
  <c r="G877" i="4"/>
  <c r="I877" i="4" s="1"/>
  <c r="B877" i="4"/>
  <c r="J877" i="4" s="1"/>
  <c r="X876" i="4"/>
  <c r="W876" i="4"/>
  <c r="T876" i="4"/>
  <c r="R876" i="4"/>
  <c r="Q876" i="4"/>
  <c r="P876" i="4"/>
  <c r="O876" i="4"/>
  <c r="N876" i="4"/>
  <c r="G876" i="4"/>
  <c r="I876" i="4" s="1"/>
  <c r="B876" i="4"/>
  <c r="J876" i="4" s="1"/>
  <c r="X875" i="4"/>
  <c r="W875" i="4"/>
  <c r="T875" i="4"/>
  <c r="R875" i="4"/>
  <c r="Q875" i="4"/>
  <c r="P875" i="4"/>
  <c r="O875" i="4"/>
  <c r="N875" i="4"/>
  <c r="G875" i="4"/>
  <c r="I875" i="4" s="1"/>
  <c r="B875" i="4"/>
  <c r="J875" i="4" s="1"/>
  <c r="X874" i="4"/>
  <c r="W874" i="4"/>
  <c r="T874" i="4"/>
  <c r="R874" i="4"/>
  <c r="Q874" i="4"/>
  <c r="P874" i="4"/>
  <c r="O874" i="4"/>
  <c r="N874" i="4"/>
  <c r="G874" i="4"/>
  <c r="I874" i="4" s="1"/>
  <c r="B874" i="4"/>
  <c r="J874" i="4" s="1"/>
  <c r="B839" i="4"/>
  <c r="J839" i="4" s="1"/>
  <c r="G839" i="4"/>
  <c r="I839" i="4" s="1"/>
  <c r="N839" i="4"/>
  <c r="O839" i="4"/>
  <c r="P839" i="4"/>
  <c r="Q839" i="4"/>
  <c r="T839" i="4"/>
  <c r="W839" i="4"/>
  <c r="X839" i="4"/>
  <c r="B840" i="4"/>
  <c r="J840" i="4" s="1"/>
  <c r="G840" i="4"/>
  <c r="I840" i="4" s="1"/>
  <c r="N840" i="4"/>
  <c r="O840" i="4"/>
  <c r="P840" i="4"/>
  <c r="Q840" i="4"/>
  <c r="R840" i="4"/>
  <c r="T840" i="4"/>
  <c r="W840" i="4"/>
  <c r="X840" i="4"/>
  <c r="B841" i="4"/>
  <c r="J841" i="4" s="1"/>
  <c r="G841" i="4"/>
  <c r="I841" i="4" s="1"/>
  <c r="N841" i="4"/>
  <c r="O841" i="4"/>
  <c r="P841" i="4"/>
  <c r="Q841" i="4"/>
  <c r="R841" i="4"/>
  <c r="T841" i="4"/>
  <c r="W841" i="4"/>
  <c r="X841" i="4"/>
  <c r="B842" i="4"/>
  <c r="J842" i="4" s="1"/>
  <c r="G842" i="4"/>
  <c r="I842" i="4" s="1"/>
  <c r="N842" i="4"/>
  <c r="O842" i="4"/>
  <c r="P842" i="4"/>
  <c r="Q842" i="4"/>
  <c r="T842" i="4"/>
  <c r="W842" i="4"/>
  <c r="X842" i="4"/>
  <c r="B843" i="4"/>
  <c r="J843" i="4" s="1"/>
  <c r="G843" i="4"/>
  <c r="I843" i="4" s="1"/>
  <c r="N843" i="4"/>
  <c r="O843" i="4"/>
  <c r="P843" i="4"/>
  <c r="Q843" i="4"/>
  <c r="T843" i="4"/>
  <c r="W843" i="4"/>
  <c r="X843" i="4"/>
  <c r="B844" i="4"/>
  <c r="J844" i="4" s="1"/>
  <c r="G844" i="4"/>
  <c r="I844" i="4" s="1"/>
  <c r="N844" i="4"/>
  <c r="O844" i="4"/>
  <c r="P844" i="4"/>
  <c r="Q844" i="4"/>
  <c r="R844" i="4"/>
  <c r="T844" i="4"/>
  <c r="W844" i="4"/>
  <c r="X844" i="4"/>
  <c r="B845" i="4"/>
  <c r="J845" i="4" s="1"/>
  <c r="G845" i="4"/>
  <c r="I845" i="4" s="1"/>
  <c r="N845" i="4"/>
  <c r="O845" i="4"/>
  <c r="P845" i="4"/>
  <c r="Q845" i="4"/>
  <c r="R845" i="4"/>
  <c r="T845" i="4"/>
  <c r="W845" i="4"/>
  <c r="X845" i="4"/>
  <c r="B846" i="4"/>
  <c r="J846" i="4" s="1"/>
  <c r="G846" i="4"/>
  <c r="I846" i="4" s="1"/>
  <c r="N846" i="4"/>
  <c r="O846" i="4"/>
  <c r="P846" i="4"/>
  <c r="Q846" i="4"/>
  <c r="R846" i="4"/>
  <c r="T846" i="4"/>
  <c r="W846" i="4"/>
  <c r="X846" i="4"/>
  <c r="B847" i="4"/>
  <c r="J847" i="4" s="1"/>
  <c r="G847" i="4"/>
  <c r="I847" i="4" s="1"/>
  <c r="N847" i="4"/>
  <c r="O847" i="4"/>
  <c r="P847" i="4"/>
  <c r="Q847" i="4"/>
  <c r="R847" i="4"/>
  <c r="T847" i="4"/>
  <c r="W847" i="4"/>
  <c r="X847" i="4"/>
  <c r="B848" i="4"/>
  <c r="J848" i="4" s="1"/>
  <c r="G848" i="4"/>
  <c r="I848" i="4" s="1"/>
  <c r="N848" i="4"/>
  <c r="O848" i="4"/>
  <c r="P848" i="4"/>
  <c r="Q848" i="4"/>
  <c r="T848" i="4"/>
  <c r="W848" i="4"/>
  <c r="X848" i="4"/>
  <c r="B849" i="4"/>
  <c r="J849" i="4" s="1"/>
  <c r="G849" i="4"/>
  <c r="N849" i="4"/>
  <c r="O849" i="4"/>
  <c r="P849" i="4"/>
  <c r="Q849" i="4"/>
  <c r="R849" i="4"/>
  <c r="S849" i="4"/>
  <c r="T849" i="4"/>
  <c r="W849" i="4"/>
  <c r="X849" i="4"/>
  <c r="B850" i="4"/>
  <c r="J850" i="4" s="1"/>
  <c r="G850" i="4"/>
  <c r="I850" i="4" s="1"/>
  <c r="N850" i="4"/>
  <c r="O850" i="4"/>
  <c r="P850" i="4"/>
  <c r="Q850" i="4"/>
  <c r="R850" i="4"/>
  <c r="T850" i="4"/>
  <c r="W850" i="4"/>
  <c r="X850" i="4"/>
  <c r="B851" i="4"/>
  <c r="J851" i="4" s="1"/>
  <c r="G851" i="4"/>
  <c r="I851" i="4" s="1"/>
  <c r="N851" i="4"/>
  <c r="O851" i="4"/>
  <c r="P851" i="4"/>
  <c r="Q851" i="4"/>
  <c r="R851" i="4"/>
  <c r="T851" i="4"/>
  <c r="W851" i="4"/>
  <c r="X851" i="4"/>
  <c r="B852" i="4"/>
  <c r="J852" i="4" s="1"/>
  <c r="G852" i="4"/>
  <c r="I852" i="4" s="1"/>
  <c r="N852" i="4"/>
  <c r="O852" i="4"/>
  <c r="P852" i="4"/>
  <c r="Q852" i="4"/>
  <c r="T852" i="4"/>
  <c r="W852" i="4"/>
  <c r="X852" i="4"/>
  <c r="B853" i="4"/>
  <c r="J853" i="4" s="1"/>
  <c r="G853" i="4"/>
  <c r="I853" i="4" s="1"/>
  <c r="N853" i="4"/>
  <c r="O853" i="4"/>
  <c r="P853" i="4"/>
  <c r="Q853" i="4"/>
  <c r="R853" i="4"/>
  <c r="T853" i="4"/>
  <c r="W853" i="4"/>
  <c r="X853" i="4"/>
  <c r="B854" i="4"/>
  <c r="J854" i="4" s="1"/>
  <c r="G854" i="4"/>
  <c r="I854" i="4" s="1"/>
  <c r="N854" i="4"/>
  <c r="O854" i="4"/>
  <c r="P854" i="4"/>
  <c r="Q854" i="4"/>
  <c r="R854" i="4"/>
  <c r="T854" i="4"/>
  <c r="W854" i="4"/>
  <c r="X854" i="4"/>
  <c r="B855" i="4"/>
  <c r="J855" i="4" s="1"/>
  <c r="G855" i="4"/>
  <c r="I855" i="4" s="1"/>
  <c r="N855" i="4"/>
  <c r="O855" i="4"/>
  <c r="P855" i="4"/>
  <c r="Q855" i="4"/>
  <c r="T855" i="4"/>
  <c r="W855" i="4"/>
  <c r="X855" i="4"/>
  <c r="B856" i="4"/>
  <c r="J856" i="4" s="1"/>
  <c r="G856" i="4"/>
  <c r="I856" i="4" s="1"/>
  <c r="N856" i="4"/>
  <c r="O856" i="4"/>
  <c r="P856" i="4"/>
  <c r="Q856" i="4"/>
  <c r="T856" i="4"/>
  <c r="W856" i="4"/>
  <c r="X856" i="4"/>
  <c r="B857" i="4"/>
  <c r="J857" i="4" s="1"/>
  <c r="G857" i="4"/>
  <c r="I857" i="4" s="1"/>
  <c r="N857" i="4"/>
  <c r="O857" i="4"/>
  <c r="P857" i="4"/>
  <c r="Q857" i="4"/>
  <c r="T857" i="4"/>
  <c r="W857" i="4"/>
  <c r="X857" i="4"/>
  <c r="B858" i="4"/>
  <c r="J858" i="4" s="1"/>
  <c r="G858" i="4"/>
  <c r="I858" i="4" s="1"/>
  <c r="N858" i="4"/>
  <c r="O858" i="4"/>
  <c r="P858" i="4"/>
  <c r="Q858" i="4"/>
  <c r="R858" i="4"/>
  <c r="T858" i="4"/>
  <c r="W858" i="4"/>
  <c r="X858" i="4"/>
  <c r="B859" i="4"/>
  <c r="J859" i="4" s="1"/>
  <c r="G859" i="4"/>
  <c r="I859" i="4" s="1"/>
  <c r="N859" i="4"/>
  <c r="O859" i="4"/>
  <c r="P859" i="4"/>
  <c r="Q859" i="4"/>
  <c r="R859" i="4"/>
  <c r="T859" i="4"/>
  <c r="W859" i="4"/>
  <c r="X859" i="4"/>
  <c r="B860" i="4"/>
  <c r="J860" i="4" s="1"/>
  <c r="G860" i="4"/>
  <c r="I860" i="4" s="1"/>
  <c r="N860" i="4"/>
  <c r="O860" i="4"/>
  <c r="P860" i="4"/>
  <c r="Q860" i="4"/>
  <c r="R860" i="4"/>
  <c r="T860" i="4"/>
  <c r="W860" i="4"/>
  <c r="X860" i="4"/>
  <c r="B861" i="4"/>
  <c r="J861" i="4" s="1"/>
  <c r="G861" i="4"/>
  <c r="I861" i="4" s="1"/>
  <c r="N861" i="4"/>
  <c r="O861" i="4"/>
  <c r="P861" i="4"/>
  <c r="Q861" i="4"/>
  <c r="R861" i="4"/>
  <c r="T861" i="4"/>
  <c r="W861" i="4"/>
  <c r="X861" i="4"/>
  <c r="B862" i="4"/>
  <c r="J862" i="4" s="1"/>
  <c r="G862" i="4"/>
  <c r="I862" i="4" s="1"/>
  <c r="N862" i="4"/>
  <c r="O862" i="4"/>
  <c r="P862" i="4"/>
  <c r="Q862" i="4"/>
  <c r="R862" i="4"/>
  <c r="T862" i="4"/>
  <c r="W862" i="4"/>
  <c r="X862" i="4"/>
  <c r="B863" i="4"/>
  <c r="J863" i="4" s="1"/>
  <c r="G863" i="4"/>
  <c r="I863" i="4" s="1"/>
  <c r="N863" i="4"/>
  <c r="O863" i="4"/>
  <c r="P863" i="4"/>
  <c r="Q863" i="4"/>
  <c r="T863" i="4"/>
  <c r="W863" i="4"/>
  <c r="X863" i="4"/>
  <c r="B864" i="4"/>
  <c r="J864" i="4" s="1"/>
  <c r="G864" i="4"/>
  <c r="I864" i="4" s="1"/>
  <c r="N864" i="4"/>
  <c r="O864" i="4"/>
  <c r="P864" i="4"/>
  <c r="Q864" i="4"/>
  <c r="R864" i="4"/>
  <c r="T864" i="4"/>
  <c r="W864" i="4"/>
  <c r="X864" i="4"/>
  <c r="B865" i="4"/>
  <c r="J865" i="4" s="1"/>
  <c r="G865" i="4"/>
  <c r="I865" i="4" s="1"/>
  <c r="N865" i="4"/>
  <c r="O865" i="4"/>
  <c r="P865" i="4"/>
  <c r="Q865" i="4"/>
  <c r="R865" i="4"/>
  <c r="T865" i="4"/>
  <c r="W865" i="4"/>
  <c r="X865" i="4"/>
  <c r="B866" i="4"/>
  <c r="J866" i="4" s="1"/>
  <c r="G866" i="4"/>
  <c r="I866" i="4" s="1"/>
  <c r="N866" i="4"/>
  <c r="O866" i="4"/>
  <c r="P866" i="4"/>
  <c r="Q866" i="4"/>
  <c r="T866" i="4"/>
  <c r="W866" i="4"/>
  <c r="X866" i="4"/>
  <c r="B867" i="4"/>
  <c r="J867" i="4" s="1"/>
  <c r="G867" i="4"/>
  <c r="I867" i="4" s="1"/>
  <c r="N867" i="4"/>
  <c r="O867" i="4"/>
  <c r="P867" i="4"/>
  <c r="Q867" i="4"/>
  <c r="T867" i="4"/>
  <c r="W867" i="4"/>
  <c r="X867" i="4"/>
  <c r="B868" i="4"/>
  <c r="J868" i="4" s="1"/>
  <c r="G868" i="4"/>
  <c r="I868" i="4" s="1"/>
  <c r="N868" i="4"/>
  <c r="O868" i="4"/>
  <c r="P868" i="4"/>
  <c r="Q868" i="4"/>
  <c r="R868" i="4"/>
  <c r="T868" i="4"/>
  <c r="W868" i="4"/>
  <c r="X868" i="4"/>
  <c r="B869" i="4"/>
  <c r="J869" i="4" s="1"/>
  <c r="G869" i="4"/>
  <c r="I869" i="4" s="1"/>
  <c r="N869" i="4"/>
  <c r="O869" i="4"/>
  <c r="P869" i="4"/>
  <c r="Q869" i="4"/>
  <c r="R869" i="4"/>
  <c r="T869" i="4"/>
  <c r="W869" i="4"/>
  <c r="X869" i="4"/>
  <c r="B870" i="4"/>
  <c r="J870" i="4" s="1"/>
  <c r="G870" i="4"/>
  <c r="I870" i="4" s="1"/>
  <c r="N870" i="4"/>
  <c r="O870" i="4"/>
  <c r="P870" i="4"/>
  <c r="Q870" i="4"/>
  <c r="R870" i="4"/>
  <c r="T870" i="4"/>
  <c r="W870" i="4"/>
  <c r="X870" i="4"/>
  <c r="B871" i="4"/>
  <c r="J871" i="4" s="1"/>
  <c r="G871" i="4"/>
  <c r="I871" i="4" s="1"/>
  <c r="N871" i="4"/>
  <c r="O871" i="4"/>
  <c r="P871" i="4"/>
  <c r="Q871" i="4"/>
  <c r="R871" i="4"/>
  <c r="T871" i="4"/>
  <c r="W871" i="4"/>
  <c r="X871" i="4"/>
  <c r="B872" i="4"/>
  <c r="J872" i="4" s="1"/>
  <c r="G872" i="4"/>
  <c r="I872" i="4" s="1"/>
  <c r="N872" i="4"/>
  <c r="O872" i="4"/>
  <c r="P872" i="4"/>
  <c r="Q872" i="4"/>
  <c r="R872" i="4"/>
  <c r="T872" i="4"/>
  <c r="W872" i="4"/>
  <c r="X872" i="4"/>
  <c r="B873" i="4"/>
  <c r="J873" i="4" s="1"/>
  <c r="G873" i="4"/>
  <c r="I873" i="4" s="1"/>
  <c r="N873" i="4"/>
  <c r="O873" i="4"/>
  <c r="P873" i="4"/>
  <c r="Q873" i="4"/>
  <c r="T873" i="4"/>
  <c r="W873" i="4"/>
  <c r="X873" i="4"/>
  <c r="C42" i="25"/>
  <c r="D42" i="25"/>
  <c r="E42" i="25"/>
  <c r="F42" i="25"/>
  <c r="G42" i="25"/>
  <c r="H42" i="25"/>
  <c r="I42" i="25"/>
  <c r="J42" i="25"/>
  <c r="M42" i="25"/>
  <c r="T42" i="25"/>
  <c r="C63" i="13"/>
  <c r="D63" i="13"/>
  <c r="E63" i="13"/>
  <c r="F63" i="13"/>
  <c r="G63" i="13"/>
  <c r="H63" i="13"/>
  <c r="I63" i="13"/>
  <c r="J63" i="13"/>
  <c r="M63" i="13"/>
  <c r="T63" i="13"/>
  <c r="C101" i="31"/>
  <c r="D101" i="31"/>
  <c r="E101" i="31"/>
  <c r="F101" i="31"/>
  <c r="G101" i="31"/>
  <c r="H101" i="31"/>
  <c r="I101" i="31"/>
  <c r="J101" i="31"/>
  <c r="K101" i="31"/>
  <c r="L101" i="31"/>
  <c r="M101" i="31"/>
  <c r="N101" i="31"/>
  <c r="O101" i="31"/>
  <c r="P101" i="31"/>
  <c r="Q101" i="31"/>
  <c r="T34" i="22"/>
  <c r="C89" i="8"/>
  <c r="D89" i="8"/>
  <c r="E89" i="8"/>
  <c r="F89" i="8"/>
  <c r="G89" i="8"/>
  <c r="H89" i="8"/>
  <c r="I89" i="8"/>
  <c r="J89" i="8"/>
  <c r="M89" i="8"/>
  <c r="T89" i="8"/>
  <c r="U89" i="8"/>
  <c r="AE89" i="8"/>
  <c r="AF89" i="8"/>
  <c r="Q89" i="8" l="1"/>
  <c r="Q42" i="25"/>
  <c r="P89" i="8"/>
  <c r="P63" i="13"/>
  <c r="Z972" i="4"/>
  <c r="Z978" i="4"/>
  <c r="Z968" i="4"/>
  <c r="Z963" i="4"/>
  <c r="Z981" i="4"/>
  <c r="Z969" i="4"/>
  <c r="U972" i="4"/>
  <c r="U963" i="4"/>
  <c r="U966" i="4"/>
  <c r="U969" i="4"/>
  <c r="U981" i="4"/>
  <c r="Z980" i="4"/>
  <c r="Z979" i="4"/>
  <c r="Z977" i="4"/>
  <c r="Z976" i="4"/>
  <c r="Z975" i="4"/>
  <c r="Z974" i="4"/>
  <c r="Z973" i="4"/>
  <c r="Z971" i="4"/>
  <c r="Z970" i="4"/>
  <c r="Z967" i="4"/>
  <c r="Z966" i="4"/>
  <c r="Z965" i="4"/>
  <c r="Z964" i="4"/>
  <c r="Z962" i="4"/>
  <c r="Z961" i="4"/>
  <c r="S960" i="4"/>
  <c r="S958" i="4"/>
  <c r="U968" i="4"/>
  <c r="U971" i="4"/>
  <c r="U967" i="4"/>
  <c r="U977" i="4"/>
  <c r="U965" i="4"/>
  <c r="U976" i="4"/>
  <c r="U962" i="4"/>
  <c r="U980" i="4"/>
  <c r="U979" i="4"/>
  <c r="U973" i="4"/>
  <c r="S955" i="4"/>
  <c r="S952" i="4"/>
  <c r="S920" i="4"/>
  <c r="S949" i="4"/>
  <c r="S932" i="4"/>
  <c r="S913" i="4"/>
  <c r="S930" i="4"/>
  <c r="S899" i="4"/>
  <c r="S936" i="4"/>
  <c r="J955" i="4"/>
  <c r="K955" i="4" s="1"/>
  <c r="S917" i="4"/>
  <c r="J960" i="4"/>
  <c r="K960" i="4" s="1"/>
  <c r="S927" i="4"/>
  <c r="S890" i="4"/>
  <c r="S897" i="4"/>
  <c r="J952" i="4"/>
  <c r="K952" i="4" s="1"/>
  <c r="K884" i="4"/>
  <c r="Z884" i="4" s="1"/>
  <c r="S918" i="4"/>
  <c r="S935" i="4"/>
  <c r="S934" i="4"/>
  <c r="K954" i="4"/>
  <c r="S925" i="4"/>
  <c r="J949" i="4"/>
  <c r="K949" i="4" s="1"/>
  <c r="S937" i="4"/>
  <c r="J958" i="4"/>
  <c r="K958" i="4" s="1"/>
  <c r="S933" i="4"/>
  <c r="S946" i="4"/>
  <c r="J946" i="4"/>
  <c r="K946" i="4" s="1"/>
  <c r="K943" i="4"/>
  <c r="S940" i="4"/>
  <c r="J940" i="4"/>
  <c r="K940" i="4" s="1"/>
  <c r="K957" i="4"/>
  <c r="K948" i="4"/>
  <c r="S959" i="4"/>
  <c r="S950" i="4"/>
  <c r="S941" i="4"/>
  <c r="K951" i="4"/>
  <c r="K942" i="4"/>
  <c r="S953" i="4"/>
  <c r="S944" i="4"/>
  <c r="K945" i="4"/>
  <c r="S956" i="4"/>
  <c r="S947" i="4"/>
  <c r="S938" i="4"/>
  <c r="S957" i="4"/>
  <c r="S948" i="4"/>
  <c r="S939" i="4"/>
  <c r="K959" i="4"/>
  <c r="K950" i="4"/>
  <c r="K941" i="4"/>
  <c r="S951" i="4"/>
  <c r="S942" i="4"/>
  <c r="S943" i="4"/>
  <c r="K953" i="4"/>
  <c r="K944" i="4"/>
  <c r="S954" i="4"/>
  <c r="S945" i="4"/>
  <c r="K956" i="4"/>
  <c r="K947" i="4"/>
  <c r="K938" i="4"/>
  <c r="J939" i="4"/>
  <c r="S914" i="4"/>
  <c r="S922" i="4"/>
  <c r="S928" i="4"/>
  <c r="S926" i="4"/>
  <c r="S929" i="4"/>
  <c r="S921" i="4"/>
  <c r="S916" i="4"/>
  <c r="S924" i="4"/>
  <c r="S906" i="4"/>
  <c r="S875" i="4"/>
  <c r="S915" i="4"/>
  <c r="S919" i="4"/>
  <c r="S923" i="4"/>
  <c r="S891" i="4"/>
  <c r="S901" i="4"/>
  <c r="S904" i="4"/>
  <c r="S898" i="4"/>
  <c r="S880" i="4"/>
  <c r="S903" i="4"/>
  <c r="S910" i="4"/>
  <c r="S889" i="4"/>
  <c r="S882" i="4"/>
  <c r="S892" i="4"/>
  <c r="K936" i="4"/>
  <c r="Z936" i="4" s="1"/>
  <c r="S885" i="4"/>
  <c r="S876" i="4"/>
  <c r="S881" i="4"/>
  <c r="S884" i="4"/>
  <c r="S895" i="4"/>
  <c r="S905" i="4"/>
  <c r="S912" i="4"/>
  <c r="S894" i="4"/>
  <c r="S883" i="4"/>
  <c r="S911" i="4"/>
  <c r="S879" i="4"/>
  <c r="S907" i="4"/>
  <c r="S878" i="4"/>
  <c r="S888" i="4"/>
  <c r="S896" i="4"/>
  <c r="S902" i="4"/>
  <c r="S887" i="4"/>
  <c r="S909" i="4"/>
  <c r="S886" i="4"/>
  <c r="S908" i="4"/>
  <c r="S877" i="4"/>
  <c r="S893" i="4"/>
  <c r="S900" i="4"/>
  <c r="K887" i="4"/>
  <c r="K885" i="4"/>
  <c r="K882" i="4"/>
  <c r="K923" i="4"/>
  <c r="K935" i="4"/>
  <c r="K937" i="4"/>
  <c r="K924" i="4"/>
  <c r="K922" i="4"/>
  <c r="K934" i="4"/>
  <c r="K921" i="4"/>
  <c r="K933" i="4"/>
  <c r="K920" i="4"/>
  <c r="K932" i="4"/>
  <c r="K919" i="4"/>
  <c r="K931" i="4"/>
  <c r="K918" i="4"/>
  <c r="K930" i="4"/>
  <c r="K917" i="4"/>
  <c r="K929" i="4"/>
  <c r="K928" i="4"/>
  <c r="K927" i="4"/>
  <c r="K926" i="4"/>
  <c r="K925" i="4"/>
  <c r="K904" i="4"/>
  <c r="K916" i="4"/>
  <c r="K903" i="4"/>
  <c r="K915" i="4"/>
  <c r="K902" i="4"/>
  <c r="K914" i="4"/>
  <c r="K901" i="4"/>
  <c r="K913" i="4"/>
  <c r="Z913" i="4" s="1"/>
  <c r="K900" i="4"/>
  <c r="K912" i="4"/>
  <c r="K899" i="4"/>
  <c r="K911" i="4"/>
  <c r="K898" i="4"/>
  <c r="K910" i="4"/>
  <c r="K905" i="4"/>
  <c r="K897" i="4"/>
  <c r="K909" i="4"/>
  <c r="K896" i="4"/>
  <c r="K908" i="4"/>
  <c r="K907" i="4"/>
  <c r="K906" i="4"/>
  <c r="K895" i="4"/>
  <c r="K894" i="4"/>
  <c r="K893" i="4"/>
  <c r="K892" i="4"/>
  <c r="K891" i="4"/>
  <c r="K890" i="4"/>
  <c r="K889" i="4"/>
  <c r="K888" i="4"/>
  <c r="K883" i="4"/>
  <c r="K886" i="4"/>
  <c r="S870" i="4"/>
  <c r="S874" i="4"/>
  <c r="S869" i="4"/>
  <c r="S857" i="4"/>
  <c r="S866" i="4"/>
  <c r="S863" i="4"/>
  <c r="K871" i="4"/>
  <c r="S867" i="4"/>
  <c r="S861" i="4"/>
  <c r="K862" i="4"/>
  <c r="S872" i="4"/>
  <c r="S865" i="4"/>
  <c r="S871" i="4"/>
  <c r="S873" i="4"/>
  <c r="K859" i="4"/>
  <c r="S868" i="4"/>
  <c r="S864" i="4"/>
  <c r="K881" i="4"/>
  <c r="K880" i="4"/>
  <c r="K879" i="4"/>
  <c r="K878" i="4"/>
  <c r="K877" i="4"/>
  <c r="K876" i="4"/>
  <c r="K875" i="4"/>
  <c r="K874" i="4"/>
  <c r="K868" i="4"/>
  <c r="K865" i="4"/>
  <c r="S860" i="4"/>
  <c r="S858" i="4"/>
  <c r="S859" i="4"/>
  <c r="S862" i="4"/>
  <c r="S856" i="4"/>
  <c r="K856" i="4"/>
  <c r="S840" i="4"/>
  <c r="S842" i="4"/>
  <c r="S850" i="4"/>
  <c r="S847" i="4"/>
  <c r="S854" i="4"/>
  <c r="S855" i="4"/>
  <c r="S843" i="4"/>
  <c r="S851" i="4"/>
  <c r="S852" i="4"/>
  <c r="S853" i="4"/>
  <c r="K853" i="4"/>
  <c r="K850" i="4"/>
  <c r="S848" i="4"/>
  <c r="S841" i="4"/>
  <c r="S844" i="4"/>
  <c r="S845" i="4"/>
  <c r="S839" i="4"/>
  <c r="S846" i="4"/>
  <c r="K847" i="4"/>
  <c r="K844" i="4"/>
  <c r="K841" i="4"/>
  <c r="K858" i="4"/>
  <c r="K840" i="4"/>
  <c r="K860" i="4"/>
  <c r="K842" i="4"/>
  <c r="K863" i="4"/>
  <c r="K845" i="4"/>
  <c r="K861" i="4"/>
  <c r="K864" i="4"/>
  <c r="K846" i="4"/>
  <c r="K866" i="4"/>
  <c r="K848" i="4"/>
  <c r="K867" i="4"/>
  <c r="K849" i="4"/>
  <c r="K869" i="4"/>
  <c r="K851" i="4"/>
  <c r="K843" i="4"/>
  <c r="K870" i="4"/>
  <c r="K852" i="4"/>
  <c r="K872" i="4"/>
  <c r="K854" i="4"/>
  <c r="K873" i="4"/>
  <c r="K855" i="4"/>
  <c r="K857" i="4"/>
  <c r="K839" i="4"/>
  <c r="R101" i="31"/>
  <c r="U884" i="4" l="1"/>
  <c r="Z960" i="4"/>
  <c r="Z959" i="4"/>
  <c r="Z958" i="4"/>
  <c r="Z957" i="4"/>
  <c r="Z888" i="4"/>
  <c r="Z943" i="4"/>
  <c r="U887" i="4"/>
  <c r="U904" i="4"/>
  <c r="U899" i="4"/>
  <c r="U905" i="4"/>
  <c r="Z956" i="4"/>
  <c r="Z955" i="4"/>
  <c r="U955" i="4"/>
  <c r="Z954" i="4"/>
  <c r="Z953" i="4"/>
  <c r="Z952" i="4"/>
  <c r="Z951" i="4"/>
  <c r="Z950" i="4"/>
  <c r="U890" i="4"/>
  <c r="U958" i="4"/>
  <c r="U960" i="4"/>
  <c r="Z949" i="4"/>
  <c r="U952" i="4"/>
  <c r="U942" i="4"/>
  <c r="U891" i="4"/>
  <c r="Z948" i="4"/>
  <c r="U906" i="4"/>
  <c r="U951" i="4"/>
  <c r="Z938" i="4"/>
  <c r="U953" i="4"/>
  <c r="Z947" i="4"/>
  <c r="U946" i="4"/>
  <c r="Z946" i="4"/>
  <c r="Z945" i="4"/>
  <c r="Z944" i="4"/>
  <c r="Z942" i="4"/>
  <c r="Z941" i="4"/>
  <c r="U940" i="4"/>
  <c r="Z940" i="4"/>
  <c r="U945" i="4"/>
  <c r="U941" i="4"/>
  <c r="U950" i="4"/>
  <c r="U938" i="4"/>
  <c r="K939" i="4"/>
  <c r="U959" i="4"/>
  <c r="Z937" i="4"/>
  <c r="Z935" i="4"/>
  <c r="Z934" i="4"/>
  <c r="Z933" i="4"/>
  <c r="Z932" i="4"/>
  <c r="U883" i="4"/>
  <c r="U896" i="4"/>
  <c r="Z931" i="4"/>
  <c r="Z930" i="4"/>
  <c r="Z929" i="4"/>
  <c r="Z928" i="4"/>
  <c r="Z927" i="4"/>
  <c r="Z926" i="4"/>
  <c r="Z925" i="4"/>
  <c r="Z924" i="4"/>
  <c r="Z923" i="4"/>
  <c r="Z922" i="4"/>
  <c r="Z921" i="4"/>
  <c r="Z920" i="4"/>
  <c r="Z919" i="4"/>
  <c r="Z918" i="4"/>
  <c r="Z917" i="4"/>
  <c r="Z916" i="4"/>
  <c r="Z915" i="4"/>
  <c r="Z914" i="4"/>
  <c r="U914" i="4"/>
  <c r="U936" i="4"/>
  <c r="U935" i="4"/>
  <c r="U900" i="4"/>
  <c r="U919" i="4"/>
  <c r="U927" i="4"/>
  <c r="U928" i="4"/>
  <c r="U915" i="4"/>
  <c r="Z912" i="4"/>
  <c r="Z911" i="4"/>
  <c r="Z910" i="4"/>
  <c r="Z909" i="4"/>
  <c r="Z908" i="4"/>
  <c r="Z907" i="4"/>
  <c r="Z906" i="4"/>
  <c r="Z905" i="4"/>
  <c r="Z904" i="4"/>
  <c r="Z903" i="4"/>
  <c r="Z902" i="4"/>
  <c r="Z901" i="4"/>
  <c r="U901" i="4"/>
  <c r="Z900" i="4"/>
  <c r="Z899" i="4"/>
  <c r="Z898" i="4"/>
  <c r="Z897" i="4"/>
  <c r="Z896" i="4"/>
  <c r="Z895" i="4"/>
  <c r="Z894" i="4"/>
  <c r="Z893" i="4"/>
  <c r="U893" i="4"/>
  <c r="Z892" i="4"/>
  <c r="Z891" i="4"/>
  <c r="Z890" i="4"/>
  <c r="Z889" i="4"/>
  <c r="Z887" i="4"/>
  <c r="Z886" i="4"/>
  <c r="Z885" i="4"/>
  <c r="U885" i="4"/>
  <c r="Z883" i="4"/>
  <c r="Z882" i="4"/>
  <c r="U882" i="4"/>
  <c r="Z881" i="4"/>
  <c r="Z880" i="4"/>
  <c r="Z879" i="4"/>
  <c r="Z878" i="4"/>
  <c r="Z877" i="4"/>
  <c r="Z876" i="4"/>
  <c r="U929" i="4"/>
  <c r="U924" i="4"/>
  <c r="U920" i="4"/>
  <c r="U937" i="4"/>
  <c r="U925" i="4"/>
  <c r="U934" i="4"/>
  <c r="U926" i="4"/>
  <c r="U918" i="4"/>
  <c r="U921" i="4"/>
  <c r="U923" i="4"/>
  <c r="U907" i="4"/>
  <c r="U910" i="4"/>
  <c r="U913" i="4"/>
  <c r="U916" i="4"/>
  <c r="U892" i="4"/>
  <c r="U895" i="4"/>
  <c r="U886" i="4"/>
  <c r="Z875" i="4"/>
  <c r="Z862" i="4"/>
  <c r="Z871" i="4"/>
  <c r="Z847" i="4"/>
  <c r="Z865" i="4"/>
  <c r="Z853" i="4"/>
  <c r="Z859" i="4"/>
  <c r="Z874" i="4"/>
  <c r="U868" i="4"/>
  <c r="U871" i="4"/>
  <c r="U859" i="4"/>
  <c r="U880" i="4"/>
  <c r="U874" i="4"/>
  <c r="U862" i="4"/>
  <c r="U876" i="4"/>
  <c r="Z873" i="4"/>
  <c r="U881" i="4"/>
  <c r="U879" i="4"/>
  <c r="U878" i="4"/>
  <c r="U875" i="4"/>
  <c r="Z872" i="4"/>
  <c r="Z870" i="4"/>
  <c r="Z869" i="4"/>
  <c r="Z868" i="4"/>
  <c r="Z867" i="4"/>
  <c r="Z866" i="4"/>
  <c r="U865" i="4"/>
  <c r="Z864" i="4"/>
  <c r="Z863" i="4"/>
  <c r="Z861" i="4"/>
  <c r="Z860" i="4"/>
  <c r="Z858" i="4"/>
  <c r="Z857" i="4"/>
  <c r="Z856" i="4"/>
  <c r="U850" i="4"/>
  <c r="U861" i="4"/>
  <c r="U872" i="4"/>
  <c r="Z855" i="4"/>
  <c r="Z854" i="4"/>
  <c r="U853" i="4"/>
  <c r="Z852" i="4"/>
  <c r="Z851" i="4"/>
  <c r="Z850" i="4"/>
  <c r="Z844" i="4"/>
  <c r="Z846" i="4"/>
  <c r="Z845" i="4"/>
  <c r="Z849" i="4"/>
  <c r="Z848" i="4"/>
  <c r="U847" i="4"/>
  <c r="U844" i="4"/>
  <c r="Z843" i="4"/>
  <c r="Z842" i="4"/>
  <c r="Z841" i="4"/>
  <c r="U841" i="4"/>
  <c r="Z840" i="4"/>
  <c r="Z839" i="4"/>
  <c r="U845" i="4"/>
  <c r="U851" i="4"/>
  <c r="U846" i="4"/>
  <c r="U860" i="4"/>
  <c r="U870" i="4"/>
  <c r="U854" i="4"/>
  <c r="U869" i="4"/>
  <c r="U864" i="4"/>
  <c r="U840" i="4"/>
  <c r="U858" i="4"/>
  <c r="B756" i="4"/>
  <c r="J756" i="4" s="1"/>
  <c r="G756" i="4"/>
  <c r="I756" i="4" s="1"/>
  <c r="N756" i="4"/>
  <c r="O756" i="4"/>
  <c r="P756" i="4"/>
  <c r="Q756" i="4"/>
  <c r="R756" i="4"/>
  <c r="T756" i="4"/>
  <c r="W756" i="4"/>
  <c r="X756" i="4"/>
  <c r="B757" i="4"/>
  <c r="G757" i="4"/>
  <c r="I757" i="4" s="1"/>
  <c r="N757" i="4"/>
  <c r="O757" i="4"/>
  <c r="P757" i="4"/>
  <c r="Q757" i="4"/>
  <c r="R757" i="4"/>
  <c r="T757" i="4"/>
  <c r="W757" i="4"/>
  <c r="X757" i="4"/>
  <c r="B758" i="4"/>
  <c r="G758" i="4"/>
  <c r="I758" i="4" s="1"/>
  <c r="N758" i="4"/>
  <c r="O758" i="4"/>
  <c r="P758" i="4"/>
  <c r="Q758" i="4"/>
  <c r="R758" i="4"/>
  <c r="T758" i="4"/>
  <c r="W758" i="4"/>
  <c r="X758" i="4"/>
  <c r="B759" i="4"/>
  <c r="J759" i="4" s="1"/>
  <c r="G759" i="4"/>
  <c r="I759" i="4" s="1"/>
  <c r="N759" i="4"/>
  <c r="O759" i="4"/>
  <c r="P759" i="4"/>
  <c r="Q759" i="4"/>
  <c r="R759" i="4"/>
  <c r="T759" i="4"/>
  <c r="W759" i="4"/>
  <c r="X759" i="4"/>
  <c r="B760" i="4"/>
  <c r="G760" i="4"/>
  <c r="I760" i="4" s="1"/>
  <c r="N760" i="4"/>
  <c r="O760" i="4"/>
  <c r="P760" i="4"/>
  <c r="Q760" i="4"/>
  <c r="T760" i="4"/>
  <c r="W760" i="4"/>
  <c r="X760" i="4"/>
  <c r="B761" i="4"/>
  <c r="J761" i="4" s="1"/>
  <c r="G761" i="4"/>
  <c r="I761" i="4" s="1"/>
  <c r="N761" i="4"/>
  <c r="O761" i="4"/>
  <c r="P761" i="4"/>
  <c r="Q761" i="4"/>
  <c r="T761" i="4"/>
  <c r="W761" i="4"/>
  <c r="X761" i="4"/>
  <c r="B762" i="4"/>
  <c r="J762" i="4" s="1"/>
  <c r="G762" i="4"/>
  <c r="I762" i="4" s="1"/>
  <c r="N762" i="4"/>
  <c r="O762" i="4"/>
  <c r="P762" i="4"/>
  <c r="Q762" i="4"/>
  <c r="R762" i="4"/>
  <c r="T762" i="4"/>
  <c r="W762" i="4"/>
  <c r="X762" i="4"/>
  <c r="B763" i="4"/>
  <c r="G763" i="4"/>
  <c r="I763" i="4" s="1"/>
  <c r="N763" i="4"/>
  <c r="O763" i="4"/>
  <c r="P763" i="4"/>
  <c r="Q763" i="4"/>
  <c r="T763" i="4"/>
  <c r="W763" i="4"/>
  <c r="X763" i="4"/>
  <c r="B764" i="4"/>
  <c r="G764" i="4"/>
  <c r="I764" i="4" s="1"/>
  <c r="N764" i="4"/>
  <c r="O764" i="4"/>
  <c r="P764" i="4"/>
  <c r="Q764" i="4"/>
  <c r="R764" i="4"/>
  <c r="T764" i="4"/>
  <c r="W764" i="4"/>
  <c r="X764" i="4"/>
  <c r="B765" i="4"/>
  <c r="G765" i="4"/>
  <c r="I765" i="4" s="1"/>
  <c r="N765" i="4"/>
  <c r="O765" i="4"/>
  <c r="P765" i="4"/>
  <c r="Q765" i="4"/>
  <c r="T765" i="4"/>
  <c r="W765" i="4"/>
  <c r="X765" i="4"/>
  <c r="B766" i="4"/>
  <c r="G766" i="4"/>
  <c r="I766" i="4" s="1"/>
  <c r="N766" i="4"/>
  <c r="O766" i="4"/>
  <c r="P766" i="4"/>
  <c r="Q766" i="4"/>
  <c r="R766" i="4"/>
  <c r="T766" i="4"/>
  <c r="W766" i="4"/>
  <c r="X766" i="4"/>
  <c r="B767" i="4"/>
  <c r="G767" i="4"/>
  <c r="I767" i="4" s="1"/>
  <c r="N767" i="4"/>
  <c r="O767" i="4"/>
  <c r="P767" i="4"/>
  <c r="Q767" i="4"/>
  <c r="R767" i="4"/>
  <c r="T767" i="4"/>
  <c r="W767" i="4"/>
  <c r="X767" i="4"/>
  <c r="B768" i="4"/>
  <c r="J768" i="4" s="1"/>
  <c r="G768" i="4"/>
  <c r="I768" i="4" s="1"/>
  <c r="N768" i="4"/>
  <c r="O768" i="4"/>
  <c r="P768" i="4"/>
  <c r="Q768" i="4"/>
  <c r="T768" i="4"/>
  <c r="W768" i="4"/>
  <c r="X768" i="4"/>
  <c r="B769" i="4"/>
  <c r="G769" i="4"/>
  <c r="I769" i="4" s="1"/>
  <c r="N769" i="4"/>
  <c r="O769" i="4"/>
  <c r="P769" i="4"/>
  <c r="Q769" i="4"/>
  <c r="T769" i="4"/>
  <c r="W769" i="4"/>
  <c r="X769" i="4"/>
  <c r="B770" i="4"/>
  <c r="G770" i="4"/>
  <c r="I770" i="4" s="1"/>
  <c r="N770" i="4"/>
  <c r="O770" i="4"/>
  <c r="P770" i="4"/>
  <c r="Q770" i="4"/>
  <c r="R770" i="4"/>
  <c r="T770" i="4"/>
  <c r="W770" i="4"/>
  <c r="X770" i="4"/>
  <c r="B771" i="4"/>
  <c r="J771" i="4" s="1"/>
  <c r="G771" i="4"/>
  <c r="I771" i="4" s="1"/>
  <c r="N771" i="4"/>
  <c r="O771" i="4"/>
  <c r="P771" i="4"/>
  <c r="Q771" i="4"/>
  <c r="T771" i="4"/>
  <c r="W771" i="4"/>
  <c r="X771" i="4"/>
  <c r="B772" i="4"/>
  <c r="G772" i="4"/>
  <c r="I772" i="4" s="1"/>
  <c r="N772" i="4"/>
  <c r="O772" i="4"/>
  <c r="P772" i="4"/>
  <c r="Q772" i="4"/>
  <c r="R772" i="4"/>
  <c r="T772" i="4"/>
  <c r="W772" i="4"/>
  <c r="X772" i="4"/>
  <c r="B773" i="4"/>
  <c r="G773" i="4"/>
  <c r="I773" i="4" s="1"/>
  <c r="N773" i="4"/>
  <c r="O773" i="4"/>
  <c r="P773" i="4"/>
  <c r="Q773" i="4"/>
  <c r="R773" i="4"/>
  <c r="T773" i="4"/>
  <c r="W773" i="4"/>
  <c r="X773" i="4"/>
  <c r="B774" i="4"/>
  <c r="G774" i="4"/>
  <c r="I774" i="4" s="1"/>
  <c r="N774" i="4"/>
  <c r="O774" i="4"/>
  <c r="P774" i="4"/>
  <c r="Q774" i="4"/>
  <c r="T774" i="4"/>
  <c r="W774" i="4"/>
  <c r="X774" i="4"/>
  <c r="B775" i="4"/>
  <c r="J775" i="4" s="1"/>
  <c r="G775" i="4"/>
  <c r="I775" i="4" s="1"/>
  <c r="N775" i="4"/>
  <c r="O775" i="4"/>
  <c r="P775" i="4"/>
  <c r="Q775" i="4"/>
  <c r="R775" i="4"/>
  <c r="T775" i="4"/>
  <c r="W775" i="4"/>
  <c r="X775" i="4"/>
  <c r="B776" i="4"/>
  <c r="J776" i="4" s="1"/>
  <c r="G776" i="4"/>
  <c r="I776" i="4" s="1"/>
  <c r="N776" i="4"/>
  <c r="O776" i="4"/>
  <c r="P776" i="4"/>
  <c r="Q776" i="4"/>
  <c r="R776" i="4"/>
  <c r="T776" i="4"/>
  <c r="W776" i="4"/>
  <c r="X776" i="4"/>
  <c r="B777" i="4"/>
  <c r="G777" i="4"/>
  <c r="I777" i="4" s="1"/>
  <c r="N777" i="4"/>
  <c r="O777" i="4"/>
  <c r="P777" i="4"/>
  <c r="Q777" i="4"/>
  <c r="T777" i="4"/>
  <c r="W777" i="4"/>
  <c r="X777" i="4"/>
  <c r="B778" i="4"/>
  <c r="J778" i="4" s="1"/>
  <c r="G778" i="4"/>
  <c r="I778" i="4" s="1"/>
  <c r="N778" i="4"/>
  <c r="O778" i="4"/>
  <c r="P778" i="4"/>
  <c r="Q778" i="4"/>
  <c r="T778" i="4"/>
  <c r="W778" i="4"/>
  <c r="X778" i="4"/>
  <c r="B779" i="4"/>
  <c r="G779" i="4"/>
  <c r="I779" i="4" s="1"/>
  <c r="N779" i="4"/>
  <c r="O779" i="4"/>
  <c r="P779" i="4"/>
  <c r="Q779" i="4"/>
  <c r="R779" i="4"/>
  <c r="T779" i="4"/>
  <c r="W779" i="4"/>
  <c r="X779" i="4"/>
  <c r="B780" i="4"/>
  <c r="J780" i="4" s="1"/>
  <c r="G780" i="4"/>
  <c r="I780" i="4" s="1"/>
  <c r="N780" i="4"/>
  <c r="O780" i="4"/>
  <c r="P780" i="4"/>
  <c r="Q780" i="4"/>
  <c r="R780" i="4"/>
  <c r="T780" i="4"/>
  <c r="W780" i="4"/>
  <c r="X780" i="4"/>
  <c r="B781" i="4"/>
  <c r="G781" i="4"/>
  <c r="I781" i="4" s="1"/>
  <c r="N781" i="4"/>
  <c r="O781" i="4"/>
  <c r="P781" i="4"/>
  <c r="Q781" i="4"/>
  <c r="R781" i="4"/>
  <c r="T781" i="4"/>
  <c r="W781" i="4"/>
  <c r="X781" i="4"/>
  <c r="B782" i="4"/>
  <c r="J782" i="4" s="1"/>
  <c r="G782" i="4"/>
  <c r="I782" i="4" s="1"/>
  <c r="N782" i="4"/>
  <c r="O782" i="4"/>
  <c r="P782" i="4"/>
  <c r="Q782" i="4"/>
  <c r="R782" i="4"/>
  <c r="T782" i="4"/>
  <c r="W782" i="4"/>
  <c r="X782" i="4"/>
  <c r="B783" i="4"/>
  <c r="G783" i="4"/>
  <c r="I783" i="4" s="1"/>
  <c r="N783" i="4"/>
  <c r="O783" i="4"/>
  <c r="P783" i="4"/>
  <c r="Q783" i="4"/>
  <c r="T783" i="4"/>
  <c r="W783" i="4"/>
  <c r="X783" i="4"/>
  <c r="B784" i="4"/>
  <c r="J784" i="4" s="1"/>
  <c r="G784" i="4"/>
  <c r="I784" i="4" s="1"/>
  <c r="N784" i="4"/>
  <c r="O784" i="4"/>
  <c r="P784" i="4"/>
  <c r="Q784" i="4"/>
  <c r="R784" i="4"/>
  <c r="T784" i="4"/>
  <c r="W784" i="4"/>
  <c r="X784" i="4"/>
  <c r="B785" i="4"/>
  <c r="G785" i="4"/>
  <c r="I785" i="4" s="1"/>
  <c r="N785" i="4"/>
  <c r="O785" i="4"/>
  <c r="P785" i="4"/>
  <c r="Q785" i="4"/>
  <c r="T785" i="4"/>
  <c r="W785" i="4"/>
  <c r="X785" i="4"/>
  <c r="B786" i="4"/>
  <c r="G786" i="4"/>
  <c r="I786" i="4" s="1"/>
  <c r="N786" i="4"/>
  <c r="O786" i="4"/>
  <c r="P786" i="4"/>
  <c r="Q786" i="4"/>
  <c r="R786" i="4"/>
  <c r="T786" i="4"/>
  <c r="W786" i="4"/>
  <c r="X786" i="4"/>
  <c r="B787" i="4"/>
  <c r="J787" i="4" s="1"/>
  <c r="G787" i="4"/>
  <c r="I787" i="4" s="1"/>
  <c r="N787" i="4"/>
  <c r="O787" i="4"/>
  <c r="P787" i="4"/>
  <c r="Q787" i="4"/>
  <c r="R787" i="4"/>
  <c r="T787" i="4"/>
  <c r="W787" i="4"/>
  <c r="X787" i="4"/>
  <c r="B788" i="4"/>
  <c r="J788" i="4" s="1"/>
  <c r="G788" i="4"/>
  <c r="I788" i="4" s="1"/>
  <c r="N788" i="4"/>
  <c r="O788" i="4"/>
  <c r="P788" i="4"/>
  <c r="Q788" i="4"/>
  <c r="R788" i="4"/>
  <c r="T788" i="4"/>
  <c r="W788" i="4"/>
  <c r="X788" i="4"/>
  <c r="B789" i="4"/>
  <c r="G789" i="4"/>
  <c r="I789" i="4" s="1"/>
  <c r="N789" i="4"/>
  <c r="O789" i="4"/>
  <c r="P789" i="4"/>
  <c r="Q789" i="4"/>
  <c r="R789" i="4"/>
  <c r="T789" i="4"/>
  <c r="W789" i="4"/>
  <c r="X789" i="4"/>
  <c r="B790" i="4"/>
  <c r="J790" i="4" s="1"/>
  <c r="G790" i="4"/>
  <c r="I790" i="4" s="1"/>
  <c r="N790" i="4"/>
  <c r="O790" i="4"/>
  <c r="P790" i="4"/>
  <c r="Q790" i="4"/>
  <c r="R790" i="4"/>
  <c r="T790" i="4"/>
  <c r="W790" i="4"/>
  <c r="X790" i="4"/>
  <c r="B791" i="4"/>
  <c r="G791" i="4"/>
  <c r="I791" i="4" s="1"/>
  <c r="N791" i="4"/>
  <c r="O791" i="4"/>
  <c r="P791" i="4"/>
  <c r="Q791" i="4"/>
  <c r="R791" i="4"/>
  <c r="T791" i="4"/>
  <c r="W791" i="4"/>
  <c r="X791" i="4"/>
  <c r="B792" i="4"/>
  <c r="J792" i="4" s="1"/>
  <c r="G792" i="4"/>
  <c r="I792" i="4" s="1"/>
  <c r="N792" i="4"/>
  <c r="O792" i="4"/>
  <c r="P792" i="4"/>
  <c r="Q792" i="4"/>
  <c r="R792" i="4"/>
  <c r="T792" i="4"/>
  <c r="W792" i="4"/>
  <c r="X792" i="4"/>
  <c r="B793" i="4"/>
  <c r="J793" i="4" s="1"/>
  <c r="G793" i="4"/>
  <c r="I793" i="4" s="1"/>
  <c r="N793" i="4"/>
  <c r="O793" i="4"/>
  <c r="P793" i="4"/>
  <c r="Q793" i="4"/>
  <c r="R793" i="4"/>
  <c r="T793" i="4"/>
  <c r="W793" i="4"/>
  <c r="X793" i="4"/>
  <c r="B794" i="4"/>
  <c r="J794" i="4" s="1"/>
  <c r="G794" i="4"/>
  <c r="I794" i="4" s="1"/>
  <c r="N794" i="4"/>
  <c r="O794" i="4"/>
  <c r="P794" i="4"/>
  <c r="Q794" i="4"/>
  <c r="T794" i="4"/>
  <c r="W794" i="4"/>
  <c r="X794" i="4"/>
  <c r="B795" i="4"/>
  <c r="G795" i="4"/>
  <c r="I795" i="4" s="1"/>
  <c r="N795" i="4"/>
  <c r="O795" i="4"/>
  <c r="P795" i="4"/>
  <c r="Q795" i="4"/>
  <c r="R795" i="4"/>
  <c r="T795" i="4"/>
  <c r="W795" i="4"/>
  <c r="X795" i="4"/>
  <c r="B796" i="4"/>
  <c r="J796" i="4" s="1"/>
  <c r="G796" i="4"/>
  <c r="I796" i="4" s="1"/>
  <c r="N796" i="4"/>
  <c r="O796" i="4"/>
  <c r="P796" i="4"/>
  <c r="Q796" i="4"/>
  <c r="T796" i="4"/>
  <c r="W796" i="4"/>
  <c r="X796" i="4"/>
  <c r="B797" i="4"/>
  <c r="G797" i="4"/>
  <c r="I797" i="4" s="1"/>
  <c r="N797" i="4"/>
  <c r="O797" i="4"/>
  <c r="P797" i="4"/>
  <c r="Q797" i="4"/>
  <c r="R797" i="4"/>
  <c r="T797" i="4"/>
  <c r="W797" i="4"/>
  <c r="X797" i="4"/>
  <c r="B798" i="4"/>
  <c r="G798" i="4"/>
  <c r="I798" i="4" s="1"/>
  <c r="N798" i="4"/>
  <c r="O798" i="4"/>
  <c r="P798" i="4"/>
  <c r="Q798" i="4"/>
  <c r="R798" i="4"/>
  <c r="T798" i="4"/>
  <c r="W798" i="4"/>
  <c r="X798" i="4"/>
  <c r="B799" i="4"/>
  <c r="J799" i="4" s="1"/>
  <c r="G799" i="4"/>
  <c r="I799" i="4" s="1"/>
  <c r="N799" i="4"/>
  <c r="O799" i="4"/>
  <c r="P799" i="4"/>
  <c r="Q799" i="4"/>
  <c r="R799" i="4"/>
  <c r="T799" i="4"/>
  <c r="W799" i="4"/>
  <c r="X799" i="4"/>
  <c r="B800" i="4"/>
  <c r="J800" i="4" s="1"/>
  <c r="G800" i="4"/>
  <c r="I800" i="4" s="1"/>
  <c r="N800" i="4"/>
  <c r="O800" i="4"/>
  <c r="P800" i="4"/>
  <c r="Q800" i="4"/>
  <c r="R800" i="4"/>
  <c r="T800" i="4"/>
  <c r="W800" i="4"/>
  <c r="X800" i="4"/>
  <c r="B801" i="4"/>
  <c r="G801" i="4"/>
  <c r="I801" i="4" s="1"/>
  <c r="N801" i="4"/>
  <c r="O801" i="4"/>
  <c r="P801" i="4"/>
  <c r="Q801" i="4"/>
  <c r="R801" i="4"/>
  <c r="T801" i="4"/>
  <c r="W801" i="4"/>
  <c r="X801" i="4"/>
  <c r="B802" i="4"/>
  <c r="J802" i="4" s="1"/>
  <c r="G802" i="4"/>
  <c r="I802" i="4" s="1"/>
  <c r="N802" i="4"/>
  <c r="O802" i="4"/>
  <c r="P802" i="4"/>
  <c r="Q802" i="4"/>
  <c r="R802" i="4"/>
  <c r="T802" i="4"/>
  <c r="W802" i="4"/>
  <c r="X802" i="4"/>
  <c r="B803" i="4"/>
  <c r="G803" i="4"/>
  <c r="I803" i="4" s="1"/>
  <c r="N803" i="4"/>
  <c r="O803" i="4"/>
  <c r="P803" i="4"/>
  <c r="Q803" i="4"/>
  <c r="T803" i="4"/>
  <c r="W803" i="4"/>
  <c r="X803" i="4"/>
  <c r="B804" i="4"/>
  <c r="J804" i="4" s="1"/>
  <c r="G804" i="4"/>
  <c r="I804" i="4" s="1"/>
  <c r="N804" i="4"/>
  <c r="O804" i="4"/>
  <c r="P804" i="4"/>
  <c r="Q804" i="4"/>
  <c r="R804" i="4"/>
  <c r="T804" i="4"/>
  <c r="W804" i="4"/>
  <c r="X804" i="4"/>
  <c r="B805" i="4"/>
  <c r="J805" i="4" s="1"/>
  <c r="G805" i="4"/>
  <c r="I805" i="4" s="1"/>
  <c r="N805" i="4"/>
  <c r="O805" i="4"/>
  <c r="P805" i="4"/>
  <c r="Q805" i="4"/>
  <c r="R805" i="4"/>
  <c r="T805" i="4"/>
  <c r="W805" i="4"/>
  <c r="X805" i="4"/>
  <c r="B806" i="4"/>
  <c r="J806" i="4" s="1"/>
  <c r="G806" i="4"/>
  <c r="I806" i="4" s="1"/>
  <c r="N806" i="4"/>
  <c r="O806" i="4"/>
  <c r="P806" i="4"/>
  <c r="Q806" i="4"/>
  <c r="R806" i="4"/>
  <c r="T806" i="4"/>
  <c r="W806" i="4"/>
  <c r="X806" i="4"/>
  <c r="B807" i="4"/>
  <c r="G807" i="4"/>
  <c r="I807" i="4" s="1"/>
  <c r="N807" i="4"/>
  <c r="O807" i="4"/>
  <c r="P807" i="4"/>
  <c r="Q807" i="4"/>
  <c r="R807" i="4"/>
  <c r="T807" i="4"/>
  <c r="W807" i="4"/>
  <c r="X807" i="4"/>
  <c r="B808" i="4"/>
  <c r="J808" i="4" s="1"/>
  <c r="G808" i="4"/>
  <c r="I808" i="4" s="1"/>
  <c r="N808" i="4"/>
  <c r="O808" i="4"/>
  <c r="P808" i="4"/>
  <c r="Q808" i="4"/>
  <c r="T808" i="4"/>
  <c r="W808" i="4"/>
  <c r="X808" i="4"/>
  <c r="B809" i="4"/>
  <c r="G809" i="4"/>
  <c r="I809" i="4" s="1"/>
  <c r="N809" i="4"/>
  <c r="O809" i="4"/>
  <c r="P809" i="4"/>
  <c r="Q809" i="4"/>
  <c r="R809" i="4"/>
  <c r="T809" i="4"/>
  <c r="W809" i="4"/>
  <c r="X809" i="4"/>
  <c r="B810" i="4"/>
  <c r="G810" i="4"/>
  <c r="I810" i="4" s="1"/>
  <c r="N810" i="4"/>
  <c r="O810" i="4"/>
  <c r="P810" i="4"/>
  <c r="Q810" i="4"/>
  <c r="R810" i="4"/>
  <c r="T810" i="4"/>
  <c r="W810" i="4"/>
  <c r="X810" i="4"/>
  <c r="B811" i="4"/>
  <c r="J811" i="4" s="1"/>
  <c r="G811" i="4"/>
  <c r="I811" i="4" s="1"/>
  <c r="N811" i="4"/>
  <c r="O811" i="4"/>
  <c r="P811" i="4"/>
  <c r="Q811" i="4"/>
  <c r="T811" i="4"/>
  <c r="W811" i="4"/>
  <c r="X811" i="4"/>
  <c r="B812" i="4"/>
  <c r="J812" i="4" s="1"/>
  <c r="G812" i="4"/>
  <c r="I812" i="4" s="1"/>
  <c r="N812" i="4"/>
  <c r="O812" i="4"/>
  <c r="P812" i="4"/>
  <c r="Q812" i="4"/>
  <c r="T812" i="4"/>
  <c r="W812" i="4"/>
  <c r="X812" i="4"/>
  <c r="B813" i="4"/>
  <c r="G813" i="4"/>
  <c r="I813" i="4" s="1"/>
  <c r="N813" i="4"/>
  <c r="O813" i="4"/>
  <c r="P813" i="4"/>
  <c r="Q813" i="4"/>
  <c r="R813" i="4"/>
  <c r="T813" i="4"/>
  <c r="W813" i="4"/>
  <c r="X813" i="4"/>
  <c r="B814" i="4"/>
  <c r="J814" i="4" s="1"/>
  <c r="G814" i="4"/>
  <c r="I814" i="4" s="1"/>
  <c r="N814" i="4"/>
  <c r="O814" i="4"/>
  <c r="P814" i="4"/>
  <c r="Q814" i="4"/>
  <c r="R814" i="4"/>
  <c r="T814" i="4"/>
  <c r="W814" i="4"/>
  <c r="X814" i="4"/>
  <c r="B815" i="4"/>
  <c r="G815" i="4"/>
  <c r="I815" i="4" s="1"/>
  <c r="N815" i="4"/>
  <c r="O815" i="4"/>
  <c r="P815" i="4"/>
  <c r="Q815" i="4"/>
  <c r="R815" i="4"/>
  <c r="T815" i="4"/>
  <c r="W815" i="4"/>
  <c r="X815" i="4"/>
  <c r="B816" i="4"/>
  <c r="G816" i="4"/>
  <c r="I816" i="4" s="1"/>
  <c r="N816" i="4"/>
  <c r="O816" i="4"/>
  <c r="P816" i="4"/>
  <c r="Q816" i="4"/>
  <c r="R816" i="4"/>
  <c r="T816" i="4"/>
  <c r="W816" i="4"/>
  <c r="X816" i="4"/>
  <c r="B817" i="4"/>
  <c r="J817" i="4" s="1"/>
  <c r="G817" i="4"/>
  <c r="I817" i="4" s="1"/>
  <c r="N817" i="4"/>
  <c r="O817" i="4"/>
  <c r="P817" i="4"/>
  <c r="Q817" i="4"/>
  <c r="T817" i="4"/>
  <c r="W817" i="4"/>
  <c r="X817" i="4"/>
  <c r="B818" i="4"/>
  <c r="J818" i="4" s="1"/>
  <c r="G818" i="4"/>
  <c r="I818" i="4" s="1"/>
  <c r="N818" i="4"/>
  <c r="O818" i="4"/>
  <c r="P818" i="4"/>
  <c r="Q818" i="4"/>
  <c r="T818" i="4"/>
  <c r="W818" i="4"/>
  <c r="X818" i="4"/>
  <c r="B819" i="4"/>
  <c r="G819" i="4"/>
  <c r="I819" i="4" s="1"/>
  <c r="N819" i="4"/>
  <c r="O819" i="4"/>
  <c r="P819" i="4"/>
  <c r="Q819" i="4"/>
  <c r="T819" i="4"/>
  <c r="W819" i="4"/>
  <c r="X819" i="4"/>
  <c r="B820" i="4"/>
  <c r="J820" i="4" s="1"/>
  <c r="G820" i="4"/>
  <c r="I820" i="4" s="1"/>
  <c r="N820" i="4"/>
  <c r="O820" i="4"/>
  <c r="P820" i="4"/>
  <c r="Q820" i="4"/>
  <c r="T820" i="4"/>
  <c r="W820" i="4"/>
  <c r="X820" i="4"/>
  <c r="B821" i="4"/>
  <c r="G821" i="4"/>
  <c r="I821" i="4" s="1"/>
  <c r="N821" i="4"/>
  <c r="O821" i="4"/>
  <c r="P821" i="4"/>
  <c r="Q821" i="4"/>
  <c r="R821" i="4"/>
  <c r="T821" i="4"/>
  <c r="W821" i="4"/>
  <c r="X821" i="4"/>
  <c r="B822" i="4"/>
  <c r="G822" i="4"/>
  <c r="I822" i="4" s="1"/>
  <c r="N822" i="4"/>
  <c r="O822" i="4"/>
  <c r="P822" i="4"/>
  <c r="Q822" i="4"/>
  <c r="R822" i="4"/>
  <c r="T822" i="4"/>
  <c r="W822" i="4"/>
  <c r="X822" i="4"/>
  <c r="B823" i="4"/>
  <c r="J823" i="4" s="1"/>
  <c r="G823" i="4"/>
  <c r="I823" i="4" s="1"/>
  <c r="N823" i="4"/>
  <c r="O823" i="4"/>
  <c r="P823" i="4"/>
  <c r="Q823" i="4"/>
  <c r="R823" i="4"/>
  <c r="T823" i="4"/>
  <c r="W823" i="4"/>
  <c r="X823" i="4"/>
  <c r="B824" i="4"/>
  <c r="J824" i="4" s="1"/>
  <c r="G824" i="4"/>
  <c r="I824" i="4" s="1"/>
  <c r="N824" i="4"/>
  <c r="O824" i="4"/>
  <c r="P824" i="4"/>
  <c r="Q824" i="4"/>
  <c r="R824" i="4"/>
  <c r="T824" i="4"/>
  <c r="W824" i="4"/>
  <c r="X824" i="4"/>
  <c r="B825" i="4"/>
  <c r="G825" i="4"/>
  <c r="I825" i="4" s="1"/>
  <c r="N825" i="4"/>
  <c r="O825" i="4"/>
  <c r="P825" i="4"/>
  <c r="Q825" i="4"/>
  <c r="R825" i="4"/>
  <c r="T825" i="4"/>
  <c r="W825" i="4"/>
  <c r="X825" i="4"/>
  <c r="B826" i="4"/>
  <c r="J826" i="4" s="1"/>
  <c r="G826" i="4"/>
  <c r="I826" i="4" s="1"/>
  <c r="N826" i="4"/>
  <c r="O826" i="4"/>
  <c r="P826" i="4"/>
  <c r="Q826" i="4"/>
  <c r="R826" i="4"/>
  <c r="T826" i="4"/>
  <c r="W826" i="4"/>
  <c r="X826" i="4"/>
  <c r="B827" i="4"/>
  <c r="G827" i="4"/>
  <c r="I827" i="4" s="1"/>
  <c r="N827" i="4"/>
  <c r="O827" i="4"/>
  <c r="P827" i="4"/>
  <c r="Q827" i="4"/>
  <c r="R827" i="4"/>
  <c r="T827" i="4"/>
  <c r="W827" i="4"/>
  <c r="X827" i="4"/>
  <c r="B828" i="4"/>
  <c r="G828" i="4"/>
  <c r="I828" i="4" s="1"/>
  <c r="N828" i="4"/>
  <c r="O828" i="4"/>
  <c r="P828" i="4"/>
  <c r="Q828" i="4"/>
  <c r="R828" i="4"/>
  <c r="T828" i="4"/>
  <c r="W828" i="4"/>
  <c r="X828" i="4"/>
  <c r="B829" i="4"/>
  <c r="J829" i="4" s="1"/>
  <c r="G829" i="4"/>
  <c r="I829" i="4" s="1"/>
  <c r="N829" i="4"/>
  <c r="O829" i="4"/>
  <c r="P829" i="4"/>
  <c r="Q829" i="4"/>
  <c r="R829" i="4"/>
  <c r="T829" i="4"/>
  <c r="W829" i="4"/>
  <c r="X829" i="4"/>
  <c r="B830" i="4"/>
  <c r="J830" i="4" s="1"/>
  <c r="G830" i="4"/>
  <c r="I830" i="4" s="1"/>
  <c r="N830" i="4"/>
  <c r="O830" i="4"/>
  <c r="P830" i="4"/>
  <c r="Q830" i="4"/>
  <c r="T830" i="4"/>
  <c r="W830" i="4"/>
  <c r="X830" i="4"/>
  <c r="B831" i="4"/>
  <c r="G831" i="4"/>
  <c r="I831" i="4" s="1"/>
  <c r="N831" i="4"/>
  <c r="O831" i="4"/>
  <c r="P831" i="4"/>
  <c r="Q831" i="4"/>
  <c r="T831" i="4"/>
  <c r="W831" i="4"/>
  <c r="X831" i="4"/>
  <c r="B832" i="4"/>
  <c r="J832" i="4" s="1"/>
  <c r="G832" i="4"/>
  <c r="I832" i="4" s="1"/>
  <c r="N832" i="4"/>
  <c r="O832" i="4"/>
  <c r="P832" i="4"/>
  <c r="Q832" i="4"/>
  <c r="T832" i="4"/>
  <c r="W832" i="4"/>
  <c r="X832" i="4"/>
  <c r="B833" i="4"/>
  <c r="G833" i="4"/>
  <c r="I833" i="4" s="1"/>
  <c r="N833" i="4"/>
  <c r="O833" i="4"/>
  <c r="P833" i="4"/>
  <c r="Q833" i="4"/>
  <c r="R833" i="4"/>
  <c r="T833" i="4"/>
  <c r="W833" i="4"/>
  <c r="X833" i="4"/>
  <c r="B834" i="4"/>
  <c r="G834" i="4"/>
  <c r="I834" i="4" s="1"/>
  <c r="N834" i="4"/>
  <c r="O834" i="4"/>
  <c r="P834" i="4"/>
  <c r="Q834" i="4"/>
  <c r="R834" i="4"/>
  <c r="T834" i="4"/>
  <c r="W834" i="4"/>
  <c r="X834" i="4"/>
  <c r="B835" i="4"/>
  <c r="J835" i="4" s="1"/>
  <c r="G835" i="4"/>
  <c r="I835" i="4" s="1"/>
  <c r="N835" i="4"/>
  <c r="O835" i="4"/>
  <c r="P835" i="4"/>
  <c r="Q835" i="4"/>
  <c r="T835" i="4"/>
  <c r="W835" i="4"/>
  <c r="X835" i="4"/>
  <c r="B836" i="4"/>
  <c r="J836" i="4" s="1"/>
  <c r="G836" i="4"/>
  <c r="I836" i="4" s="1"/>
  <c r="N836" i="4"/>
  <c r="O836" i="4"/>
  <c r="P836" i="4"/>
  <c r="Q836" i="4"/>
  <c r="T836" i="4"/>
  <c r="W836" i="4"/>
  <c r="X836" i="4"/>
  <c r="B837" i="4"/>
  <c r="G837" i="4"/>
  <c r="I837" i="4" s="1"/>
  <c r="N837" i="4"/>
  <c r="O837" i="4"/>
  <c r="P837" i="4"/>
  <c r="Q837" i="4"/>
  <c r="T837" i="4"/>
  <c r="W837" i="4"/>
  <c r="X837" i="4"/>
  <c r="B838" i="4"/>
  <c r="J838" i="4" s="1"/>
  <c r="G838" i="4"/>
  <c r="I838" i="4" s="1"/>
  <c r="N838" i="4"/>
  <c r="O838" i="4"/>
  <c r="P838" i="4"/>
  <c r="Q838" i="4"/>
  <c r="T838" i="4"/>
  <c r="W838" i="4"/>
  <c r="X838" i="4"/>
  <c r="B711" i="4"/>
  <c r="J711" i="4" s="1"/>
  <c r="G711" i="4"/>
  <c r="I711" i="4" s="1"/>
  <c r="N711" i="4"/>
  <c r="O711" i="4"/>
  <c r="P711" i="4"/>
  <c r="Q711" i="4"/>
  <c r="T711" i="4"/>
  <c r="W711" i="4"/>
  <c r="X711" i="4"/>
  <c r="B712" i="4"/>
  <c r="J712" i="4" s="1"/>
  <c r="G712" i="4"/>
  <c r="I712" i="4" s="1"/>
  <c r="N712" i="4"/>
  <c r="O712" i="4"/>
  <c r="P712" i="4"/>
  <c r="Q712" i="4"/>
  <c r="R712" i="4"/>
  <c r="T712" i="4"/>
  <c r="W712" i="4"/>
  <c r="X712" i="4"/>
  <c r="B713" i="4"/>
  <c r="J713" i="4" s="1"/>
  <c r="G713" i="4"/>
  <c r="I713" i="4" s="1"/>
  <c r="N713" i="4"/>
  <c r="O713" i="4"/>
  <c r="P713" i="4"/>
  <c r="Q713" i="4"/>
  <c r="R713" i="4"/>
  <c r="T713" i="4"/>
  <c r="W713" i="4"/>
  <c r="X713" i="4"/>
  <c r="B714" i="4"/>
  <c r="J714" i="4" s="1"/>
  <c r="G714" i="4"/>
  <c r="I714" i="4" s="1"/>
  <c r="N714" i="4"/>
  <c r="O714" i="4"/>
  <c r="P714" i="4"/>
  <c r="Q714" i="4"/>
  <c r="R714" i="4"/>
  <c r="T714" i="4"/>
  <c r="W714" i="4"/>
  <c r="X714" i="4"/>
  <c r="B715" i="4"/>
  <c r="G715" i="4"/>
  <c r="I715" i="4" s="1"/>
  <c r="N715" i="4"/>
  <c r="O715" i="4"/>
  <c r="P715" i="4"/>
  <c r="Q715" i="4"/>
  <c r="R715" i="4"/>
  <c r="T715" i="4"/>
  <c r="W715" i="4"/>
  <c r="X715" i="4"/>
  <c r="B716" i="4"/>
  <c r="J716" i="4" s="1"/>
  <c r="G716" i="4"/>
  <c r="I716" i="4" s="1"/>
  <c r="N716" i="4"/>
  <c r="O716" i="4"/>
  <c r="P716" i="4"/>
  <c r="Q716" i="4"/>
  <c r="R716" i="4"/>
  <c r="T716" i="4"/>
  <c r="W716" i="4"/>
  <c r="X716" i="4"/>
  <c r="B717" i="4"/>
  <c r="J717" i="4" s="1"/>
  <c r="G717" i="4"/>
  <c r="I717" i="4" s="1"/>
  <c r="N717" i="4"/>
  <c r="O717" i="4"/>
  <c r="P717" i="4"/>
  <c r="Q717" i="4"/>
  <c r="R717" i="4"/>
  <c r="T717" i="4"/>
  <c r="W717" i="4"/>
  <c r="X717" i="4"/>
  <c r="B718" i="4"/>
  <c r="G718" i="4"/>
  <c r="I718" i="4" s="1"/>
  <c r="N718" i="4"/>
  <c r="O718" i="4"/>
  <c r="P718" i="4"/>
  <c r="Q718" i="4"/>
  <c r="T718" i="4"/>
  <c r="W718" i="4"/>
  <c r="X718" i="4"/>
  <c r="B719" i="4"/>
  <c r="G719" i="4"/>
  <c r="I719" i="4" s="1"/>
  <c r="N719" i="4"/>
  <c r="O719" i="4"/>
  <c r="P719" i="4"/>
  <c r="Q719" i="4"/>
  <c r="R719" i="4"/>
  <c r="T719" i="4"/>
  <c r="W719" i="4"/>
  <c r="X719" i="4"/>
  <c r="B720" i="4"/>
  <c r="J720" i="4" s="1"/>
  <c r="G720" i="4"/>
  <c r="I720" i="4" s="1"/>
  <c r="N720" i="4"/>
  <c r="O720" i="4"/>
  <c r="P720" i="4"/>
  <c r="Q720" i="4"/>
  <c r="R720" i="4"/>
  <c r="T720" i="4"/>
  <c r="W720" i="4"/>
  <c r="X720" i="4"/>
  <c r="B721" i="4"/>
  <c r="G721" i="4"/>
  <c r="I721" i="4" s="1"/>
  <c r="N721" i="4"/>
  <c r="O721" i="4"/>
  <c r="P721" i="4"/>
  <c r="Q721" i="4"/>
  <c r="R721" i="4"/>
  <c r="T721" i="4"/>
  <c r="W721" i="4"/>
  <c r="X721" i="4"/>
  <c r="B722" i="4"/>
  <c r="J722" i="4" s="1"/>
  <c r="G722" i="4"/>
  <c r="I722" i="4" s="1"/>
  <c r="N722" i="4"/>
  <c r="O722" i="4"/>
  <c r="P722" i="4"/>
  <c r="Q722" i="4"/>
  <c r="R722" i="4"/>
  <c r="T722" i="4"/>
  <c r="W722" i="4"/>
  <c r="X722" i="4"/>
  <c r="B723" i="4"/>
  <c r="J723" i="4" s="1"/>
  <c r="G723" i="4"/>
  <c r="I723" i="4" s="1"/>
  <c r="N723" i="4"/>
  <c r="O723" i="4"/>
  <c r="P723" i="4"/>
  <c r="Q723" i="4"/>
  <c r="R723" i="4"/>
  <c r="T723" i="4"/>
  <c r="W723" i="4"/>
  <c r="X723" i="4"/>
  <c r="B724" i="4"/>
  <c r="G724" i="4"/>
  <c r="I724" i="4" s="1"/>
  <c r="N724" i="4"/>
  <c r="O724" i="4"/>
  <c r="P724" i="4"/>
  <c r="Q724" i="4"/>
  <c r="R724" i="4"/>
  <c r="T724" i="4"/>
  <c r="W724" i="4"/>
  <c r="X724" i="4"/>
  <c r="B725" i="4"/>
  <c r="J725" i="4" s="1"/>
  <c r="G725" i="4"/>
  <c r="I725" i="4" s="1"/>
  <c r="N725" i="4"/>
  <c r="O725" i="4"/>
  <c r="P725" i="4"/>
  <c r="Q725" i="4"/>
  <c r="T725" i="4"/>
  <c r="W725" i="4"/>
  <c r="X725" i="4"/>
  <c r="B726" i="4"/>
  <c r="J726" i="4" s="1"/>
  <c r="G726" i="4"/>
  <c r="I726" i="4" s="1"/>
  <c r="N726" i="4"/>
  <c r="O726" i="4"/>
  <c r="P726" i="4"/>
  <c r="Q726" i="4"/>
  <c r="T726" i="4"/>
  <c r="W726" i="4"/>
  <c r="X726" i="4"/>
  <c r="B727" i="4"/>
  <c r="G727" i="4"/>
  <c r="I727" i="4" s="1"/>
  <c r="N727" i="4"/>
  <c r="O727" i="4"/>
  <c r="P727" i="4"/>
  <c r="Q727" i="4"/>
  <c r="R727" i="4"/>
  <c r="T727" i="4"/>
  <c r="W727" i="4"/>
  <c r="X727" i="4"/>
  <c r="B728" i="4"/>
  <c r="J728" i="4" s="1"/>
  <c r="G728" i="4"/>
  <c r="I728" i="4" s="1"/>
  <c r="N728" i="4"/>
  <c r="O728" i="4"/>
  <c r="P728" i="4"/>
  <c r="Q728" i="4"/>
  <c r="R728" i="4"/>
  <c r="T728" i="4"/>
  <c r="W728" i="4"/>
  <c r="X728" i="4"/>
  <c r="B729" i="4"/>
  <c r="J729" i="4" s="1"/>
  <c r="G729" i="4"/>
  <c r="I729" i="4" s="1"/>
  <c r="N729" i="4"/>
  <c r="O729" i="4"/>
  <c r="P729" i="4"/>
  <c r="Q729" i="4"/>
  <c r="R729" i="4"/>
  <c r="T729" i="4"/>
  <c r="W729" i="4"/>
  <c r="X729" i="4"/>
  <c r="B730" i="4"/>
  <c r="G730" i="4"/>
  <c r="I730" i="4" s="1"/>
  <c r="N730" i="4"/>
  <c r="O730" i="4"/>
  <c r="P730" i="4"/>
  <c r="Q730" i="4"/>
  <c r="R730" i="4"/>
  <c r="T730" i="4"/>
  <c r="W730" i="4"/>
  <c r="X730" i="4"/>
  <c r="B731" i="4"/>
  <c r="G731" i="4"/>
  <c r="I731" i="4" s="1"/>
  <c r="N731" i="4"/>
  <c r="O731" i="4"/>
  <c r="P731" i="4"/>
  <c r="Q731" i="4"/>
  <c r="R731" i="4"/>
  <c r="T731" i="4"/>
  <c r="W731" i="4"/>
  <c r="X731" i="4"/>
  <c r="B732" i="4"/>
  <c r="J732" i="4" s="1"/>
  <c r="G732" i="4"/>
  <c r="I732" i="4" s="1"/>
  <c r="N732" i="4"/>
  <c r="O732" i="4"/>
  <c r="P732" i="4"/>
  <c r="Q732" i="4"/>
  <c r="T732" i="4"/>
  <c r="W732" i="4"/>
  <c r="X732" i="4"/>
  <c r="B733" i="4"/>
  <c r="G733" i="4"/>
  <c r="I733" i="4" s="1"/>
  <c r="N733" i="4"/>
  <c r="O733" i="4"/>
  <c r="P733" i="4"/>
  <c r="Q733" i="4"/>
  <c r="T733" i="4"/>
  <c r="W733" i="4"/>
  <c r="X733" i="4"/>
  <c r="B734" i="4"/>
  <c r="G734" i="4"/>
  <c r="I734" i="4" s="1"/>
  <c r="N734" i="4"/>
  <c r="O734" i="4"/>
  <c r="P734" i="4"/>
  <c r="Q734" i="4"/>
  <c r="R734" i="4"/>
  <c r="T734" i="4"/>
  <c r="W734" i="4"/>
  <c r="X734" i="4"/>
  <c r="B735" i="4"/>
  <c r="J735" i="4" s="1"/>
  <c r="G735" i="4"/>
  <c r="I735" i="4" s="1"/>
  <c r="N735" i="4"/>
  <c r="O735" i="4"/>
  <c r="P735" i="4"/>
  <c r="Q735" i="4"/>
  <c r="R735" i="4"/>
  <c r="T735" i="4"/>
  <c r="W735" i="4"/>
  <c r="X735" i="4"/>
  <c r="B736" i="4"/>
  <c r="G736" i="4"/>
  <c r="I736" i="4" s="1"/>
  <c r="N736" i="4"/>
  <c r="O736" i="4"/>
  <c r="P736" i="4"/>
  <c r="Q736" i="4"/>
  <c r="T736" i="4"/>
  <c r="W736" i="4"/>
  <c r="X736" i="4"/>
  <c r="B737" i="4"/>
  <c r="G737" i="4"/>
  <c r="I737" i="4" s="1"/>
  <c r="N737" i="4"/>
  <c r="O737" i="4"/>
  <c r="P737" i="4"/>
  <c r="Q737" i="4"/>
  <c r="T737" i="4"/>
  <c r="W737" i="4"/>
  <c r="X737" i="4"/>
  <c r="B738" i="4"/>
  <c r="J738" i="4" s="1"/>
  <c r="G738" i="4"/>
  <c r="I738" i="4" s="1"/>
  <c r="N738" i="4"/>
  <c r="O738" i="4"/>
  <c r="P738" i="4"/>
  <c r="Q738" i="4"/>
  <c r="T738" i="4"/>
  <c r="W738" i="4"/>
  <c r="X738" i="4"/>
  <c r="B739" i="4"/>
  <c r="G739" i="4"/>
  <c r="I739" i="4" s="1"/>
  <c r="N739" i="4"/>
  <c r="O739" i="4"/>
  <c r="P739" i="4"/>
  <c r="Q739" i="4"/>
  <c r="T739" i="4"/>
  <c r="W739" i="4"/>
  <c r="X739" i="4"/>
  <c r="B740" i="4"/>
  <c r="G740" i="4"/>
  <c r="I740" i="4" s="1"/>
  <c r="N740" i="4"/>
  <c r="O740" i="4"/>
  <c r="P740" i="4"/>
  <c r="Q740" i="4"/>
  <c r="R740" i="4"/>
  <c r="T740" i="4"/>
  <c r="W740" i="4"/>
  <c r="X740" i="4"/>
  <c r="B741" i="4"/>
  <c r="J741" i="4" s="1"/>
  <c r="G741" i="4"/>
  <c r="I741" i="4" s="1"/>
  <c r="N741" i="4"/>
  <c r="O741" i="4"/>
  <c r="P741" i="4"/>
  <c r="Q741" i="4"/>
  <c r="T741" i="4"/>
  <c r="W741" i="4"/>
  <c r="X741" i="4"/>
  <c r="B742" i="4"/>
  <c r="G742" i="4"/>
  <c r="I742" i="4" s="1"/>
  <c r="N742" i="4"/>
  <c r="O742" i="4"/>
  <c r="P742" i="4"/>
  <c r="Q742" i="4"/>
  <c r="R742" i="4"/>
  <c r="T742" i="4"/>
  <c r="W742" i="4"/>
  <c r="X742" i="4"/>
  <c r="B743" i="4"/>
  <c r="G743" i="4"/>
  <c r="I743" i="4" s="1"/>
  <c r="N743" i="4"/>
  <c r="O743" i="4"/>
  <c r="P743" i="4"/>
  <c r="Q743" i="4"/>
  <c r="R743" i="4"/>
  <c r="T743" i="4"/>
  <c r="W743" i="4"/>
  <c r="X743" i="4"/>
  <c r="B744" i="4"/>
  <c r="J744" i="4" s="1"/>
  <c r="G744" i="4"/>
  <c r="I744" i="4" s="1"/>
  <c r="N744" i="4"/>
  <c r="O744" i="4"/>
  <c r="P744" i="4"/>
  <c r="Q744" i="4"/>
  <c r="R744" i="4"/>
  <c r="T744" i="4"/>
  <c r="W744" i="4"/>
  <c r="X744" i="4"/>
  <c r="B745" i="4"/>
  <c r="G745" i="4"/>
  <c r="I745" i="4" s="1"/>
  <c r="N745" i="4"/>
  <c r="O745" i="4"/>
  <c r="P745" i="4"/>
  <c r="Q745" i="4"/>
  <c r="R745" i="4"/>
  <c r="T745" i="4"/>
  <c r="W745" i="4"/>
  <c r="X745" i="4"/>
  <c r="B746" i="4"/>
  <c r="J746" i="4" s="1"/>
  <c r="G746" i="4"/>
  <c r="I746" i="4" s="1"/>
  <c r="N746" i="4"/>
  <c r="O746" i="4"/>
  <c r="P746" i="4"/>
  <c r="Q746" i="4"/>
  <c r="R746" i="4"/>
  <c r="T746" i="4"/>
  <c r="W746" i="4"/>
  <c r="X746" i="4"/>
  <c r="B747" i="4"/>
  <c r="G747" i="4"/>
  <c r="I747" i="4" s="1"/>
  <c r="N747" i="4"/>
  <c r="O747" i="4"/>
  <c r="P747" i="4"/>
  <c r="Q747" i="4"/>
  <c r="T747" i="4"/>
  <c r="W747" i="4"/>
  <c r="X747" i="4"/>
  <c r="B748" i="4"/>
  <c r="G748" i="4"/>
  <c r="I748" i="4" s="1"/>
  <c r="N748" i="4"/>
  <c r="O748" i="4"/>
  <c r="P748" i="4"/>
  <c r="Q748" i="4"/>
  <c r="R748" i="4"/>
  <c r="T748" i="4"/>
  <c r="W748" i="4"/>
  <c r="X748" i="4"/>
  <c r="B749" i="4"/>
  <c r="J749" i="4" s="1"/>
  <c r="G749" i="4"/>
  <c r="I749" i="4" s="1"/>
  <c r="N749" i="4"/>
  <c r="O749" i="4"/>
  <c r="P749" i="4"/>
  <c r="Q749" i="4"/>
  <c r="R749" i="4"/>
  <c r="T749" i="4"/>
  <c r="W749" i="4"/>
  <c r="X749" i="4"/>
  <c r="B750" i="4"/>
  <c r="G750" i="4"/>
  <c r="I750" i="4" s="1"/>
  <c r="N750" i="4"/>
  <c r="O750" i="4"/>
  <c r="P750" i="4"/>
  <c r="Q750" i="4"/>
  <c r="R750" i="4"/>
  <c r="T750" i="4"/>
  <c r="W750" i="4"/>
  <c r="X750" i="4"/>
  <c r="B751" i="4"/>
  <c r="G751" i="4"/>
  <c r="I751" i="4" s="1"/>
  <c r="N751" i="4"/>
  <c r="O751" i="4"/>
  <c r="P751" i="4"/>
  <c r="Q751" i="4"/>
  <c r="T751" i="4"/>
  <c r="W751" i="4"/>
  <c r="X751" i="4"/>
  <c r="B752" i="4"/>
  <c r="G752" i="4"/>
  <c r="I752" i="4" s="1"/>
  <c r="N752" i="4"/>
  <c r="O752" i="4"/>
  <c r="P752" i="4"/>
  <c r="Q752" i="4"/>
  <c r="R752" i="4"/>
  <c r="T752" i="4"/>
  <c r="W752" i="4"/>
  <c r="X752" i="4"/>
  <c r="B753" i="4"/>
  <c r="G753" i="4"/>
  <c r="I753" i="4" s="1"/>
  <c r="N753" i="4"/>
  <c r="O753" i="4"/>
  <c r="P753" i="4"/>
  <c r="Q753" i="4"/>
  <c r="R753" i="4"/>
  <c r="T753" i="4"/>
  <c r="W753" i="4"/>
  <c r="X753" i="4"/>
  <c r="B754" i="4"/>
  <c r="G754" i="4"/>
  <c r="I754" i="4" s="1"/>
  <c r="N754" i="4"/>
  <c r="O754" i="4"/>
  <c r="P754" i="4"/>
  <c r="Q754" i="4"/>
  <c r="R754" i="4"/>
  <c r="T754" i="4"/>
  <c r="W754" i="4"/>
  <c r="X754" i="4"/>
  <c r="B755" i="4"/>
  <c r="J755" i="4" s="1"/>
  <c r="G755" i="4"/>
  <c r="I755" i="4" s="1"/>
  <c r="N755" i="4"/>
  <c r="O755" i="4"/>
  <c r="P755" i="4"/>
  <c r="Q755" i="4"/>
  <c r="R755" i="4"/>
  <c r="T755" i="4"/>
  <c r="W755" i="4"/>
  <c r="X755" i="4"/>
  <c r="C44" i="25"/>
  <c r="D44" i="25"/>
  <c r="E44" i="25"/>
  <c r="F44" i="25"/>
  <c r="G44" i="25"/>
  <c r="H44" i="25"/>
  <c r="I44" i="25"/>
  <c r="K44" i="25"/>
  <c r="M44" i="25"/>
  <c r="N44" i="25"/>
  <c r="O44" i="25"/>
  <c r="P44" i="25"/>
  <c r="Q44" i="25"/>
  <c r="T44" i="25"/>
  <c r="C66" i="13"/>
  <c r="D66" i="13"/>
  <c r="E66" i="13"/>
  <c r="F66" i="13"/>
  <c r="G66" i="13"/>
  <c r="H66" i="13"/>
  <c r="I66" i="13"/>
  <c r="K66" i="13"/>
  <c r="M66" i="13"/>
  <c r="N66" i="13"/>
  <c r="O66" i="13"/>
  <c r="P66" i="13"/>
  <c r="Q66" i="13"/>
  <c r="T66" i="13"/>
  <c r="C92" i="31"/>
  <c r="D92" i="31"/>
  <c r="E92" i="31"/>
  <c r="F92" i="31"/>
  <c r="G92" i="31"/>
  <c r="H92" i="31"/>
  <c r="I92" i="31"/>
  <c r="J92" i="31"/>
  <c r="K92" i="31"/>
  <c r="L92" i="31"/>
  <c r="M92" i="31"/>
  <c r="N92" i="31"/>
  <c r="O92" i="31"/>
  <c r="P92" i="31"/>
  <c r="Q92" i="31"/>
  <c r="T82" i="22"/>
  <c r="C93" i="8"/>
  <c r="D93" i="8"/>
  <c r="E93" i="8"/>
  <c r="F93" i="8"/>
  <c r="G93" i="8"/>
  <c r="H93" i="8"/>
  <c r="I93" i="8"/>
  <c r="K93" i="8"/>
  <c r="M93" i="8"/>
  <c r="N93" i="8"/>
  <c r="O93" i="8"/>
  <c r="P93" i="8"/>
  <c r="Q93" i="8"/>
  <c r="T93" i="8"/>
  <c r="U91" i="8"/>
  <c r="AE91" i="8"/>
  <c r="AF91" i="8"/>
  <c r="B707" i="4"/>
  <c r="J707" i="4" s="1"/>
  <c r="G707" i="4"/>
  <c r="I707" i="4" s="1"/>
  <c r="N707" i="4"/>
  <c r="O707" i="4"/>
  <c r="P707" i="4"/>
  <c r="Q707" i="4"/>
  <c r="R707" i="4"/>
  <c r="T707" i="4"/>
  <c r="W707" i="4"/>
  <c r="X707" i="4"/>
  <c r="B708" i="4"/>
  <c r="J708" i="4" s="1"/>
  <c r="G708" i="4"/>
  <c r="I708" i="4" s="1"/>
  <c r="N708" i="4"/>
  <c r="O708" i="4"/>
  <c r="P708" i="4"/>
  <c r="Q708" i="4"/>
  <c r="R708" i="4"/>
  <c r="T708" i="4"/>
  <c r="W708" i="4"/>
  <c r="X708" i="4"/>
  <c r="B709" i="4"/>
  <c r="J709" i="4" s="1"/>
  <c r="G709" i="4"/>
  <c r="I709" i="4" s="1"/>
  <c r="N709" i="4"/>
  <c r="O709" i="4"/>
  <c r="P709" i="4"/>
  <c r="Q709" i="4"/>
  <c r="R709" i="4"/>
  <c r="T709" i="4"/>
  <c r="W709" i="4"/>
  <c r="X709" i="4"/>
  <c r="B710" i="4"/>
  <c r="G710" i="4"/>
  <c r="I710" i="4" s="1"/>
  <c r="N710" i="4"/>
  <c r="O710" i="4"/>
  <c r="P710" i="4"/>
  <c r="Q710" i="4"/>
  <c r="T710" i="4"/>
  <c r="W710" i="4"/>
  <c r="X710" i="4"/>
  <c r="B701" i="4"/>
  <c r="J701" i="4" s="1"/>
  <c r="G701" i="4"/>
  <c r="I701" i="4" s="1"/>
  <c r="N701" i="4"/>
  <c r="O701" i="4"/>
  <c r="P701" i="4"/>
  <c r="Q701" i="4"/>
  <c r="R701" i="4"/>
  <c r="T701" i="4"/>
  <c r="W701" i="4"/>
  <c r="X701" i="4"/>
  <c r="B702" i="4"/>
  <c r="G702" i="4"/>
  <c r="I702" i="4" s="1"/>
  <c r="N702" i="4"/>
  <c r="O702" i="4"/>
  <c r="P702" i="4"/>
  <c r="Q702" i="4"/>
  <c r="R702" i="4"/>
  <c r="T702" i="4"/>
  <c r="W702" i="4"/>
  <c r="X702" i="4"/>
  <c r="B703" i="4"/>
  <c r="J703" i="4" s="1"/>
  <c r="G703" i="4"/>
  <c r="I703" i="4" s="1"/>
  <c r="N703" i="4"/>
  <c r="O703" i="4"/>
  <c r="P703" i="4"/>
  <c r="Q703" i="4"/>
  <c r="R703" i="4"/>
  <c r="T703" i="4"/>
  <c r="W703" i="4"/>
  <c r="X703" i="4"/>
  <c r="B704" i="4"/>
  <c r="J704" i="4" s="1"/>
  <c r="G704" i="4"/>
  <c r="I704" i="4" s="1"/>
  <c r="N704" i="4"/>
  <c r="O704" i="4"/>
  <c r="P704" i="4"/>
  <c r="Q704" i="4"/>
  <c r="T704" i="4"/>
  <c r="W704" i="4"/>
  <c r="X704" i="4"/>
  <c r="B705" i="4"/>
  <c r="J705" i="4" s="1"/>
  <c r="G705" i="4"/>
  <c r="I705" i="4" s="1"/>
  <c r="N705" i="4"/>
  <c r="O705" i="4"/>
  <c r="P705" i="4"/>
  <c r="Q705" i="4"/>
  <c r="T705" i="4"/>
  <c r="W705" i="4"/>
  <c r="X705" i="4"/>
  <c r="B706" i="4"/>
  <c r="J706" i="4" s="1"/>
  <c r="G706" i="4"/>
  <c r="I706" i="4" s="1"/>
  <c r="N706" i="4"/>
  <c r="O706" i="4"/>
  <c r="P706" i="4"/>
  <c r="Q706" i="4"/>
  <c r="R706" i="4"/>
  <c r="T706" i="4"/>
  <c r="W706" i="4"/>
  <c r="X706" i="4"/>
  <c r="B690" i="4"/>
  <c r="J690" i="4" s="1"/>
  <c r="G690" i="4"/>
  <c r="I690" i="4" s="1"/>
  <c r="N690" i="4"/>
  <c r="O690" i="4"/>
  <c r="P690" i="4"/>
  <c r="Q690" i="4"/>
  <c r="R690" i="4"/>
  <c r="T690" i="4"/>
  <c r="W690" i="4"/>
  <c r="X690" i="4"/>
  <c r="B691" i="4"/>
  <c r="J691" i="4" s="1"/>
  <c r="G691" i="4"/>
  <c r="I691" i="4" s="1"/>
  <c r="N691" i="4"/>
  <c r="O691" i="4"/>
  <c r="P691" i="4"/>
  <c r="Q691" i="4"/>
  <c r="R691" i="4"/>
  <c r="T691" i="4"/>
  <c r="W691" i="4"/>
  <c r="X691" i="4"/>
  <c r="B692" i="4"/>
  <c r="J692" i="4" s="1"/>
  <c r="G692" i="4"/>
  <c r="I692" i="4" s="1"/>
  <c r="N692" i="4"/>
  <c r="O692" i="4"/>
  <c r="P692" i="4"/>
  <c r="Q692" i="4"/>
  <c r="R692" i="4"/>
  <c r="T692" i="4"/>
  <c r="W692" i="4"/>
  <c r="X692" i="4"/>
  <c r="B693" i="4"/>
  <c r="J693" i="4" s="1"/>
  <c r="G693" i="4"/>
  <c r="I693" i="4" s="1"/>
  <c r="N693" i="4"/>
  <c r="O693" i="4"/>
  <c r="P693" i="4"/>
  <c r="Q693" i="4"/>
  <c r="T693" i="4"/>
  <c r="W693" i="4"/>
  <c r="X693" i="4"/>
  <c r="B694" i="4"/>
  <c r="J694" i="4" s="1"/>
  <c r="G694" i="4"/>
  <c r="I694" i="4" s="1"/>
  <c r="N694" i="4"/>
  <c r="O694" i="4"/>
  <c r="P694" i="4"/>
  <c r="Q694" i="4"/>
  <c r="R694" i="4"/>
  <c r="T694" i="4"/>
  <c r="W694" i="4"/>
  <c r="X694" i="4"/>
  <c r="B695" i="4"/>
  <c r="J695" i="4" s="1"/>
  <c r="G695" i="4"/>
  <c r="I695" i="4" s="1"/>
  <c r="N695" i="4"/>
  <c r="O695" i="4"/>
  <c r="P695" i="4"/>
  <c r="Q695" i="4"/>
  <c r="R695" i="4"/>
  <c r="T695" i="4"/>
  <c r="W695" i="4"/>
  <c r="X695" i="4"/>
  <c r="B696" i="4"/>
  <c r="J696" i="4" s="1"/>
  <c r="G696" i="4"/>
  <c r="I696" i="4" s="1"/>
  <c r="N696" i="4"/>
  <c r="O696" i="4"/>
  <c r="P696" i="4"/>
  <c r="Q696" i="4"/>
  <c r="R696" i="4"/>
  <c r="T696" i="4"/>
  <c r="W696" i="4"/>
  <c r="X696" i="4"/>
  <c r="B697" i="4"/>
  <c r="J697" i="4" s="1"/>
  <c r="G697" i="4"/>
  <c r="I697" i="4" s="1"/>
  <c r="N697" i="4"/>
  <c r="O697" i="4"/>
  <c r="P697" i="4"/>
  <c r="Q697" i="4"/>
  <c r="T697" i="4"/>
  <c r="W697" i="4"/>
  <c r="X697" i="4"/>
  <c r="B698" i="4"/>
  <c r="J698" i="4" s="1"/>
  <c r="G698" i="4"/>
  <c r="I698" i="4" s="1"/>
  <c r="N698" i="4"/>
  <c r="O698" i="4"/>
  <c r="P698" i="4"/>
  <c r="Q698" i="4"/>
  <c r="T698" i="4"/>
  <c r="W698" i="4"/>
  <c r="X698" i="4"/>
  <c r="B699" i="4"/>
  <c r="J699" i="4" s="1"/>
  <c r="G699" i="4"/>
  <c r="I699" i="4" s="1"/>
  <c r="N699" i="4"/>
  <c r="O699" i="4"/>
  <c r="P699" i="4"/>
  <c r="Q699" i="4"/>
  <c r="R699" i="4"/>
  <c r="T699" i="4"/>
  <c r="W699" i="4"/>
  <c r="X699" i="4"/>
  <c r="B700" i="4"/>
  <c r="J700" i="4" s="1"/>
  <c r="G700" i="4"/>
  <c r="I700" i="4" s="1"/>
  <c r="N700" i="4"/>
  <c r="O700" i="4"/>
  <c r="P700" i="4"/>
  <c r="Q700" i="4"/>
  <c r="R700" i="4"/>
  <c r="T700" i="4"/>
  <c r="W700" i="4"/>
  <c r="X700" i="4"/>
  <c r="B671" i="4"/>
  <c r="J671" i="4" s="1"/>
  <c r="G671" i="4"/>
  <c r="I671" i="4" s="1"/>
  <c r="N671" i="4"/>
  <c r="O671" i="4"/>
  <c r="P671" i="4"/>
  <c r="Q671" i="4"/>
  <c r="R671" i="4"/>
  <c r="T671" i="4"/>
  <c r="W671" i="4"/>
  <c r="X671" i="4"/>
  <c r="B672" i="4"/>
  <c r="J672" i="4" s="1"/>
  <c r="G672" i="4"/>
  <c r="I672" i="4" s="1"/>
  <c r="N672" i="4"/>
  <c r="O672" i="4"/>
  <c r="P672" i="4"/>
  <c r="Q672" i="4"/>
  <c r="T672" i="4"/>
  <c r="W672" i="4"/>
  <c r="X672" i="4"/>
  <c r="B673" i="4"/>
  <c r="G673" i="4"/>
  <c r="I673" i="4" s="1"/>
  <c r="N673" i="4"/>
  <c r="O673" i="4"/>
  <c r="P673" i="4"/>
  <c r="Q673" i="4"/>
  <c r="T673" i="4"/>
  <c r="W673" i="4"/>
  <c r="X673" i="4"/>
  <c r="B674" i="4"/>
  <c r="J674" i="4" s="1"/>
  <c r="G674" i="4"/>
  <c r="I674" i="4" s="1"/>
  <c r="N674" i="4"/>
  <c r="O674" i="4"/>
  <c r="P674" i="4"/>
  <c r="Q674" i="4"/>
  <c r="T674" i="4"/>
  <c r="W674" i="4"/>
  <c r="X674" i="4"/>
  <c r="B675" i="4"/>
  <c r="J675" i="4" s="1"/>
  <c r="G675" i="4"/>
  <c r="I675" i="4" s="1"/>
  <c r="N675" i="4"/>
  <c r="O675" i="4"/>
  <c r="P675" i="4"/>
  <c r="Q675" i="4"/>
  <c r="R675" i="4"/>
  <c r="T675" i="4"/>
  <c r="W675" i="4"/>
  <c r="X675" i="4"/>
  <c r="B676" i="4"/>
  <c r="G676" i="4"/>
  <c r="I676" i="4" s="1"/>
  <c r="N676" i="4"/>
  <c r="O676" i="4"/>
  <c r="P676" i="4"/>
  <c r="Q676" i="4"/>
  <c r="T676" i="4"/>
  <c r="W676" i="4"/>
  <c r="X676" i="4"/>
  <c r="B677" i="4"/>
  <c r="J677" i="4" s="1"/>
  <c r="G677" i="4"/>
  <c r="I677" i="4" s="1"/>
  <c r="N677" i="4"/>
  <c r="O677" i="4"/>
  <c r="P677" i="4"/>
  <c r="Q677" i="4"/>
  <c r="R677" i="4"/>
  <c r="T677" i="4"/>
  <c r="W677" i="4"/>
  <c r="X677" i="4"/>
  <c r="B678" i="4"/>
  <c r="J678" i="4" s="1"/>
  <c r="G678" i="4"/>
  <c r="I678" i="4" s="1"/>
  <c r="N678" i="4"/>
  <c r="O678" i="4"/>
  <c r="P678" i="4"/>
  <c r="Q678" i="4"/>
  <c r="R678" i="4"/>
  <c r="T678" i="4"/>
  <c r="W678" i="4"/>
  <c r="X678" i="4"/>
  <c r="B679" i="4"/>
  <c r="G679" i="4"/>
  <c r="I679" i="4" s="1"/>
  <c r="N679" i="4"/>
  <c r="O679" i="4"/>
  <c r="P679" i="4"/>
  <c r="Q679" i="4"/>
  <c r="R679" i="4"/>
  <c r="T679" i="4"/>
  <c r="W679" i="4"/>
  <c r="X679" i="4"/>
  <c r="B680" i="4"/>
  <c r="J680" i="4" s="1"/>
  <c r="G680" i="4"/>
  <c r="I680" i="4" s="1"/>
  <c r="N680" i="4"/>
  <c r="O680" i="4"/>
  <c r="P680" i="4"/>
  <c r="Q680" i="4"/>
  <c r="R680" i="4"/>
  <c r="T680" i="4"/>
  <c r="W680" i="4"/>
  <c r="X680" i="4"/>
  <c r="B681" i="4"/>
  <c r="J681" i="4" s="1"/>
  <c r="G681" i="4"/>
  <c r="I681" i="4" s="1"/>
  <c r="N681" i="4"/>
  <c r="O681" i="4"/>
  <c r="P681" i="4"/>
  <c r="Q681" i="4"/>
  <c r="R681" i="4"/>
  <c r="T681" i="4"/>
  <c r="W681" i="4"/>
  <c r="X681" i="4"/>
  <c r="B682" i="4"/>
  <c r="G682" i="4"/>
  <c r="I682" i="4" s="1"/>
  <c r="N682" i="4"/>
  <c r="O682" i="4"/>
  <c r="P682" i="4"/>
  <c r="Q682" i="4"/>
  <c r="T682" i="4"/>
  <c r="W682" i="4"/>
  <c r="X682" i="4"/>
  <c r="B683" i="4"/>
  <c r="J683" i="4" s="1"/>
  <c r="G683" i="4"/>
  <c r="I683" i="4" s="1"/>
  <c r="N683" i="4"/>
  <c r="O683" i="4"/>
  <c r="P683" i="4"/>
  <c r="Q683" i="4"/>
  <c r="R683" i="4"/>
  <c r="T683" i="4"/>
  <c r="W683" i="4"/>
  <c r="X683" i="4"/>
  <c r="B684" i="4"/>
  <c r="G684" i="4"/>
  <c r="I684" i="4" s="1"/>
  <c r="N684" i="4"/>
  <c r="O684" i="4"/>
  <c r="P684" i="4"/>
  <c r="Q684" i="4"/>
  <c r="R684" i="4"/>
  <c r="T684" i="4"/>
  <c r="W684" i="4"/>
  <c r="X684" i="4"/>
  <c r="B685" i="4"/>
  <c r="G685" i="4"/>
  <c r="I685" i="4" s="1"/>
  <c r="N685" i="4"/>
  <c r="O685" i="4"/>
  <c r="P685" i="4"/>
  <c r="Q685" i="4"/>
  <c r="T685" i="4"/>
  <c r="W685" i="4"/>
  <c r="X685" i="4"/>
  <c r="B686" i="4"/>
  <c r="J686" i="4" s="1"/>
  <c r="G686" i="4"/>
  <c r="I686" i="4" s="1"/>
  <c r="N686" i="4"/>
  <c r="O686" i="4"/>
  <c r="P686" i="4"/>
  <c r="Q686" i="4"/>
  <c r="R686" i="4"/>
  <c r="T686" i="4"/>
  <c r="W686" i="4"/>
  <c r="X686" i="4"/>
  <c r="B687" i="4"/>
  <c r="G687" i="4"/>
  <c r="I687" i="4" s="1"/>
  <c r="N687" i="4"/>
  <c r="O687" i="4"/>
  <c r="P687" i="4"/>
  <c r="Q687" i="4"/>
  <c r="T687" i="4"/>
  <c r="W687" i="4"/>
  <c r="X687" i="4"/>
  <c r="B688" i="4"/>
  <c r="G688" i="4"/>
  <c r="I688" i="4" s="1"/>
  <c r="N688" i="4"/>
  <c r="O688" i="4"/>
  <c r="P688" i="4"/>
  <c r="Q688" i="4"/>
  <c r="T688" i="4"/>
  <c r="W688" i="4"/>
  <c r="X688" i="4"/>
  <c r="B689" i="4"/>
  <c r="J689" i="4" s="1"/>
  <c r="G689" i="4"/>
  <c r="I689" i="4" s="1"/>
  <c r="N689" i="4"/>
  <c r="O689" i="4"/>
  <c r="P689" i="4"/>
  <c r="Q689" i="4"/>
  <c r="R689" i="4"/>
  <c r="T689" i="4"/>
  <c r="W689" i="4"/>
  <c r="X689" i="4"/>
  <c r="B658" i="4"/>
  <c r="J658" i="4" s="1"/>
  <c r="G658" i="4"/>
  <c r="I658" i="4" s="1"/>
  <c r="N658" i="4"/>
  <c r="O658" i="4"/>
  <c r="P658" i="4"/>
  <c r="Q658" i="4"/>
  <c r="R658" i="4"/>
  <c r="T658" i="4"/>
  <c r="W658" i="4"/>
  <c r="X658" i="4"/>
  <c r="B659" i="4"/>
  <c r="J659" i="4" s="1"/>
  <c r="G659" i="4"/>
  <c r="I659" i="4" s="1"/>
  <c r="N659" i="4"/>
  <c r="O659" i="4"/>
  <c r="P659" i="4"/>
  <c r="Q659" i="4"/>
  <c r="T659" i="4"/>
  <c r="W659" i="4"/>
  <c r="X659" i="4"/>
  <c r="B660" i="4"/>
  <c r="J660" i="4" s="1"/>
  <c r="G660" i="4"/>
  <c r="I660" i="4" s="1"/>
  <c r="N660" i="4"/>
  <c r="O660" i="4"/>
  <c r="P660" i="4"/>
  <c r="Q660" i="4"/>
  <c r="R660" i="4"/>
  <c r="T660" i="4"/>
  <c r="W660" i="4"/>
  <c r="X660" i="4"/>
  <c r="B661" i="4"/>
  <c r="J661" i="4" s="1"/>
  <c r="G661" i="4"/>
  <c r="N661" i="4"/>
  <c r="O661" i="4"/>
  <c r="P661" i="4"/>
  <c r="Q661" i="4"/>
  <c r="R661" i="4"/>
  <c r="T661" i="4"/>
  <c r="W661" i="4"/>
  <c r="X661" i="4"/>
  <c r="B662" i="4"/>
  <c r="J662" i="4" s="1"/>
  <c r="G662" i="4"/>
  <c r="I662" i="4" s="1"/>
  <c r="N662" i="4"/>
  <c r="O662" i="4"/>
  <c r="P662" i="4"/>
  <c r="Q662" i="4"/>
  <c r="R662" i="4"/>
  <c r="T662" i="4"/>
  <c r="W662" i="4"/>
  <c r="X662" i="4"/>
  <c r="B663" i="4"/>
  <c r="J663" i="4" s="1"/>
  <c r="G663" i="4"/>
  <c r="I663" i="4" s="1"/>
  <c r="N663" i="4"/>
  <c r="O663" i="4"/>
  <c r="P663" i="4"/>
  <c r="Q663" i="4"/>
  <c r="R663" i="4"/>
  <c r="T663" i="4"/>
  <c r="W663" i="4"/>
  <c r="X663" i="4"/>
  <c r="B664" i="4"/>
  <c r="J664" i="4" s="1"/>
  <c r="G664" i="4"/>
  <c r="I664" i="4" s="1"/>
  <c r="N664" i="4"/>
  <c r="O664" i="4"/>
  <c r="P664" i="4"/>
  <c r="Q664" i="4"/>
  <c r="R664" i="4"/>
  <c r="T664" i="4"/>
  <c r="W664" i="4"/>
  <c r="X664" i="4"/>
  <c r="B665" i="4"/>
  <c r="G665" i="4"/>
  <c r="I665" i="4" s="1"/>
  <c r="N665" i="4"/>
  <c r="O665" i="4"/>
  <c r="P665" i="4"/>
  <c r="Q665" i="4"/>
  <c r="T665" i="4"/>
  <c r="W665" i="4"/>
  <c r="X665" i="4"/>
  <c r="B666" i="4"/>
  <c r="J666" i="4" s="1"/>
  <c r="G666" i="4"/>
  <c r="I666" i="4" s="1"/>
  <c r="N666" i="4"/>
  <c r="O666" i="4"/>
  <c r="P666" i="4"/>
  <c r="Q666" i="4"/>
  <c r="R666" i="4"/>
  <c r="T666" i="4"/>
  <c r="W666" i="4"/>
  <c r="X666" i="4"/>
  <c r="B667" i="4"/>
  <c r="J667" i="4" s="1"/>
  <c r="G667" i="4"/>
  <c r="I667" i="4" s="1"/>
  <c r="N667" i="4"/>
  <c r="O667" i="4"/>
  <c r="P667" i="4"/>
  <c r="Q667" i="4"/>
  <c r="R667" i="4"/>
  <c r="T667" i="4"/>
  <c r="W667" i="4"/>
  <c r="X667" i="4"/>
  <c r="B668" i="4"/>
  <c r="J668" i="4" s="1"/>
  <c r="G668" i="4"/>
  <c r="I668" i="4" s="1"/>
  <c r="N668" i="4"/>
  <c r="O668" i="4"/>
  <c r="P668" i="4"/>
  <c r="Q668" i="4"/>
  <c r="T668" i="4"/>
  <c r="W668" i="4"/>
  <c r="X668" i="4"/>
  <c r="B669" i="4"/>
  <c r="J669" i="4" s="1"/>
  <c r="G669" i="4"/>
  <c r="I669" i="4" s="1"/>
  <c r="N669" i="4"/>
  <c r="O669" i="4"/>
  <c r="P669" i="4"/>
  <c r="Q669" i="4"/>
  <c r="R669" i="4"/>
  <c r="T669" i="4"/>
  <c r="W669" i="4"/>
  <c r="X669" i="4"/>
  <c r="B670" i="4"/>
  <c r="J670" i="4" s="1"/>
  <c r="G670" i="4"/>
  <c r="I670" i="4" s="1"/>
  <c r="N670" i="4"/>
  <c r="O670" i="4"/>
  <c r="P670" i="4"/>
  <c r="Q670" i="4"/>
  <c r="R670" i="4"/>
  <c r="T670" i="4"/>
  <c r="W670" i="4"/>
  <c r="X670" i="4"/>
  <c r="B634" i="4"/>
  <c r="J634" i="4" s="1"/>
  <c r="G634" i="4"/>
  <c r="I634" i="4" s="1"/>
  <c r="N634" i="4"/>
  <c r="O634" i="4"/>
  <c r="P634" i="4"/>
  <c r="Q634" i="4"/>
  <c r="R634" i="4"/>
  <c r="T634" i="4"/>
  <c r="W634" i="4"/>
  <c r="X634" i="4"/>
  <c r="B635" i="4"/>
  <c r="J635" i="4" s="1"/>
  <c r="G635" i="4"/>
  <c r="I635" i="4" s="1"/>
  <c r="N635" i="4"/>
  <c r="O635" i="4"/>
  <c r="P635" i="4"/>
  <c r="Q635" i="4"/>
  <c r="R635" i="4"/>
  <c r="T635" i="4"/>
  <c r="W635" i="4"/>
  <c r="X635" i="4"/>
  <c r="B636" i="4"/>
  <c r="J636" i="4" s="1"/>
  <c r="G636" i="4"/>
  <c r="I636" i="4" s="1"/>
  <c r="N636" i="4"/>
  <c r="O636" i="4"/>
  <c r="P636" i="4"/>
  <c r="Q636" i="4"/>
  <c r="T636" i="4"/>
  <c r="W636" i="4"/>
  <c r="X636" i="4"/>
  <c r="B637" i="4"/>
  <c r="J637" i="4" s="1"/>
  <c r="G637" i="4"/>
  <c r="I637" i="4" s="1"/>
  <c r="N637" i="4"/>
  <c r="O637" i="4"/>
  <c r="P637" i="4"/>
  <c r="Q637" i="4"/>
  <c r="R637" i="4"/>
  <c r="T637" i="4"/>
  <c r="W637" i="4"/>
  <c r="X637" i="4"/>
  <c r="B638" i="4"/>
  <c r="J638" i="4" s="1"/>
  <c r="G638" i="4"/>
  <c r="I638" i="4" s="1"/>
  <c r="N638" i="4"/>
  <c r="O638" i="4"/>
  <c r="P638" i="4"/>
  <c r="Q638" i="4"/>
  <c r="R638" i="4"/>
  <c r="T638" i="4"/>
  <c r="W638" i="4"/>
  <c r="X638" i="4"/>
  <c r="B639" i="4"/>
  <c r="G639" i="4"/>
  <c r="N639" i="4"/>
  <c r="O639" i="4"/>
  <c r="P639" i="4"/>
  <c r="Q639" i="4"/>
  <c r="R639" i="4"/>
  <c r="T639" i="4"/>
  <c r="W639" i="4"/>
  <c r="X639" i="4"/>
  <c r="B640" i="4"/>
  <c r="J640" i="4" s="1"/>
  <c r="G640" i="4"/>
  <c r="I640" i="4" s="1"/>
  <c r="N640" i="4"/>
  <c r="O640" i="4"/>
  <c r="P640" i="4"/>
  <c r="Q640" i="4"/>
  <c r="R640" i="4"/>
  <c r="T640" i="4"/>
  <c r="W640" i="4"/>
  <c r="X640" i="4"/>
  <c r="B641" i="4"/>
  <c r="G641" i="4"/>
  <c r="I641" i="4" s="1"/>
  <c r="N641" i="4"/>
  <c r="O641" i="4"/>
  <c r="P641" i="4"/>
  <c r="Q641" i="4"/>
  <c r="R641" i="4"/>
  <c r="T641" i="4"/>
  <c r="W641" i="4"/>
  <c r="X641" i="4"/>
  <c r="B642" i="4"/>
  <c r="G642" i="4"/>
  <c r="I642" i="4" s="1"/>
  <c r="N642" i="4"/>
  <c r="O642" i="4"/>
  <c r="P642" i="4"/>
  <c r="Q642" i="4"/>
  <c r="R642" i="4"/>
  <c r="T642" i="4"/>
  <c r="W642" i="4"/>
  <c r="X642" i="4"/>
  <c r="B643" i="4"/>
  <c r="J643" i="4" s="1"/>
  <c r="G643" i="4"/>
  <c r="I643" i="4" s="1"/>
  <c r="N643" i="4"/>
  <c r="O643" i="4"/>
  <c r="P643" i="4"/>
  <c r="Q643" i="4"/>
  <c r="R643" i="4"/>
  <c r="T643" i="4"/>
  <c r="W643" i="4"/>
  <c r="X643" i="4"/>
  <c r="B644" i="4"/>
  <c r="G644" i="4"/>
  <c r="I644" i="4" s="1"/>
  <c r="N644" i="4"/>
  <c r="O644" i="4"/>
  <c r="P644" i="4"/>
  <c r="Q644" i="4"/>
  <c r="R644" i="4"/>
  <c r="T644" i="4"/>
  <c r="W644" i="4"/>
  <c r="X644" i="4"/>
  <c r="B645" i="4"/>
  <c r="G645" i="4"/>
  <c r="I645" i="4" s="1"/>
  <c r="N645" i="4"/>
  <c r="O645" i="4"/>
  <c r="P645" i="4"/>
  <c r="Q645" i="4"/>
  <c r="T645" i="4"/>
  <c r="W645" i="4"/>
  <c r="X645" i="4"/>
  <c r="B646" i="4"/>
  <c r="J646" i="4" s="1"/>
  <c r="G646" i="4"/>
  <c r="I646" i="4" s="1"/>
  <c r="N646" i="4"/>
  <c r="O646" i="4"/>
  <c r="P646" i="4"/>
  <c r="Q646" i="4"/>
  <c r="T646" i="4"/>
  <c r="W646" i="4"/>
  <c r="X646" i="4"/>
  <c r="B647" i="4"/>
  <c r="G647" i="4"/>
  <c r="I647" i="4" s="1"/>
  <c r="N647" i="4"/>
  <c r="O647" i="4"/>
  <c r="P647" i="4"/>
  <c r="Q647" i="4"/>
  <c r="T647" i="4"/>
  <c r="W647" i="4"/>
  <c r="X647" i="4"/>
  <c r="B648" i="4"/>
  <c r="J648" i="4" s="1"/>
  <c r="G648" i="4"/>
  <c r="I648" i="4" s="1"/>
  <c r="N648" i="4"/>
  <c r="O648" i="4"/>
  <c r="P648" i="4"/>
  <c r="Q648" i="4"/>
  <c r="R648" i="4"/>
  <c r="T648" i="4"/>
  <c r="W648" i="4"/>
  <c r="X648" i="4"/>
  <c r="B649" i="4"/>
  <c r="J649" i="4" s="1"/>
  <c r="G649" i="4"/>
  <c r="I649" i="4" s="1"/>
  <c r="N649" i="4"/>
  <c r="O649" i="4"/>
  <c r="P649" i="4"/>
  <c r="Q649" i="4"/>
  <c r="T649" i="4"/>
  <c r="W649" i="4"/>
  <c r="X649" i="4"/>
  <c r="B650" i="4"/>
  <c r="G650" i="4"/>
  <c r="I650" i="4" s="1"/>
  <c r="N650" i="4"/>
  <c r="O650" i="4"/>
  <c r="P650" i="4"/>
  <c r="Q650" i="4"/>
  <c r="T650" i="4"/>
  <c r="W650" i="4"/>
  <c r="X650" i="4"/>
  <c r="B651" i="4"/>
  <c r="G651" i="4"/>
  <c r="I651" i="4" s="1"/>
  <c r="N651" i="4"/>
  <c r="O651" i="4"/>
  <c r="P651" i="4"/>
  <c r="Q651" i="4"/>
  <c r="R651" i="4"/>
  <c r="T651" i="4"/>
  <c r="W651" i="4"/>
  <c r="X651" i="4"/>
  <c r="B652" i="4"/>
  <c r="J652" i="4" s="1"/>
  <c r="G652" i="4"/>
  <c r="I652" i="4" s="1"/>
  <c r="N652" i="4"/>
  <c r="O652" i="4"/>
  <c r="P652" i="4"/>
  <c r="Q652" i="4"/>
  <c r="R652" i="4"/>
  <c r="T652" i="4"/>
  <c r="W652" i="4"/>
  <c r="X652" i="4"/>
  <c r="B653" i="4"/>
  <c r="G653" i="4"/>
  <c r="I653" i="4" s="1"/>
  <c r="N653" i="4"/>
  <c r="O653" i="4"/>
  <c r="P653" i="4"/>
  <c r="Q653" i="4"/>
  <c r="T653" i="4"/>
  <c r="W653" i="4"/>
  <c r="X653" i="4"/>
  <c r="B654" i="4"/>
  <c r="G654" i="4"/>
  <c r="I654" i="4" s="1"/>
  <c r="N654" i="4"/>
  <c r="O654" i="4"/>
  <c r="P654" i="4"/>
  <c r="Q654" i="4"/>
  <c r="R654" i="4"/>
  <c r="T654" i="4"/>
  <c r="W654" i="4"/>
  <c r="X654" i="4"/>
  <c r="B655" i="4"/>
  <c r="J655" i="4" s="1"/>
  <c r="G655" i="4"/>
  <c r="I655" i="4" s="1"/>
  <c r="N655" i="4"/>
  <c r="O655" i="4"/>
  <c r="P655" i="4"/>
  <c r="Q655" i="4"/>
  <c r="T655" i="4"/>
  <c r="W655" i="4"/>
  <c r="X655" i="4"/>
  <c r="B656" i="4"/>
  <c r="G656" i="4"/>
  <c r="I656" i="4" s="1"/>
  <c r="N656" i="4"/>
  <c r="O656" i="4"/>
  <c r="P656" i="4"/>
  <c r="Q656" i="4"/>
  <c r="R656" i="4"/>
  <c r="T656" i="4"/>
  <c r="W656" i="4"/>
  <c r="X656" i="4"/>
  <c r="B657" i="4"/>
  <c r="G657" i="4"/>
  <c r="I657" i="4" s="1"/>
  <c r="N657" i="4"/>
  <c r="O657" i="4"/>
  <c r="P657" i="4"/>
  <c r="Q657" i="4"/>
  <c r="R657" i="4"/>
  <c r="T657" i="4"/>
  <c r="W657" i="4"/>
  <c r="X657" i="4"/>
  <c r="B620" i="4"/>
  <c r="J620" i="4" s="1"/>
  <c r="G620" i="4"/>
  <c r="I620" i="4" s="1"/>
  <c r="N620" i="4"/>
  <c r="O620" i="4"/>
  <c r="P620" i="4"/>
  <c r="Q620" i="4"/>
  <c r="R620" i="4"/>
  <c r="T620" i="4"/>
  <c r="W620" i="4"/>
  <c r="B621" i="4"/>
  <c r="G621" i="4"/>
  <c r="I621" i="4" s="1"/>
  <c r="N621" i="4"/>
  <c r="O621" i="4"/>
  <c r="P621" i="4"/>
  <c r="Q621" i="4"/>
  <c r="R621" i="4"/>
  <c r="T621" i="4"/>
  <c r="W621" i="4"/>
  <c r="B622" i="4"/>
  <c r="J622" i="4" s="1"/>
  <c r="G622" i="4"/>
  <c r="I622" i="4" s="1"/>
  <c r="N622" i="4"/>
  <c r="O622" i="4"/>
  <c r="P622" i="4"/>
  <c r="Q622" i="4"/>
  <c r="T622" i="4"/>
  <c r="W622" i="4"/>
  <c r="B623" i="4"/>
  <c r="J623" i="4" s="1"/>
  <c r="G623" i="4"/>
  <c r="I623" i="4" s="1"/>
  <c r="N623" i="4"/>
  <c r="O623" i="4"/>
  <c r="P623" i="4"/>
  <c r="Q623" i="4"/>
  <c r="R623" i="4"/>
  <c r="T623" i="4"/>
  <c r="W623" i="4"/>
  <c r="B624" i="4"/>
  <c r="G624" i="4"/>
  <c r="I624" i="4" s="1"/>
  <c r="N624" i="4"/>
  <c r="O624" i="4"/>
  <c r="P624" i="4"/>
  <c r="Q624" i="4"/>
  <c r="T624" i="4"/>
  <c r="W624" i="4"/>
  <c r="X624" i="4"/>
  <c r="B625" i="4"/>
  <c r="J625" i="4" s="1"/>
  <c r="G625" i="4"/>
  <c r="I625" i="4" s="1"/>
  <c r="N625" i="4"/>
  <c r="O625" i="4"/>
  <c r="P625" i="4"/>
  <c r="Q625" i="4"/>
  <c r="R625" i="4"/>
  <c r="T625" i="4"/>
  <c r="W625" i="4"/>
  <c r="X625" i="4"/>
  <c r="B626" i="4"/>
  <c r="J626" i="4" s="1"/>
  <c r="G626" i="4"/>
  <c r="I626" i="4" s="1"/>
  <c r="N626" i="4"/>
  <c r="O626" i="4"/>
  <c r="P626" i="4"/>
  <c r="Q626" i="4"/>
  <c r="R626" i="4"/>
  <c r="T626" i="4"/>
  <c r="W626" i="4"/>
  <c r="B627" i="4"/>
  <c r="G627" i="4"/>
  <c r="I627" i="4" s="1"/>
  <c r="N627" i="4"/>
  <c r="O627" i="4"/>
  <c r="P627" i="4"/>
  <c r="Q627" i="4"/>
  <c r="R627" i="4"/>
  <c r="T627" i="4"/>
  <c r="W627" i="4"/>
  <c r="X627" i="4"/>
  <c r="B628" i="4"/>
  <c r="J628" i="4" s="1"/>
  <c r="G628" i="4"/>
  <c r="I628" i="4" s="1"/>
  <c r="N628" i="4"/>
  <c r="O628" i="4"/>
  <c r="P628" i="4"/>
  <c r="Q628" i="4"/>
  <c r="T628" i="4"/>
  <c r="W628" i="4"/>
  <c r="X628" i="4"/>
  <c r="B629" i="4"/>
  <c r="J629" i="4" s="1"/>
  <c r="G629" i="4"/>
  <c r="I629" i="4" s="1"/>
  <c r="N629" i="4"/>
  <c r="O629" i="4"/>
  <c r="P629" i="4"/>
  <c r="Q629" i="4"/>
  <c r="R629" i="4"/>
  <c r="T629" i="4"/>
  <c r="W629" i="4"/>
  <c r="B630" i="4"/>
  <c r="G630" i="4"/>
  <c r="I630" i="4" s="1"/>
  <c r="N630" i="4"/>
  <c r="O630" i="4"/>
  <c r="P630" i="4"/>
  <c r="Q630" i="4"/>
  <c r="R630" i="4"/>
  <c r="T630" i="4"/>
  <c r="W630" i="4"/>
  <c r="B631" i="4"/>
  <c r="J631" i="4" s="1"/>
  <c r="G631" i="4"/>
  <c r="I631" i="4" s="1"/>
  <c r="N631" i="4"/>
  <c r="O631" i="4"/>
  <c r="P631" i="4"/>
  <c r="Q631" i="4"/>
  <c r="R631" i="4"/>
  <c r="T631" i="4"/>
  <c r="W631" i="4"/>
  <c r="B632" i="4"/>
  <c r="J632" i="4" s="1"/>
  <c r="G632" i="4"/>
  <c r="I632" i="4" s="1"/>
  <c r="N632" i="4"/>
  <c r="O632" i="4"/>
  <c r="P632" i="4"/>
  <c r="Q632" i="4"/>
  <c r="R632" i="4"/>
  <c r="T632" i="4"/>
  <c r="W632" i="4"/>
  <c r="X632" i="4"/>
  <c r="B633" i="4"/>
  <c r="G633" i="4"/>
  <c r="I633" i="4" s="1"/>
  <c r="N633" i="4"/>
  <c r="O633" i="4"/>
  <c r="P633" i="4"/>
  <c r="Q633" i="4"/>
  <c r="R633" i="4"/>
  <c r="T633" i="4"/>
  <c r="W633" i="4"/>
  <c r="X633" i="4"/>
  <c r="N89" i="8" l="1"/>
  <c r="N42" i="25"/>
  <c r="N63" i="13"/>
  <c r="Z939" i="4"/>
  <c r="U939" i="4"/>
  <c r="S837" i="4"/>
  <c r="K836" i="4"/>
  <c r="S834" i="4"/>
  <c r="S833" i="4"/>
  <c r="S831" i="4"/>
  <c r="K830" i="4"/>
  <c r="S828" i="4"/>
  <c r="S827" i="4"/>
  <c r="S825" i="4"/>
  <c r="K824" i="4"/>
  <c r="S822" i="4"/>
  <c r="S821" i="4"/>
  <c r="S819" i="4"/>
  <c r="K818" i="4"/>
  <c r="S816" i="4"/>
  <c r="S815" i="4"/>
  <c r="S813" i="4"/>
  <c r="K812" i="4"/>
  <c r="S810" i="4"/>
  <c r="S809" i="4"/>
  <c r="S807" i="4"/>
  <c r="K806" i="4"/>
  <c r="S803" i="4"/>
  <c r="S801" i="4"/>
  <c r="K800" i="4"/>
  <c r="S798" i="4"/>
  <c r="S797" i="4"/>
  <c r="S795" i="4"/>
  <c r="K794" i="4"/>
  <c r="S791" i="4"/>
  <c r="S789" i="4"/>
  <c r="K788" i="4"/>
  <c r="S786" i="4"/>
  <c r="S785" i="4"/>
  <c r="S783" i="4"/>
  <c r="S781" i="4"/>
  <c r="S779" i="4"/>
  <c r="S777" i="4"/>
  <c r="K776" i="4"/>
  <c r="S774" i="4"/>
  <c r="S773" i="4"/>
  <c r="S772" i="4"/>
  <c r="S770" i="4"/>
  <c r="S769" i="4"/>
  <c r="S767" i="4"/>
  <c r="S765" i="4"/>
  <c r="S764" i="4"/>
  <c r="J819" i="4"/>
  <c r="K819" i="4" s="1"/>
  <c r="J770" i="4"/>
  <c r="K770" i="4" s="1"/>
  <c r="S759" i="4"/>
  <c r="S762" i="4"/>
  <c r="J781" i="4"/>
  <c r="K781" i="4" s="1"/>
  <c r="J795" i="4"/>
  <c r="K795" i="4" s="1"/>
  <c r="J837" i="4"/>
  <c r="K837" i="4" s="1"/>
  <c r="J821" i="4"/>
  <c r="K821" i="4" s="1"/>
  <c r="J813" i="4"/>
  <c r="K813" i="4" s="1"/>
  <c r="J797" i="4"/>
  <c r="K797" i="4" s="1"/>
  <c r="J789" i="4"/>
  <c r="K789" i="4" s="1"/>
  <c r="J773" i="4"/>
  <c r="K773" i="4" s="1"/>
  <c r="J831" i="4"/>
  <c r="K831" i="4" s="1"/>
  <c r="J807" i="4"/>
  <c r="K807" i="4" s="1"/>
  <c r="J767" i="4"/>
  <c r="K767" i="4" s="1"/>
  <c r="J833" i="4"/>
  <c r="K833" i="4" s="1"/>
  <c r="J825" i="4"/>
  <c r="K825" i="4" s="1"/>
  <c r="J809" i="4"/>
  <c r="K809" i="4" s="1"/>
  <c r="J801" i="4"/>
  <c r="K801" i="4" s="1"/>
  <c r="J785" i="4"/>
  <c r="K785" i="4" s="1"/>
  <c r="J777" i="4"/>
  <c r="K777" i="4" s="1"/>
  <c r="K761" i="4"/>
  <c r="S760" i="4"/>
  <c r="S758" i="4"/>
  <c r="J758" i="4"/>
  <c r="K758" i="4" s="1"/>
  <c r="K799" i="4"/>
  <c r="K787" i="4"/>
  <c r="K775" i="4"/>
  <c r="J827" i="4"/>
  <c r="K827" i="4" s="1"/>
  <c r="J815" i="4"/>
  <c r="K815" i="4" s="1"/>
  <c r="J803" i="4"/>
  <c r="K803" i="4" s="1"/>
  <c r="K802" i="4"/>
  <c r="J791" i="4"/>
  <c r="K791" i="4" s="1"/>
  <c r="K790" i="4"/>
  <c r="J779" i="4"/>
  <c r="K779" i="4" s="1"/>
  <c r="K778" i="4"/>
  <c r="J828" i="4"/>
  <c r="K828" i="4" s="1"/>
  <c r="J816" i="4"/>
  <c r="K816" i="4" s="1"/>
  <c r="K793" i="4"/>
  <c r="J783" i="4"/>
  <c r="K783" i="4" s="1"/>
  <c r="K796" i="4"/>
  <c r="K784" i="4"/>
  <c r="J764" i="4"/>
  <c r="K764" i="4" s="1"/>
  <c r="J834" i="4"/>
  <c r="K834" i="4" s="1"/>
  <c r="J822" i="4"/>
  <c r="K822" i="4" s="1"/>
  <c r="J810" i="4"/>
  <c r="K810" i="4" s="1"/>
  <c r="J798" i="4"/>
  <c r="K798" i="4" s="1"/>
  <c r="J786" i="4"/>
  <c r="K786" i="4" s="1"/>
  <c r="J774" i="4"/>
  <c r="K774" i="4" s="1"/>
  <c r="J765" i="4"/>
  <c r="K765" i="4" s="1"/>
  <c r="S835" i="4"/>
  <c r="S823" i="4"/>
  <c r="S811" i="4"/>
  <c r="S799" i="4"/>
  <c r="S787" i="4"/>
  <c r="S775" i="4"/>
  <c r="S766" i="4"/>
  <c r="S757" i="4"/>
  <c r="S836" i="4"/>
  <c r="S824" i="4"/>
  <c r="S812" i="4"/>
  <c r="S800" i="4"/>
  <c r="S788" i="4"/>
  <c r="S776" i="4"/>
  <c r="S838" i="4"/>
  <c r="S826" i="4"/>
  <c r="S814" i="4"/>
  <c r="S802" i="4"/>
  <c r="S790" i="4"/>
  <c r="S778" i="4"/>
  <c r="S768" i="4"/>
  <c r="S804" i="4"/>
  <c r="S792" i="4"/>
  <c r="K782" i="4"/>
  <c r="S780" i="4"/>
  <c r="S829" i="4"/>
  <c r="S817" i="4"/>
  <c r="S805" i="4"/>
  <c r="S793" i="4"/>
  <c r="S761" i="4"/>
  <c r="S830" i="4"/>
  <c r="S818" i="4"/>
  <c r="S806" i="4"/>
  <c r="S794" i="4"/>
  <c r="S782" i="4"/>
  <c r="S771" i="4"/>
  <c r="S763" i="4"/>
  <c r="S832" i="4"/>
  <c r="S820" i="4"/>
  <c r="S808" i="4"/>
  <c r="S796" i="4"/>
  <c r="S784" i="4"/>
  <c r="K756" i="4"/>
  <c r="S756" i="4"/>
  <c r="K838" i="4"/>
  <c r="K835" i="4"/>
  <c r="K832" i="4"/>
  <c r="K829" i="4"/>
  <c r="K826" i="4"/>
  <c r="K823" i="4"/>
  <c r="K820" i="4"/>
  <c r="K817" i="4"/>
  <c r="K814" i="4"/>
  <c r="K811" i="4"/>
  <c r="K808" i="4"/>
  <c r="K805" i="4"/>
  <c r="J772" i="4"/>
  <c r="J769" i="4"/>
  <c r="J766" i="4"/>
  <c r="J763" i="4"/>
  <c r="J760" i="4"/>
  <c r="J757" i="4"/>
  <c r="K804" i="4"/>
  <c r="K792" i="4"/>
  <c r="K780" i="4"/>
  <c r="K771" i="4"/>
  <c r="K768" i="4"/>
  <c r="K762" i="4"/>
  <c r="K759" i="4"/>
  <c r="S754" i="4"/>
  <c r="S753" i="4"/>
  <c r="S752" i="4"/>
  <c r="S751" i="4"/>
  <c r="S750" i="4"/>
  <c r="S748" i="4"/>
  <c r="S747" i="4"/>
  <c r="S745" i="4"/>
  <c r="S743" i="4"/>
  <c r="S742" i="4"/>
  <c r="S740" i="4"/>
  <c r="S739" i="4"/>
  <c r="S737" i="4"/>
  <c r="K709" i="4"/>
  <c r="S736" i="4"/>
  <c r="S734" i="4"/>
  <c r="S733" i="4"/>
  <c r="S731" i="4"/>
  <c r="S730" i="4"/>
  <c r="S727" i="4"/>
  <c r="S724" i="4"/>
  <c r="S721" i="4"/>
  <c r="S726" i="4"/>
  <c r="J752" i="4"/>
  <c r="K752" i="4" s="1"/>
  <c r="S723" i="4"/>
  <c r="S744" i="4"/>
  <c r="S732" i="4"/>
  <c r="S725" i="4"/>
  <c r="S719" i="4"/>
  <c r="J719" i="4"/>
  <c r="K719" i="4" s="1"/>
  <c r="S718" i="4"/>
  <c r="K716" i="4"/>
  <c r="S716" i="4"/>
  <c r="S715" i="4"/>
  <c r="K713" i="4"/>
  <c r="S713" i="4"/>
  <c r="S746" i="4"/>
  <c r="S749" i="4"/>
  <c r="S741" i="4"/>
  <c r="S714" i="4"/>
  <c r="S711" i="4"/>
  <c r="S712" i="4"/>
  <c r="S735" i="4"/>
  <c r="S717" i="4"/>
  <c r="S728" i="4"/>
  <c r="S729" i="4"/>
  <c r="S720" i="4"/>
  <c r="S738" i="4"/>
  <c r="S722" i="4"/>
  <c r="S710" i="4"/>
  <c r="K712" i="4"/>
  <c r="K717" i="4"/>
  <c r="K728" i="4"/>
  <c r="K735" i="4"/>
  <c r="K729" i="4"/>
  <c r="K720" i="4"/>
  <c r="K738" i="4"/>
  <c r="K722" i="4"/>
  <c r="K723" i="4"/>
  <c r="K755" i="4"/>
  <c r="K732" i="4"/>
  <c r="K725" i="4"/>
  <c r="K741" i="4"/>
  <c r="K726" i="4"/>
  <c r="K714" i="4"/>
  <c r="K711" i="4"/>
  <c r="J754" i="4"/>
  <c r="J751" i="4"/>
  <c r="J748" i="4"/>
  <c r="J743" i="4"/>
  <c r="J740" i="4"/>
  <c r="J737" i="4"/>
  <c r="J734" i="4"/>
  <c r="J731" i="4"/>
  <c r="S755" i="4"/>
  <c r="J753" i="4"/>
  <c r="J750" i="4"/>
  <c r="J747" i="4"/>
  <c r="J745" i="4"/>
  <c r="J742" i="4"/>
  <c r="J739" i="4"/>
  <c r="J736" i="4"/>
  <c r="J733" i="4"/>
  <c r="J730" i="4"/>
  <c r="J727" i="4"/>
  <c r="J724" i="4"/>
  <c r="J721" i="4"/>
  <c r="J718" i="4"/>
  <c r="J715" i="4"/>
  <c r="K749" i="4"/>
  <c r="K746" i="4"/>
  <c r="K744" i="4"/>
  <c r="R92" i="31"/>
  <c r="S709" i="4"/>
  <c r="S708" i="4"/>
  <c r="J710" i="4"/>
  <c r="K710" i="4" s="1"/>
  <c r="K706" i="4"/>
  <c r="K708" i="4"/>
  <c r="K707" i="4"/>
  <c r="S707" i="4"/>
  <c r="S676" i="4"/>
  <c r="K703" i="4"/>
  <c r="S702" i="4"/>
  <c r="J702" i="4"/>
  <c r="K702" i="4" s="1"/>
  <c r="S688" i="4"/>
  <c r="S706" i="4"/>
  <c r="S698" i="4"/>
  <c r="S703" i="4"/>
  <c r="S697" i="4"/>
  <c r="S705" i="4"/>
  <c r="S704" i="4"/>
  <c r="S700" i="4"/>
  <c r="S691" i="4"/>
  <c r="S701" i="4"/>
  <c r="S692" i="4"/>
  <c r="S694" i="4"/>
  <c r="S695" i="4"/>
  <c r="K701" i="4"/>
  <c r="K705" i="4"/>
  <c r="K704" i="4"/>
  <c r="K700" i="4"/>
  <c r="K691" i="4"/>
  <c r="K692" i="4"/>
  <c r="K693" i="4"/>
  <c r="K694" i="4"/>
  <c r="K695" i="4"/>
  <c r="K696" i="4"/>
  <c r="K697" i="4"/>
  <c r="K698" i="4"/>
  <c r="K699" i="4"/>
  <c r="K690" i="4"/>
  <c r="S699" i="4"/>
  <c r="S696" i="4"/>
  <c r="S693" i="4"/>
  <c r="S690" i="4"/>
  <c r="S687" i="4"/>
  <c r="S685" i="4"/>
  <c r="S684" i="4"/>
  <c r="S682" i="4"/>
  <c r="S679" i="4"/>
  <c r="J676" i="4"/>
  <c r="K676" i="4" s="1"/>
  <c r="S675" i="4"/>
  <c r="S677" i="4"/>
  <c r="S678" i="4"/>
  <c r="J684" i="4"/>
  <c r="K684" i="4" s="1"/>
  <c r="J685" i="4"/>
  <c r="K685" i="4" s="1"/>
  <c r="J688" i="4"/>
  <c r="K688" i="4" s="1"/>
  <c r="J687" i="4"/>
  <c r="K687" i="4" s="1"/>
  <c r="S681" i="4"/>
  <c r="S680" i="4"/>
  <c r="S683" i="4"/>
  <c r="S639" i="4"/>
  <c r="S686" i="4"/>
  <c r="J679" i="4"/>
  <c r="K679" i="4" s="1"/>
  <c r="S689" i="4"/>
  <c r="J682" i="4"/>
  <c r="K682" i="4" s="1"/>
  <c r="S674" i="4"/>
  <c r="S673" i="4"/>
  <c r="J673" i="4"/>
  <c r="K673" i="4" s="1"/>
  <c r="S672" i="4"/>
  <c r="S671" i="4"/>
  <c r="K674" i="4"/>
  <c r="K677" i="4"/>
  <c r="K680" i="4"/>
  <c r="K683" i="4"/>
  <c r="K686" i="4"/>
  <c r="K689" i="4"/>
  <c r="K671" i="4"/>
  <c r="K681" i="4"/>
  <c r="K678" i="4"/>
  <c r="K675" i="4"/>
  <c r="K672" i="4"/>
  <c r="K669" i="4"/>
  <c r="S665" i="4"/>
  <c r="K663" i="4"/>
  <c r="S659" i="4"/>
  <c r="S662" i="4"/>
  <c r="S663" i="4"/>
  <c r="J665" i="4"/>
  <c r="K665" i="4" s="1"/>
  <c r="K660" i="4"/>
  <c r="S660" i="4"/>
  <c r="K659" i="4"/>
  <c r="S669" i="4"/>
  <c r="S668" i="4"/>
  <c r="K670" i="4"/>
  <c r="K661" i="4"/>
  <c r="K667" i="4"/>
  <c r="K664" i="4"/>
  <c r="K666" i="4"/>
  <c r="S666" i="4"/>
  <c r="K658" i="4"/>
  <c r="S670" i="4"/>
  <c r="S667" i="4"/>
  <c r="S664" i="4"/>
  <c r="S661" i="4"/>
  <c r="S658" i="4"/>
  <c r="K668" i="4"/>
  <c r="K662" i="4"/>
  <c r="S657" i="4"/>
  <c r="S656" i="4"/>
  <c r="S654" i="4"/>
  <c r="S653" i="4"/>
  <c r="S651" i="4"/>
  <c r="S650" i="4"/>
  <c r="K648" i="4"/>
  <c r="S647" i="4"/>
  <c r="S645" i="4"/>
  <c r="S644" i="4"/>
  <c r="S642" i="4"/>
  <c r="S641" i="4"/>
  <c r="J645" i="4"/>
  <c r="K645" i="4" s="1"/>
  <c r="S648" i="4"/>
  <c r="K636" i="4"/>
  <c r="S633" i="4"/>
  <c r="S649" i="4"/>
  <c r="S630" i="4"/>
  <c r="S627" i="4"/>
  <c r="S624" i="4"/>
  <c r="J642" i="4"/>
  <c r="K642" i="4" s="1"/>
  <c r="S629" i="4"/>
  <c r="S632" i="4"/>
  <c r="S628" i="4"/>
  <c r="S655" i="4"/>
  <c r="J651" i="4"/>
  <c r="K651" i="4" s="1"/>
  <c r="J639" i="4"/>
  <c r="K639" i="4" s="1"/>
  <c r="S646" i="4"/>
  <c r="S631" i="4"/>
  <c r="J654" i="4"/>
  <c r="K654" i="4" s="1"/>
  <c r="S636" i="4"/>
  <c r="S635" i="4"/>
  <c r="S634" i="4"/>
  <c r="S637" i="4"/>
  <c r="S638" i="4"/>
  <c r="S640" i="4"/>
  <c r="S622" i="4"/>
  <c r="J657" i="4"/>
  <c r="K657" i="4" s="1"/>
  <c r="S652" i="4"/>
  <c r="S623" i="4"/>
  <c r="S643" i="4"/>
  <c r="S625" i="4"/>
  <c r="S626" i="4"/>
  <c r="S621" i="4"/>
  <c r="K638" i="4"/>
  <c r="K640" i="4"/>
  <c r="K635" i="4"/>
  <c r="K652" i="4"/>
  <c r="K643" i="4"/>
  <c r="K655" i="4"/>
  <c r="K637" i="4"/>
  <c r="K646" i="4"/>
  <c r="K649" i="4"/>
  <c r="K634" i="4"/>
  <c r="J656" i="4"/>
  <c r="J653" i="4"/>
  <c r="J650" i="4"/>
  <c r="J647" i="4"/>
  <c r="J644" i="4"/>
  <c r="J641" i="4"/>
  <c r="K623" i="4"/>
  <c r="K625" i="4"/>
  <c r="K629" i="4"/>
  <c r="K628" i="4"/>
  <c r="K626" i="4"/>
  <c r="K622" i="4"/>
  <c r="K631" i="4"/>
  <c r="K632" i="4"/>
  <c r="K620" i="4"/>
  <c r="S620" i="4"/>
  <c r="J633" i="4"/>
  <c r="J630" i="4"/>
  <c r="J627" i="4"/>
  <c r="J624" i="4"/>
  <c r="J621" i="4"/>
  <c r="S117" i="4"/>
  <c r="S154" i="4"/>
  <c r="S253" i="4"/>
  <c r="S255" i="4"/>
  <c r="S324" i="4"/>
  <c r="S325" i="4"/>
  <c r="S344" i="4"/>
  <c r="S360" i="4"/>
  <c r="S402" i="4"/>
  <c r="S403" i="4"/>
  <c r="S435" i="4"/>
  <c r="S436" i="4"/>
  <c r="S488" i="4"/>
  <c r="S521" i="4"/>
  <c r="S554" i="4"/>
  <c r="Z806" i="4" l="1"/>
  <c r="Z824" i="4"/>
  <c r="Z812" i="4"/>
  <c r="Z830" i="4"/>
  <c r="Z794" i="4"/>
  <c r="Z818" i="4"/>
  <c r="Z836" i="4"/>
  <c r="Z800" i="4"/>
  <c r="U806" i="4"/>
  <c r="U802" i="4"/>
  <c r="L44" i="25" s="1"/>
  <c r="U824" i="4"/>
  <c r="Z838" i="4"/>
  <c r="Z837" i="4"/>
  <c r="Z835" i="4"/>
  <c r="Z834" i="4"/>
  <c r="Z833" i="4"/>
  <c r="Z832" i="4"/>
  <c r="Z831" i="4"/>
  <c r="Z829" i="4"/>
  <c r="Z828" i="4"/>
  <c r="Z827" i="4"/>
  <c r="Z826" i="4"/>
  <c r="Z825" i="4"/>
  <c r="Z823" i="4"/>
  <c r="U800" i="4"/>
  <c r="Z822" i="4"/>
  <c r="Z821" i="4"/>
  <c r="Z820" i="4"/>
  <c r="Z819" i="4"/>
  <c r="Z817" i="4"/>
  <c r="Z816" i="4"/>
  <c r="Z815" i="4"/>
  <c r="Z814" i="4"/>
  <c r="Z813" i="4"/>
  <c r="Z811" i="4"/>
  <c r="Z810" i="4"/>
  <c r="Z809" i="4"/>
  <c r="Z808" i="4"/>
  <c r="Z807" i="4"/>
  <c r="Z805" i="4"/>
  <c r="Z804" i="4"/>
  <c r="Z803" i="4"/>
  <c r="Z802" i="4"/>
  <c r="Z801" i="4"/>
  <c r="Z799" i="4"/>
  <c r="Z798" i="4"/>
  <c r="Z797" i="4"/>
  <c r="Z796" i="4"/>
  <c r="Z795" i="4"/>
  <c r="Z793" i="4"/>
  <c r="Z776" i="4"/>
  <c r="Z712" i="4"/>
  <c r="Z709" i="4"/>
  <c r="Z762" i="4"/>
  <c r="Z761" i="4"/>
  <c r="Z788" i="4"/>
  <c r="Z785" i="4"/>
  <c r="U815" i="4"/>
  <c r="Z792" i="4"/>
  <c r="Z791" i="4"/>
  <c r="Z790" i="4"/>
  <c r="Z789" i="4"/>
  <c r="U788" i="4"/>
  <c r="Z787" i="4"/>
  <c r="Z786" i="4"/>
  <c r="Z784" i="4"/>
  <c r="Z783" i="4"/>
  <c r="Z782" i="4"/>
  <c r="Z781" i="4"/>
  <c r="Z780" i="4"/>
  <c r="Z779" i="4"/>
  <c r="Z778" i="4"/>
  <c r="Z777" i="4"/>
  <c r="U776" i="4"/>
  <c r="Z775" i="4"/>
  <c r="Z774" i="4"/>
  <c r="Z773" i="4"/>
  <c r="Z771" i="4"/>
  <c r="U784" i="4"/>
  <c r="U799" i="4"/>
  <c r="Z770" i="4"/>
  <c r="U770" i="4"/>
  <c r="Z768" i="4"/>
  <c r="Z767" i="4"/>
  <c r="U767" i="4"/>
  <c r="Z765" i="4"/>
  <c r="Z764" i="4"/>
  <c r="U790" i="4"/>
  <c r="U709" i="4"/>
  <c r="U833" i="4"/>
  <c r="U773" i="4"/>
  <c r="U797" i="4"/>
  <c r="U781" i="4"/>
  <c r="U758" i="4"/>
  <c r="U821" i="4"/>
  <c r="U782" i="4"/>
  <c r="U809" i="4"/>
  <c r="U791" i="4"/>
  <c r="U793" i="4"/>
  <c r="U787" i="4"/>
  <c r="U775" i="4"/>
  <c r="U827" i="4"/>
  <c r="U764" i="4"/>
  <c r="Z759" i="4"/>
  <c r="Z758" i="4"/>
  <c r="U779" i="4"/>
  <c r="Z756" i="4"/>
  <c r="U792" i="4"/>
  <c r="U804" i="4"/>
  <c r="U786" i="4"/>
  <c r="U795" i="4"/>
  <c r="L106" i="8" s="1"/>
  <c r="U789" i="4"/>
  <c r="U816" i="4"/>
  <c r="U756" i="4"/>
  <c r="U798" i="4"/>
  <c r="U807" i="4"/>
  <c r="U805" i="4"/>
  <c r="U814" i="4"/>
  <c r="U801" i="4"/>
  <c r="K757" i="4"/>
  <c r="U828" i="4"/>
  <c r="K760" i="4"/>
  <c r="U810" i="4"/>
  <c r="U829" i="4"/>
  <c r="U826" i="4"/>
  <c r="U813" i="4"/>
  <c r="K763" i="4"/>
  <c r="U759" i="4"/>
  <c r="K766" i="4"/>
  <c r="U822" i="4"/>
  <c r="U825" i="4"/>
  <c r="K769" i="4"/>
  <c r="U823" i="4"/>
  <c r="U762" i="4"/>
  <c r="U780" i="4"/>
  <c r="K772" i="4"/>
  <c r="U834" i="4"/>
  <c r="Z755" i="4"/>
  <c r="Z752" i="4"/>
  <c r="Z749" i="4"/>
  <c r="Z746" i="4"/>
  <c r="Z744" i="4"/>
  <c r="Z741" i="4"/>
  <c r="Z738" i="4"/>
  <c r="Z735" i="4"/>
  <c r="Z732" i="4"/>
  <c r="Z729" i="4"/>
  <c r="Z728" i="4"/>
  <c r="Z726" i="4"/>
  <c r="Z725" i="4"/>
  <c r="U755" i="4"/>
  <c r="Z723" i="4"/>
  <c r="Z722" i="4"/>
  <c r="U713" i="4"/>
  <c r="U728" i="4"/>
  <c r="U716" i="4"/>
  <c r="Z710" i="4"/>
  <c r="Z711" i="4"/>
  <c r="Z713" i="4"/>
  <c r="Z720" i="4"/>
  <c r="U719" i="4"/>
  <c r="Z719" i="4"/>
  <c r="Z717" i="4"/>
  <c r="Z716" i="4"/>
  <c r="Z714" i="4"/>
  <c r="U723" i="4"/>
  <c r="U729" i="4"/>
  <c r="K715" i="4"/>
  <c r="K750" i="4"/>
  <c r="K721" i="4"/>
  <c r="K718" i="4"/>
  <c r="K724" i="4"/>
  <c r="K731" i="4"/>
  <c r="U714" i="4"/>
  <c r="U735" i="4"/>
  <c r="K753" i="4"/>
  <c r="K727" i="4"/>
  <c r="K734" i="4"/>
  <c r="K730" i="4"/>
  <c r="K737" i="4"/>
  <c r="U722" i="4"/>
  <c r="K733" i="4"/>
  <c r="K740" i="4"/>
  <c r="U744" i="4"/>
  <c r="K736" i="4"/>
  <c r="K743" i="4"/>
  <c r="U752" i="4"/>
  <c r="K739" i="4"/>
  <c r="K742" i="4"/>
  <c r="K748" i="4"/>
  <c r="U746" i="4"/>
  <c r="U717" i="4"/>
  <c r="K751" i="4"/>
  <c r="U749" i="4"/>
  <c r="K745" i="4"/>
  <c r="K747" i="4"/>
  <c r="K754" i="4"/>
  <c r="U720" i="4"/>
  <c r="U712" i="4"/>
  <c r="K106" i="8" s="1"/>
  <c r="Z674" i="4"/>
  <c r="Z695" i="4"/>
  <c r="Z703" i="4"/>
  <c r="Z635" i="4"/>
  <c r="Z668" i="4"/>
  <c r="Z670" i="4"/>
  <c r="Z669" i="4"/>
  <c r="Z694" i="4"/>
  <c r="Z693" i="4"/>
  <c r="Z629" i="4"/>
  <c r="Z652" i="4"/>
  <c r="Z640" i="4"/>
  <c r="Z620" i="4"/>
  <c r="Z638" i="4"/>
  <c r="Z642" i="4"/>
  <c r="Z675" i="4"/>
  <c r="Z673" i="4"/>
  <c r="Z688" i="4"/>
  <c r="Z692" i="4"/>
  <c r="Z707" i="4"/>
  <c r="Z632" i="4"/>
  <c r="Z659" i="4"/>
  <c r="Z678" i="4"/>
  <c r="Z685" i="4"/>
  <c r="Z691" i="4"/>
  <c r="Z708" i="4"/>
  <c r="Z625" i="4"/>
  <c r="Z631" i="4"/>
  <c r="Z648" i="4"/>
  <c r="Z681" i="4"/>
  <c r="Z684" i="4"/>
  <c r="Z700" i="4"/>
  <c r="Z706" i="4"/>
  <c r="Z662" i="4"/>
  <c r="Z634" i="4"/>
  <c r="Z654" i="4"/>
  <c r="Z660" i="4"/>
  <c r="Z671" i="4"/>
  <c r="Z682" i="4"/>
  <c r="Z704" i="4"/>
  <c r="Z622" i="4"/>
  <c r="Z626" i="4"/>
  <c r="Z649" i="4"/>
  <c r="Z658" i="4"/>
  <c r="Z665" i="4"/>
  <c r="Z689" i="4"/>
  <c r="Z690" i="4"/>
  <c r="Z705" i="4"/>
  <c r="Z637" i="4"/>
  <c r="Z661" i="4"/>
  <c r="Z672" i="4"/>
  <c r="Z628" i="4"/>
  <c r="Z646" i="4"/>
  <c r="Z686" i="4"/>
  <c r="Z679" i="4"/>
  <c r="Z699" i="4"/>
  <c r="Z701" i="4"/>
  <c r="Z639" i="4"/>
  <c r="Z636" i="4"/>
  <c r="Z666" i="4"/>
  <c r="Z683" i="4"/>
  <c r="Z676" i="4"/>
  <c r="Z698" i="4"/>
  <c r="Z657" i="4"/>
  <c r="Z651" i="4"/>
  <c r="Z664" i="4"/>
  <c r="Z680" i="4"/>
  <c r="Z697" i="4"/>
  <c r="Z702" i="4"/>
  <c r="Z655" i="4"/>
  <c r="Z623" i="4"/>
  <c r="Z643" i="4"/>
  <c r="Z645" i="4"/>
  <c r="Z667" i="4"/>
  <c r="Z663" i="4"/>
  <c r="Z677" i="4"/>
  <c r="Z696" i="4"/>
  <c r="Z687" i="4"/>
  <c r="U707" i="4"/>
  <c r="U706" i="4"/>
  <c r="U708" i="4"/>
  <c r="U703" i="4"/>
  <c r="U699" i="4"/>
  <c r="U690" i="4"/>
  <c r="U694" i="4"/>
  <c r="U701" i="4"/>
  <c r="U702" i="4"/>
  <c r="U692" i="4"/>
  <c r="U691" i="4"/>
  <c r="U695" i="4"/>
  <c r="U696" i="4"/>
  <c r="U700" i="4"/>
  <c r="U679" i="4"/>
  <c r="U669" i="4"/>
  <c r="U686" i="4"/>
  <c r="U689" i="4"/>
  <c r="U678" i="4"/>
  <c r="U683" i="4"/>
  <c r="U684" i="4"/>
  <c r="J75" i="8" s="1"/>
  <c r="U671" i="4"/>
  <c r="U680" i="4"/>
  <c r="U675" i="4"/>
  <c r="U681" i="4"/>
  <c r="U677" i="4"/>
  <c r="U663" i="4"/>
  <c r="U660" i="4"/>
  <c r="U666" i="4"/>
  <c r="U667" i="4"/>
  <c r="U662" i="4"/>
  <c r="U658" i="4"/>
  <c r="U670" i="4"/>
  <c r="U664" i="4"/>
  <c r="U648" i="4"/>
  <c r="U642" i="4"/>
  <c r="U654" i="4"/>
  <c r="U657" i="4"/>
  <c r="U626" i="4"/>
  <c r="U651" i="4"/>
  <c r="U632" i="4"/>
  <c r="U640" i="4"/>
  <c r="U629" i="4"/>
  <c r="U623" i="4"/>
  <c r="U620" i="4"/>
  <c r="K644" i="4"/>
  <c r="U643" i="4"/>
  <c r="K647" i="4"/>
  <c r="K641" i="4"/>
  <c r="K650" i="4"/>
  <c r="U634" i="4"/>
  <c r="U652" i="4"/>
  <c r="K653" i="4"/>
  <c r="K656" i="4"/>
  <c r="U635" i="4"/>
  <c r="U637" i="4"/>
  <c r="U638" i="4"/>
  <c r="J54" i="25" s="1"/>
  <c r="K624" i="4"/>
  <c r="K621" i="4"/>
  <c r="K627" i="4"/>
  <c r="K630" i="4"/>
  <c r="K633" i="4"/>
  <c r="U625" i="4"/>
  <c r="U631" i="4"/>
  <c r="C54" i="25"/>
  <c r="D54" i="25"/>
  <c r="E54" i="25"/>
  <c r="F54" i="25"/>
  <c r="G54" i="25"/>
  <c r="H54" i="25"/>
  <c r="M54" i="25"/>
  <c r="N54" i="25"/>
  <c r="O54" i="25"/>
  <c r="P54" i="25"/>
  <c r="Q54" i="25"/>
  <c r="T54" i="25"/>
  <c r="C76" i="13"/>
  <c r="D76" i="13"/>
  <c r="E76" i="13"/>
  <c r="F76" i="13"/>
  <c r="G76" i="13"/>
  <c r="H76" i="13"/>
  <c r="M76" i="13"/>
  <c r="N76" i="13"/>
  <c r="O76" i="13"/>
  <c r="P76" i="13"/>
  <c r="Q76" i="13"/>
  <c r="T76" i="13"/>
  <c r="C115" i="31"/>
  <c r="D115" i="31"/>
  <c r="E115" i="31"/>
  <c r="F115" i="31"/>
  <c r="G115" i="31"/>
  <c r="H115" i="31"/>
  <c r="I115" i="31"/>
  <c r="J115" i="31"/>
  <c r="K115" i="31"/>
  <c r="L115" i="31"/>
  <c r="M115" i="31"/>
  <c r="N115" i="31"/>
  <c r="O115" i="31"/>
  <c r="P115" i="31"/>
  <c r="Q115" i="31"/>
  <c r="T118" i="22"/>
  <c r="C106" i="8"/>
  <c r="D106" i="8"/>
  <c r="E106" i="8"/>
  <c r="F106" i="8"/>
  <c r="G106" i="8"/>
  <c r="H106" i="8"/>
  <c r="M106" i="8"/>
  <c r="N106" i="8"/>
  <c r="O106" i="8"/>
  <c r="P106" i="8"/>
  <c r="Q106" i="8"/>
  <c r="T106" i="8"/>
  <c r="U106" i="8"/>
  <c r="AE106" i="8"/>
  <c r="AF106" i="8"/>
  <c r="M75" i="8"/>
  <c r="N75" i="8"/>
  <c r="O75" i="8"/>
  <c r="P75" i="8"/>
  <c r="Q75" i="8"/>
  <c r="AF72" i="8"/>
  <c r="AF93" i="8"/>
  <c r="AF75" i="8"/>
  <c r="AF108" i="8"/>
  <c r="AF109" i="8"/>
  <c r="AF112" i="8"/>
  <c r="AF113" i="8"/>
  <c r="AF114" i="8"/>
  <c r="AF107" i="8"/>
  <c r="AF101" i="8"/>
  <c r="AF98" i="8"/>
  <c r="AF115" i="8"/>
  <c r="AF110" i="8"/>
  <c r="AF116" i="8"/>
  <c r="AF117" i="8"/>
  <c r="AF119" i="8"/>
  <c r="AF111" i="8"/>
  <c r="AF83" i="8"/>
  <c r="AF90" i="8"/>
  <c r="B613" i="4"/>
  <c r="G613" i="4"/>
  <c r="I613" i="4" s="1"/>
  <c r="N613" i="4"/>
  <c r="O613" i="4"/>
  <c r="P613" i="4"/>
  <c r="Q613" i="4"/>
  <c r="R613" i="4"/>
  <c r="T613" i="4"/>
  <c r="W613" i="4"/>
  <c r="B614" i="4"/>
  <c r="G614" i="4"/>
  <c r="I614" i="4" s="1"/>
  <c r="N614" i="4"/>
  <c r="O614" i="4"/>
  <c r="P614" i="4"/>
  <c r="Q614" i="4"/>
  <c r="R614" i="4"/>
  <c r="T614" i="4"/>
  <c r="W614" i="4"/>
  <c r="X614" i="4"/>
  <c r="B615" i="4"/>
  <c r="G615" i="4"/>
  <c r="I615" i="4" s="1"/>
  <c r="N615" i="4"/>
  <c r="O615" i="4"/>
  <c r="P615" i="4"/>
  <c r="Q615" i="4"/>
  <c r="T615" i="4"/>
  <c r="W615" i="4"/>
  <c r="B616" i="4"/>
  <c r="G616" i="4"/>
  <c r="I616" i="4" s="1"/>
  <c r="N616" i="4"/>
  <c r="O616" i="4"/>
  <c r="P616" i="4"/>
  <c r="Q616" i="4"/>
  <c r="R616" i="4"/>
  <c r="T616" i="4"/>
  <c r="W616" i="4"/>
  <c r="B617" i="4"/>
  <c r="G617" i="4"/>
  <c r="I617" i="4" s="1"/>
  <c r="N617" i="4"/>
  <c r="O617" i="4"/>
  <c r="P617" i="4"/>
  <c r="Q617" i="4"/>
  <c r="R617" i="4"/>
  <c r="T617" i="4"/>
  <c r="W617" i="4"/>
  <c r="B618" i="4"/>
  <c r="G618" i="4"/>
  <c r="I618" i="4" s="1"/>
  <c r="N618" i="4"/>
  <c r="O618" i="4"/>
  <c r="P618" i="4"/>
  <c r="Q618" i="4"/>
  <c r="R618" i="4"/>
  <c r="T618" i="4"/>
  <c r="W618" i="4"/>
  <c r="X618" i="4"/>
  <c r="B619" i="4"/>
  <c r="G619" i="4"/>
  <c r="I619" i="4" s="1"/>
  <c r="N619" i="4"/>
  <c r="O619" i="4"/>
  <c r="P619" i="4"/>
  <c r="Q619" i="4"/>
  <c r="R619" i="4"/>
  <c r="T619" i="4"/>
  <c r="W619" i="4"/>
  <c r="X619" i="4"/>
  <c r="B600" i="4"/>
  <c r="G600" i="4"/>
  <c r="I600" i="4" s="1"/>
  <c r="N600" i="4"/>
  <c r="O600" i="4"/>
  <c r="P600" i="4"/>
  <c r="Q600" i="4"/>
  <c r="R600" i="4"/>
  <c r="T600" i="4"/>
  <c r="W600" i="4"/>
  <c r="B601" i="4"/>
  <c r="G601" i="4"/>
  <c r="I601" i="4" s="1"/>
  <c r="N601" i="4"/>
  <c r="O601" i="4"/>
  <c r="P601" i="4"/>
  <c r="Q601" i="4"/>
  <c r="R601" i="4"/>
  <c r="T601" i="4"/>
  <c r="W601" i="4"/>
  <c r="B602" i="4"/>
  <c r="G602" i="4"/>
  <c r="I602" i="4" s="1"/>
  <c r="N602" i="4"/>
  <c r="O602" i="4"/>
  <c r="P602" i="4"/>
  <c r="Q602" i="4"/>
  <c r="R602" i="4"/>
  <c r="T602" i="4"/>
  <c r="W602" i="4"/>
  <c r="B603" i="4"/>
  <c r="G603" i="4"/>
  <c r="I603" i="4" s="1"/>
  <c r="N603" i="4"/>
  <c r="O603" i="4"/>
  <c r="P603" i="4"/>
  <c r="Q603" i="4"/>
  <c r="R603" i="4"/>
  <c r="T603" i="4"/>
  <c r="W603" i="4"/>
  <c r="B604" i="4"/>
  <c r="G604" i="4"/>
  <c r="I604" i="4" s="1"/>
  <c r="N604" i="4"/>
  <c r="O604" i="4"/>
  <c r="P604" i="4"/>
  <c r="Q604" i="4"/>
  <c r="T604" i="4"/>
  <c r="W604" i="4"/>
  <c r="B605" i="4"/>
  <c r="G605" i="4"/>
  <c r="I605" i="4" s="1"/>
  <c r="N605" i="4"/>
  <c r="O605" i="4"/>
  <c r="P605" i="4"/>
  <c r="Q605" i="4"/>
  <c r="T605" i="4"/>
  <c r="W605" i="4"/>
  <c r="B606" i="4"/>
  <c r="G606" i="4"/>
  <c r="I606" i="4" s="1"/>
  <c r="N606" i="4"/>
  <c r="O606" i="4"/>
  <c r="P606" i="4"/>
  <c r="Q606" i="4"/>
  <c r="T606" i="4"/>
  <c r="W606" i="4"/>
  <c r="X606" i="4"/>
  <c r="B607" i="4"/>
  <c r="G607" i="4"/>
  <c r="I607" i="4" s="1"/>
  <c r="N607" i="4"/>
  <c r="O607" i="4"/>
  <c r="P607" i="4"/>
  <c r="Q607" i="4"/>
  <c r="T607" i="4"/>
  <c r="W607" i="4"/>
  <c r="B608" i="4"/>
  <c r="G608" i="4"/>
  <c r="I608" i="4" s="1"/>
  <c r="N608" i="4"/>
  <c r="O608" i="4"/>
  <c r="P608" i="4"/>
  <c r="Q608" i="4"/>
  <c r="R608" i="4"/>
  <c r="T608" i="4"/>
  <c r="W608" i="4"/>
  <c r="B609" i="4"/>
  <c r="G609" i="4"/>
  <c r="I609" i="4" s="1"/>
  <c r="N609" i="4"/>
  <c r="O609" i="4"/>
  <c r="P609" i="4"/>
  <c r="Q609" i="4"/>
  <c r="R609" i="4"/>
  <c r="T609" i="4"/>
  <c r="W609" i="4"/>
  <c r="B610" i="4"/>
  <c r="G610" i="4"/>
  <c r="I610" i="4" s="1"/>
  <c r="N610" i="4"/>
  <c r="O610" i="4"/>
  <c r="P610" i="4"/>
  <c r="Q610" i="4"/>
  <c r="R610" i="4"/>
  <c r="T610" i="4"/>
  <c r="W610" i="4"/>
  <c r="B611" i="4"/>
  <c r="G611" i="4"/>
  <c r="I611" i="4" s="1"/>
  <c r="N611" i="4"/>
  <c r="O611" i="4"/>
  <c r="P611" i="4"/>
  <c r="Q611" i="4"/>
  <c r="T611" i="4"/>
  <c r="W611" i="4"/>
  <c r="X611" i="4"/>
  <c r="B612" i="4"/>
  <c r="G612" i="4"/>
  <c r="I612" i="4" s="1"/>
  <c r="N612" i="4"/>
  <c r="O612" i="4"/>
  <c r="P612" i="4"/>
  <c r="Q612" i="4"/>
  <c r="R612" i="4"/>
  <c r="T612" i="4"/>
  <c r="W612" i="4"/>
  <c r="X612" i="4"/>
  <c r="R93" i="8" l="1"/>
  <c r="L66" i="13"/>
  <c r="L93" i="8"/>
  <c r="L42" i="25"/>
  <c r="L89" i="8"/>
  <c r="L63" i="13"/>
  <c r="L76" i="13"/>
  <c r="L54" i="25"/>
  <c r="K42" i="25"/>
  <c r="K89" i="8"/>
  <c r="K63" i="13"/>
  <c r="Z772" i="4"/>
  <c r="Z769" i="4"/>
  <c r="Z766" i="4"/>
  <c r="Z763" i="4"/>
  <c r="Z760" i="4"/>
  <c r="Z757" i="4"/>
  <c r="U757" i="4"/>
  <c r="U772" i="4"/>
  <c r="U766" i="4"/>
  <c r="Z754" i="4"/>
  <c r="Z753" i="4"/>
  <c r="Z751" i="4"/>
  <c r="Z750" i="4"/>
  <c r="Z748" i="4"/>
  <c r="Z747" i="4"/>
  <c r="Z745" i="4"/>
  <c r="Z743" i="4"/>
  <c r="Z742" i="4"/>
  <c r="Z740" i="4"/>
  <c r="Z739" i="4"/>
  <c r="Z737" i="4"/>
  <c r="Z736" i="4"/>
  <c r="Z734" i="4"/>
  <c r="Z733" i="4"/>
  <c r="Z731" i="4"/>
  <c r="Z730" i="4"/>
  <c r="Z727" i="4"/>
  <c r="Z724" i="4"/>
  <c r="Z721" i="4"/>
  <c r="K54" i="25"/>
  <c r="K76" i="13"/>
  <c r="U754" i="4"/>
  <c r="U734" i="4"/>
  <c r="K75" i="8" s="1"/>
  <c r="U727" i="4"/>
  <c r="Z718" i="4"/>
  <c r="Z715" i="4"/>
  <c r="U721" i="4"/>
  <c r="U748" i="4"/>
  <c r="U750" i="4"/>
  <c r="U743" i="4"/>
  <c r="U730" i="4"/>
  <c r="U724" i="4"/>
  <c r="U742" i="4"/>
  <c r="U740" i="4"/>
  <c r="U745" i="4"/>
  <c r="U753" i="4"/>
  <c r="U731" i="4"/>
  <c r="U715" i="4"/>
  <c r="Z630" i="4"/>
  <c r="Z650" i="4"/>
  <c r="Z627" i="4"/>
  <c r="Z641" i="4"/>
  <c r="Z621" i="4"/>
  <c r="Z647" i="4"/>
  <c r="Z644" i="4"/>
  <c r="Z633" i="4"/>
  <c r="Z624" i="4"/>
  <c r="Z656" i="4"/>
  <c r="Z653" i="4"/>
  <c r="J76" i="13"/>
  <c r="J106" i="8"/>
  <c r="S602" i="4"/>
  <c r="S616" i="4"/>
  <c r="S608" i="4"/>
  <c r="S605" i="4"/>
  <c r="S611" i="4"/>
  <c r="J617" i="4"/>
  <c r="K617" i="4" s="1"/>
  <c r="S617" i="4"/>
  <c r="J607" i="4"/>
  <c r="K607" i="4" s="1"/>
  <c r="S607" i="4"/>
  <c r="J604" i="4"/>
  <c r="K604" i="4" s="1"/>
  <c r="S604" i="4"/>
  <c r="J613" i="4"/>
  <c r="K613" i="4" s="1"/>
  <c r="S613" i="4"/>
  <c r="J603" i="4"/>
  <c r="K603" i="4" s="1"/>
  <c r="S603" i="4"/>
  <c r="J610" i="4"/>
  <c r="K610" i="4" s="1"/>
  <c r="S610" i="4"/>
  <c r="J609" i="4"/>
  <c r="K609" i="4" s="1"/>
  <c r="S609" i="4"/>
  <c r="J612" i="4"/>
  <c r="K612" i="4" s="1"/>
  <c r="S612" i="4"/>
  <c r="J614" i="4"/>
  <c r="K614" i="4" s="1"/>
  <c r="S614" i="4"/>
  <c r="J606" i="4"/>
  <c r="K606" i="4" s="1"/>
  <c r="S606" i="4"/>
  <c r="J600" i="4"/>
  <c r="K600" i="4" s="1"/>
  <c r="S600" i="4"/>
  <c r="J601" i="4"/>
  <c r="K601" i="4" s="1"/>
  <c r="S601" i="4"/>
  <c r="J615" i="4"/>
  <c r="K615" i="4" s="1"/>
  <c r="S615" i="4"/>
  <c r="J619" i="4"/>
  <c r="K619" i="4" s="1"/>
  <c r="S619" i="4"/>
  <c r="J618" i="4"/>
  <c r="K618" i="4" s="1"/>
  <c r="S618" i="4"/>
  <c r="U641" i="4"/>
  <c r="U656" i="4"/>
  <c r="U644" i="4"/>
  <c r="U633" i="4"/>
  <c r="U630" i="4"/>
  <c r="U627" i="4"/>
  <c r="U621" i="4"/>
  <c r="R115" i="31"/>
  <c r="J616" i="4"/>
  <c r="K616" i="4" s="1"/>
  <c r="J611" i="4"/>
  <c r="K611" i="4" s="1"/>
  <c r="J605" i="4"/>
  <c r="K605" i="4" s="1"/>
  <c r="J608" i="4"/>
  <c r="K608" i="4" s="1"/>
  <c r="J602" i="4"/>
  <c r="K602" i="4" s="1"/>
  <c r="B593" i="4"/>
  <c r="G593" i="4"/>
  <c r="I593" i="4" s="1"/>
  <c r="N593" i="4"/>
  <c r="O593" i="4"/>
  <c r="P593" i="4"/>
  <c r="Q593" i="4"/>
  <c r="T593" i="4"/>
  <c r="W593" i="4"/>
  <c r="X593" i="4"/>
  <c r="B594" i="4"/>
  <c r="G594" i="4"/>
  <c r="I594" i="4" s="1"/>
  <c r="N594" i="4"/>
  <c r="O594" i="4"/>
  <c r="P594" i="4"/>
  <c r="Q594" i="4"/>
  <c r="R594" i="4"/>
  <c r="T594" i="4"/>
  <c r="W594" i="4"/>
  <c r="B595" i="4"/>
  <c r="G595" i="4"/>
  <c r="I595" i="4" s="1"/>
  <c r="N595" i="4"/>
  <c r="O595" i="4"/>
  <c r="P595" i="4"/>
  <c r="Q595" i="4"/>
  <c r="R595" i="4"/>
  <c r="T595" i="4"/>
  <c r="W595" i="4"/>
  <c r="B596" i="4"/>
  <c r="G596" i="4"/>
  <c r="I596" i="4" s="1"/>
  <c r="N596" i="4"/>
  <c r="O596" i="4"/>
  <c r="P596" i="4"/>
  <c r="Q596" i="4"/>
  <c r="R596" i="4"/>
  <c r="T596" i="4"/>
  <c r="W596" i="4"/>
  <c r="B597" i="4"/>
  <c r="G597" i="4"/>
  <c r="I597" i="4" s="1"/>
  <c r="N597" i="4"/>
  <c r="O597" i="4"/>
  <c r="P597" i="4"/>
  <c r="Q597" i="4"/>
  <c r="T597" i="4"/>
  <c r="W597" i="4"/>
  <c r="B598" i="4"/>
  <c r="G598" i="4"/>
  <c r="I598" i="4" s="1"/>
  <c r="N598" i="4"/>
  <c r="O598" i="4"/>
  <c r="P598" i="4"/>
  <c r="Q598" i="4"/>
  <c r="T598" i="4"/>
  <c r="W598" i="4"/>
  <c r="B599" i="4"/>
  <c r="G599" i="4"/>
  <c r="I599" i="4" s="1"/>
  <c r="N599" i="4"/>
  <c r="O599" i="4"/>
  <c r="P599" i="4"/>
  <c r="Q599" i="4"/>
  <c r="T599" i="4"/>
  <c r="W599" i="4"/>
  <c r="B573" i="4"/>
  <c r="G573" i="4"/>
  <c r="I573" i="4" s="1"/>
  <c r="N573" i="4"/>
  <c r="O573" i="4"/>
  <c r="P573" i="4"/>
  <c r="Q573" i="4"/>
  <c r="R573" i="4"/>
  <c r="T573" i="4"/>
  <c r="W573" i="4"/>
  <c r="X573" i="4"/>
  <c r="B574" i="4"/>
  <c r="G574" i="4"/>
  <c r="I574" i="4" s="1"/>
  <c r="N574" i="4"/>
  <c r="O574" i="4"/>
  <c r="P574" i="4"/>
  <c r="Q574" i="4"/>
  <c r="R574" i="4"/>
  <c r="T574" i="4"/>
  <c r="W574" i="4"/>
  <c r="B575" i="4"/>
  <c r="G575" i="4"/>
  <c r="I575" i="4" s="1"/>
  <c r="N575" i="4"/>
  <c r="O575" i="4"/>
  <c r="P575" i="4"/>
  <c r="Q575" i="4"/>
  <c r="R575" i="4"/>
  <c r="T575" i="4"/>
  <c r="W575" i="4"/>
  <c r="X575" i="4"/>
  <c r="B576" i="4"/>
  <c r="G576" i="4"/>
  <c r="I576" i="4" s="1"/>
  <c r="N576" i="4"/>
  <c r="O576" i="4"/>
  <c r="P576" i="4"/>
  <c r="Q576" i="4"/>
  <c r="R576" i="4"/>
  <c r="T576" i="4"/>
  <c r="W576" i="4"/>
  <c r="X576" i="4"/>
  <c r="B577" i="4"/>
  <c r="G577" i="4"/>
  <c r="I577" i="4" s="1"/>
  <c r="N577" i="4"/>
  <c r="O577" i="4"/>
  <c r="P577" i="4"/>
  <c r="Q577" i="4"/>
  <c r="R577" i="4"/>
  <c r="T577" i="4"/>
  <c r="W577" i="4"/>
  <c r="B578" i="4"/>
  <c r="G578" i="4"/>
  <c r="I578" i="4" s="1"/>
  <c r="N578" i="4"/>
  <c r="O578" i="4"/>
  <c r="P578" i="4"/>
  <c r="Q578" i="4"/>
  <c r="R578" i="4"/>
  <c r="T578" i="4"/>
  <c r="W578" i="4"/>
  <c r="B579" i="4"/>
  <c r="G579" i="4"/>
  <c r="I579" i="4" s="1"/>
  <c r="N579" i="4"/>
  <c r="O579" i="4"/>
  <c r="P579" i="4"/>
  <c r="Q579" i="4"/>
  <c r="R579" i="4"/>
  <c r="T579" i="4"/>
  <c r="W579" i="4"/>
  <c r="B580" i="4"/>
  <c r="G580" i="4"/>
  <c r="I580" i="4" s="1"/>
  <c r="N580" i="4"/>
  <c r="O580" i="4"/>
  <c r="P580" i="4"/>
  <c r="Q580" i="4"/>
  <c r="R580" i="4"/>
  <c r="T580" i="4"/>
  <c r="W580" i="4"/>
  <c r="X580" i="4"/>
  <c r="B581" i="4"/>
  <c r="G581" i="4"/>
  <c r="I581" i="4" s="1"/>
  <c r="N581" i="4"/>
  <c r="O581" i="4"/>
  <c r="P581" i="4"/>
  <c r="Q581" i="4"/>
  <c r="T581" i="4"/>
  <c r="W581" i="4"/>
  <c r="B582" i="4"/>
  <c r="G582" i="4"/>
  <c r="I582" i="4" s="1"/>
  <c r="N582" i="4"/>
  <c r="O582" i="4"/>
  <c r="P582" i="4"/>
  <c r="Q582" i="4"/>
  <c r="R582" i="4"/>
  <c r="T582" i="4"/>
  <c r="W582" i="4"/>
  <c r="B583" i="4"/>
  <c r="G583" i="4"/>
  <c r="I583" i="4" s="1"/>
  <c r="N583" i="4"/>
  <c r="O583" i="4"/>
  <c r="P583" i="4"/>
  <c r="Q583" i="4"/>
  <c r="T583" i="4"/>
  <c r="W583" i="4"/>
  <c r="B584" i="4"/>
  <c r="G584" i="4"/>
  <c r="I584" i="4" s="1"/>
  <c r="N584" i="4"/>
  <c r="O584" i="4"/>
  <c r="P584" i="4"/>
  <c r="Q584" i="4"/>
  <c r="R584" i="4"/>
  <c r="T584" i="4"/>
  <c r="W584" i="4"/>
  <c r="B585" i="4"/>
  <c r="G585" i="4"/>
  <c r="I585" i="4" s="1"/>
  <c r="N585" i="4"/>
  <c r="O585" i="4"/>
  <c r="P585" i="4"/>
  <c r="Q585" i="4"/>
  <c r="T585" i="4"/>
  <c r="W585" i="4"/>
  <c r="B586" i="4"/>
  <c r="G586" i="4"/>
  <c r="I586" i="4" s="1"/>
  <c r="N586" i="4"/>
  <c r="O586" i="4"/>
  <c r="P586" i="4"/>
  <c r="Q586" i="4"/>
  <c r="T586" i="4"/>
  <c r="W586" i="4"/>
  <c r="B587" i="4"/>
  <c r="G587" i="4"/>
  <c r="I587" i="4" s="1"/>
  <c r="N587" i="4"/>
  <c r="O587" i="4"/>
  <c r="P587" i="4"/>
  <c r="Q587" i="4"/>
  <c r="T587" i="4"/>
  <c r="W587" i="4"/>
  <c r="B588" i="4"/>
  <c r="G588" i="4"/>
  <c r="I588" i="4" s="1"/>
  <c r="N588" i="4"/>
  <c r="O588" i="4"/>
  <c r="P588" i="4"/>
  <c r="Q588" i="4"/>
  <c r="R588" i="4"/>
  <c r="T588" i="4"/>
  <c r="W588" i="4"/>
  <c r="X588" i="4"/>
  <c r="B589" i="4"/>
  <c r="G589" i="4"/>
  <c r="I589" i="4" s="1"/>
  <c r="N589" i="4"/>
  <c r="O589" i="4"/>
  <c r="P589" i="4"/>
  <c r="Q589" i="4"/>
  <c r="R589" i="4"/>
  <c r="T589" i="4"/>
  <c r="W589" i="4"/>
  <c r="B590" i="4"/>
  <c r="G590" i="4"/>
  <c r="I590" i="4" s="1"/>
  <c r="N590" i="4"/>
  <c r="O590" i="4"/>
  <c r="P590" i="4"/>
  <c r="Q590" i="4"/>
  <c r="T590" i="4"/>
  <c r="W590" i="4"/>
  <c r="X590" i="4"/>
  <c r="B591" i="4"/>
  <c r="G591" i="4"/>
  <c r="I591" i="4" s="1"/>
  <c r="N591" i="4"/>
  <c r="O591" i="4"/>
  <c r="P591" i="4"/>
  <c r="Q591" i="4"/>
  <c r="T591" i="4"/>
  <c r="W591" i="4"/>
  <c r="B592" i="4"/>
  <c r="G592" i="4"/>
  <c r="I592" i="4" s="1"/>
  <c r="N592" i="4"/>
  <c r="O592" i="4"/>
  <c r="P592" i="4"/>
  <c r="Q592" i="4"/>
  <c r="R592" i="4"/>
  <c r="T592" i="4"/>
  <c r="W592" i="4"/>
  <c r="G539" i="4"/>
  <c r="B559" i="4"/>
  <c r="G559" i="4"/>
  <c r="I559" i="4" s="1"/>
  <c r="N559" i="4"/>
  <c r="O559" i="4"/>
  <c r="P559" i="4"/>
  <c r="Q559" i="4"/>
  <c r="R559" i="4"/>
  <c r="T559" i="4"/>
  <c r="W559" i="4"/>
  <c r="B560" i="4"/>
  <c r="G560" i="4"/>
  <c r="I560" i="4" s="1"/>
  <c r="N560" i="4"/>
  <c r="O560" i="4"/>
  <c r="P560" i="4"/>
  <c r="Q560" i="4"/>
  <c r="T560" i="4"/>
  <c r="W560" i="4"/>
  <c r="X560" i="4"/>
  <c r="B561" i="4"/>
  <c r="G561" i="4"/>
  <c r="I561" i="4" s="1"/>
  <c r="N561" i="4"/>
  <c r="O561" i="4"/>
  <c r="P561" i="4"/>
  <c r="Q561" i="4"/>
  <c r="T561" i="4"/>
  <c r="W561" i="4"/>
  <c r="X561" i="4"/>
  <c r="B562" i="4"/>
  <c r="G562" i="4"/>
  <c r="I562" i="4" s="1"/>
  <c r="N562" i="4"/>
  <c r="O562" i="4"/>
  <c r="P562" i="4"/>
  <c r="Q562" i="4"/>
  <c r="R562" i="4"/>
  <c r="T562" i="4"/>
  <c r="W562" i="4"/>
  <c r="X562" i="4"/>
  <c r="B563" i="4"/>
  <c r="G563" i="4"/>
  <c r="I563" i="4" s="1"/>
  <c r="N563" i="4"/>
  <c r="O563" i="4"/>
  <c r="P563" i="4"/>
  <c r="Q563" i="4"/>
  <c r="T563" i="4"/>
  <c r="W563" i="4"/>
  <c r="B564" i="4"/>
  <c r="G564" i="4"/>
  <c r="I564" i="4" s="1"/>
  <c r="N564" i="4"/>
  <c r="O564" i="4"/>
  <c r="P564" i="4"/>
  <c r="Q564" i="4"/>
  <c r="R564" i="4"/>
  <c r="T564" i="4"/>
  <c r="W564" i="4"/>
  <c r="B565" i="4"/>
  <c r="G565" i="4"/>
  <c r="I565" i="4" s="1"/>
  <c r="N565" i="4"/>
  <c r="O565" i="4"/>
  <c r="P565" i="4"/>
  <c r="Q565" i="4"/>
  <c r="R565" i="4"/>
  <c r="T565" i="4"/>
  <c r="W565" i="4"/>
  <c r="B566" i="4"/>
  <c r="G566" i="4"/>
  <c r="I566" i="4" s="1"/>
  <c r="N566" i="4"/>
  <c r="O566" i="4"/>
  <c r="P566" i="4"/>
  <c r="Q566" i="4"/>
  <c r="R566" i="4"/>
  <c r="T566" i="4"/>
  <c r="W566" i="4"/>
  <c r="X566" i="4"/>
  <c r="B567" i="4"/>
  <c r="G567" i="4"/>
  <c r="I567" i="4" s="1"/>
  <c r="N567" i="4"/>
  <c r="O567" i="4"/>
  <c r="P567" i="4"/>
  <c r="Q567" i="4"/>
  <c r="R567" i="4"/>
  <c r="T567" i="4"/>
  <c r="W567" i="4"/>
  <c r="X567" i="4"/>
  <c r="B568" i="4"/>
  <c r="G568" i="4"/>
  <c r="I568" i="4" s="1"/>
  <c r="N568" i="4"/>
  <c r="O568" i="4"/>
  <c r="P568" i="4"/>
  <c r="Q568" i="4"/>
  <c r="R568" i="4"/>
  <c r="T568" i="4"/>
  <c r="W568" i="4"/>
  <c r="B569" i="4"/>
  <c r="G569" i="4"/>
  <c r="I569" i="4" s="1"/>
  <c r="N569" i="4"/>
  <c r="O569" i="4"/>
  <c r="P569" i="4"/>
  <c r="Q569" i="4"/>
  <c r="R569" i="4"/>
  <c r="T569" i="4"/>
  <c r="W569" i="4"/>
  <c r="X569" i="4"/>
  <c r="B570" i="4"/>
  <c r="G570" i="4"/>
  <c r="I570" i="4" s="1"/>
  <c r="N570" i="4"/>
  <c r="O570" i="4"/>
  <c r="P570" i="4"/>
  <c r="Q570" i="4"/>
  <c r="T570" i="4"/>
  <c r="W570" i="4"/>
  <c r="B571" i="4"/>
  <c r="G571" i="4"/>
  <c r="I571" i="4" s="1"/>
  <c r="N571" i="4"/>
  <c r="O571" i="4"/>
  <c r="P571" i="4"/>
  <c r="Q571" i="4"/>
  <c r="T571" i="4"/>
  <c r="W571" i="4"/>
  <c r="X571" i="4"/>
  <c r="B572" i="4"/>
  <c r="G572" i="4"/>
  <c r="I572" i="4" s="1"/>
  <c r="N572" i="4"/>
  <c r="O572" i="4"/>
  <c r="P572" i="4"/>
  <c r="Q572" i="4"/>
  <c r="T572" i="4"/>
  <c r="W572" i="4"/>
  <c r="R44" i="25" l="1"/>
  <c r="R66" i="13"/>
  <c r="Z607" i="4"/>
  <c r="Z615" i="4"/>
  <c r="Z609" i="4"/>
  <c r="Z602" i="4"/>
  <c r="Z608" i="4"/>
  <c r="Z601" i="4"/>
  <c r="Z610" i="4"/>
  <c r="Z605" i="4"/>
  <c r="Z611" i="4"/>
  <c r="Z600" i="4"/>
  <c r="Z616" i="4"/>
  <c r="Z606" i="4"/>
  <c r="Z613" i="4"/>
  <c r="Z614" i="4"/>
  <c r="Z604" i="4"/>
  <c r="S575" i="4"/>
  <c r="S587" i="4"/>
  <c r="S586" i="4"/>
  <c r="S580" i="4"/>
  <c r="S581" i="4"/>
  <c r="Z617" i="4"/>
  <c r="Z612" i="4"/>
  <c r="S583" i="4"/>
  <c r="S577" i="4"/>
  <c r="S590" i="4"/>
  <c r="S584" i="4"/>
  <c r="S578" i="4"/>
  <c r="S592" i="4"/>
  <c r="Z603" i="4"/>
  <c r="J598" i="4"/>
  <c r="K598" i="4" s="1"/>
  <c r="S598" i="4"/>
  <c r="J568" i="4"/>
  <c r="K568" i="4" s="1"/>
  <c r="S568" i="4"/>
  <c r="J562" i="4"/>
  <c r="K562" i="4" s="1"/>
  <c r="S562" i="4"/>
  <c r="J599" i="4"/>
  <c r="K599" i="4" s="1"/>
  <c r="S599" i="4"/>
  <c r="J593" i="4"/>
  <c r="K593" i="4" s="1"/>
  <c r="S593" i="4"/>
  <c r="J563" i="4"/>
  <c r="K563" i="4" s="1"/>
  <c r="S563" i="4"/>
  <c r="Z619" i="4"/>
  <c r="J569" i="4"/>
  <c r="K569" i="4" s="1"/>
  <c r="S569" i="4"/>
  <c r="J591" i="4"/>
  <c r="K591" i="4" s="1"/>
  <c r="S591" i="4"/>
  <c r="J579" i="4"/>
  <c r="K579" i="4" s="1"/>
  <c r="S579" i="4"/>
  <c r="J573" i="4"/>
  <c r="K573" i="4" s="1"/>
  <c r="S573" i="4"/>
  <c r="J594" i="4"/>
  <c r="K594" i="4" s="1"/>
  <c r="S594" i="4"/>
  <c r="J585" i="4"/>
  <c r="K585" i="4" s="1"/>
  <c r="S585" i="4"/>
  <c r="S570" i="4"/>
  <c r="S564" i="4"/>
  <c r="J574" i="4"/>
  <c r="K574" i="4" s="1"/>
  <c r="S574" i="4"/>
  <c r="S595" i="4"/>
  <c r="J571" i="4"/>
  <c r="K571" i="4" s="1"/>
  <c r="S571" i="4"/>
  <c r="J565" i="4"/>
  <c r="K565" i="4" s="1"/>
  <c r="S565" i="4"/>
  <c r="J559" i="4"/>
  <c r="K559" i="4" s="1"/>
  <c r="S559" i="4"/>
  <c r="Z618" i="4"/>
  <c r="J596" i="4"/>
  <c r="K596" i="4" s="1"/>
  <c r="S596" i="4"/>
  <c r="S589" i="4"/>
  <c r="J572" i="4"/>
  <c r="K572" i="4" s="1"/>
  <c r="S572" i="4"/>
  <c r="J566" i="4"/>
  <c r="K566" i="4" s="1"/>
  <c r="S566" i="4"/>
  <c r="J560" i="4"/>
  <c r="K560" i="4" s="1"/>
  <c r="S560" i="4"/>
  <c r="J582" i="4"/>
  <c r="K582" i="4" s="1"/>
  <c r="S582" i="4"/>
  <c r="J576" i="4"/>
  <c r="K576" i="4" s="1"/>
  <c r="S576" i="4"/>
  <c r="J597" i="4"/>
  <c r="K597" i="4" s="1"/>
  <c r="S597" i="4"/>
  <c r="J588" i="4"/>
  <c r="K588" i="4" s="1"/>
  <c r="S588" i="4"/>
  <c r="S567" i="4"/>
  <c r="S561" i="4"/>
  <c r="U618" i="4"/>
  <c r="J595" i="4"/>
  <c r="K595" i="4" s="1"/>
  <c r="U609" i="4"/>
  <c r="U608" i="4"/>
  <c r="U613" i="4"/>
  <c r="U617" i="4"/>
  <c r="U619" i="4"/>
  <c r="U616" i="4"/>
  <c r="U614" i="4"/>
  <c r="U610" i="4"/>
  <c r="U602" i="4"/>
  <c r="U612" i="4"/>
  <c r="U600" i="4"/>
  <c r="U603" i="4"/>
  <c r="U601" i="4"/>
  <c r="J590" i="4"/>
  <c r="J587" i="4"/>
  <c r="J584" i="4"/>
  <c r="J581" i="4"/>
  <c r="J578" i="4"/>
  <c r="J575" i="4"/>
  <c r="J592" i="4"/>
  <c r="J589" i="4"/>
  <c r="J586" i="4"/>
  <c r="J583" i="4"/>
  <c r="J580" i="4"/>
  <c r="J577" i="4"/>
  <c r="K577" i="4" s="1"/>
  <c r="J567" i="4"/>
  <c r="K567" i="4" s="1"/>
  <c r="J570" i="4"/>
  <c r="K570" i="4" s="1"/>
  <c r="J561" i="4"/>
  <c r="K561" i="4" s="1"/>
  <c r="J564" i="4"/>
  <c r="K564" i="4" s="1"/>
  <c r="C91" i="31"/>
  <c r="D91" i="31"/>
  <c r="E91" i="31"/>
  <c r="F91" i="31"/>
  <c r="G91" i="31"/>
  <c r="H91" i="31"/>
  <c r="I91" i="31"/>
  <c r="J91" i="31"/>
  <c r="K91" i="31"/>
  <c r="L91" i="31"/>
  <c r="M91" i="31"/>
  <c r="N91" i="31"/>
  <c r="O91" i="31"/>
  <c r="P91" i="31"/>
  <c r="Q91" i="31"/>
  <c r="T83" i="22"/>
  <c r="C34" i="25"/>
  <c r="D34" i="25"/>
  <c r="E34" i="25"/>
  <c r="F34" i="25"/>
  <c r="G34" i="25"/>
  <c r="L34" i="25"/>
  <c r="Q34" i="25"/>
  <c r="T34" i="25"/>
  <c r="C52" i="13"/>
  <c r="D52" i="13"/>
  <c r="E52" i="13"/>
  <c r="F52" i="13"/>
  <c r="G52" i="13"/>
  <c r="L52" i="13"/>
  <c r="Q52" i="13"/>
  <c r="T52" i="13"/>
  <c r="C73" i="8"/>
  <c r="D73" i="8"/>
  <c r="E73" i="8"/>
  <c r="F73" i="8"/>
  <c r="G73" i="8"/>
  <c r="L73" i="8"/>
  <c r="Q73" i="8"/>
  <c r="T73" i="8"/>
  <c r="U83" i="8"/>
  <c r="AE83" i="8"/>
  <c r="Z562" i="4" l="1"/>
  <c r="Z563" i="4"/>
  <c r="Z560" i="4"/>
  <c r="Z593" i="4"/>
  <c r="Z566" i="4"/>
  <c r="Z571" i="4"/>
  <c r="Z599" i="4"/>
  <c r="Z595" i="4"/>
  <c r="Z579" i="4"/>
  <c r="Z574" i="4"/>
  <c r="Z561" i="4"/>
  <c r="Z569" i="4"/>
  <c r="Z564" i="4"/>
  <c r="Z597" i="4"/>
  <c r="Z570" i="4"/>
  <c r="Z576" i="4"/>
  <c r="Z598" i="4"/>
  <c r="Z572" i="4"/>
  <c r="Z567" i="4"/>
  <c r="Z585" i="4"/>
  <c r="Z559" i="4"/>
  <c r="Z591" i="4"/>
  <c r="Z594" i="4"/>
  <c r="Z588" i="4"/>
  <c r="Z573" i="4"/>
  <c r="Z568" i="4"/>
  <c r="Z565" i="4"/>
  <c r="Z582" i="4"/>
  <c r="Z596" i="4"/>
  <c r="U579" i="4"/>
  <c r="U595" i="4"/>
  <c r="U594" i="4"/>
  <c r="U574" i="4"/>
  <c r="U596" i="4"/>
  <c r="K580" i="4"/>
  <c r="K575" i="4"/>
  <c r="K583" i="4"/>
  <c r="K578" i="4"/>
  <c r="K586" i="4"/>
  <c r="K581" i="4"/>
  <c r="K589" i="4"/>
  <c r="K584" i="4"/>
  <c r="U588" i="4"/>
  <c r="K592" i="4"/>
  <c r="K587" i="4"/>
  <c r="K590" i="4"/>
  <c r="U582" i="4"/>
  <c r="U573" i="4"/>
  <c r="U576" i="4"/>
  <c r="I75" i="8" s="1"/>
  <c r="U567" i="4"/>
  <c r="U568" i="4"/>
  <c r="U564" i="4"/>
  <c r="U565" i="4"/>
  <c r="U559" i="4"/>
  <c r="U562" i="4"/>
  <c r="U566" i="4"/>
  <c r="U569" i="4"/>
  <c r="R91" i="31"/>
  <c r="U584" i="4" l="1"/>
  <c r="Z592" i="4"/>
  <c r="Z590" i="4"/>
  <c r="Z589" i="4"/>
  <c r="U589" i="4"/>
  <c r="Z587" i="4"/>
  <c r="Z586" i="4"/>
  <c r="Z584" i="4"/>
  <c r="Z583" i="4"/>
  <c r="Z581" i="4"/>
  <c r="Z580" i="4"/>
  <c r="Z578" i="4"/>
  <c r="U578" i="4"/>
  <c r="U577" i="4"/>
  <c r="Z577" i="4"/>
  <c r="Z575" i="4"/>
  <c r="U575" i="4"/>
  <c r="U592" i="4"/>
  <c r="U580" i="4"/>
  <c r="I73" i="8"/>
  <c r="I34" i="25"/>
  <c r="I52" i="13"/>
  <c r="R477" i="4"/>
  <c r="R478" i="4"/>
  <c r="R480" i="4"/>
  <c r="R482" i="4"/>
  <c r="R484" i="4"/>
  <c r="R485" i="4"/>
  <c r="R486" i="4"/>
  <c r="R487" i="4"/>
  <c r="R488" i="4"/>
  <c r="R490" i="4"/>
  <c r="R492" i="4"/>
  <c r="R493" i="4"/>
  <c r="R494" i="4"/>
  <c r="R495" i="4"/>
  <c r="R496" i="4"/>
  <c r="R497" i="4"/>
  <c r="R498" i="4"/>
  <c r="R499" i="4"/>
  <c r="R500" i="4"/>
  <c r="R501" i="4"/>
  <c r="R502" i="4"/>
  <c r="R506" i="4"/>
  <c r="R507" i="4"/>
  <c r="R509" i="4"/>
  <c r="R510" i="4"/>
  <c r="R511" i="4"/>
  <c r="R512" i="4"/>
  <c r="R513" i="4"/>
  <c r="R514" i="4"/>
  <c r="R515" i="4"/>
  <c r="R516" i="4"/>
  <c r="R521" i="4"/>
  <c r="R522" i="4"/>
  <c r="R523" i="4"/>
  <c r="R524" i="4"/>
  <c r="R527" i="4"/>
  <c r="R529" i="4"/>
  <c r="R530" i="4"/>
  <c r="R531" i="4"/>
  <c r="R532" i="4"/>
  <c r="R533" i="4"/>
  <c r="R535" i="4"/>
  <c r="R536" i="4"/>
  <c r="R538" i="4"/>
  <c r="R539" i="4"/>
  <c r="R541" i="4"/>
  <c r="R542" i="4"/>
  <c r="R545" i="4"/>
  <c r="R546" i="4"/>
  <c r="R548" i="4"/>
  <c r="R549" i="4"/>
  <c r="R551" i="4"/>
  <c r="R552" i="4"/>
  <c r="R553" i="4"/>
  <c r="R554" i="4"/>
  <c r="R556" i="4"/>
  <c r="R557" i="4"/>
  <c r="R558" i="4"/>
  <c r="Q476" i="4"/>
  <c r="Q477" i="4"/>
  <c r="Q478" i="4"/>
  <c r="Q479" i="4"/>
  <c r="Q480" i="4"/>
  <c r="Q481" i="4"/>
  <c r="Q482" i="4"/>
  <c r="Q483" i="4"/>
  <c r="Q484" i="4"/>
  <c r="Q485" i="4"/>
  <c r="Q486" i="4"/>
  <c r="Q487" i="4"/>
  <c r="Q488" i="4"/>
  <c r="Q489" i="4"/>
  <c r="Q490" i="4"/>
  <c r="Q491" i="4"/>
  <c r="Q492" i="4"/>
  <c r="Q493" i="4"/>
  <c r="Q494" i="4"/>
  <c r="Q495" i="4"/>
  <c r="Q496" i="4"/>
  <c r="Q497" i="4"/>
  <c r="Q498" i="4"/>
  <c r="Q499" i="4"/>
  <c r="Q500" i="4"/>
  <c r="Q501" i="4"/>
  <c r="Q502" i="4"/>
  <c r="Q503" i="4"/>
  <c r="Q504" i="4"/>
  <c r="Q505" i="4"/>
  <c r="Q506" i="4"/>
  <c r="Q507" i="4"/>
  <c r="Q508" i="4"/>
  <c r="Q509" i="4"/>
  <c r="Q510" i="4"/>
  <c r="Q511" i="4"/>
  <c r="Q512" i="4"/>
  <c r="Q513" i="4"/>
  <c r="Q514" i="4"/>
  <c r="Q515" i="4"/>
  <c r="Q516" i="4"/>
  <c r="Q517" i="4"/>
  <c r="Q518" i="4"/>
  <c r="Q519" i="4"/>
  <c r="Q520" i="4"/>
  <c r="Q521" i="4"/>
  <c r="Q522" i="4"/>
  <c r="Q523" i="4"/>
  <c r="Q524" i="4"/>
  <c r="Q525" i="4"/>
  <c r="Q526" i="4"/>
  <c r="Q527" i="4"/>
  <c r="Q528" i="4"/>
  <c r="Q529" i="4"/>
  <c r="Q530" i="4"/>
  <c r="Q531" i="4"/>
  <c r="Q532" i="4"/>
  <c r="Q533" i="4"/>
  <c r="Q534" i="4"/>
  <c r="Q535" i="4"/>
  <c r="Q536" i="4"/>
  <c r="Q537" i="4"/>
  <c r="Q538" i="4"/>
  <c r="Q539" i="4"/>
  <c r="Q540" i="4"/>
  <c r="Q541" i="4"/>
  <c r="Q542" i="4"/>
  <c r="Q543" i="4"/>
  <c r="Q544" i="4"/>
  <c r="Q545" i="4"/>
  <c r="Q546" i="4"/>
  <c r="Q547" i="4"/>
  <c r="Q548" i="4"/>
  <c r="Q549" i="4"/>
  <c r="Q550" i="4"/>
  <c r="Q551" i="4"/>
  <c r="Q552" i="4"/>
  <c r="Q553" i="4"/>
  <c r="Q554" i="4"/>
  <c r="Q555" i="4"/>
  <c r="Q556" i="4"/>
  <c r="Q557" i="4"/>
  <c r="Q558" i="4"/>
  <c r="B450" i="4" l="1"/>
  <c r="G450" i="4"/>
  <c r="I450" i="4" s="1"/>
  <c r="N450" i="4"/>
  <c r="O450" i="4"/>
  <c r="P450" i="4"/>
  <c r="Q450" i="4"/>
  <c r="R450" i="4"/>
  <c r="T450" i="4"/>
  <c r="W450" i="4"/>
  <c r="B451" i="4"/>
  <c r="G451" i="4"/>
  <c r="I451" i="4" s="1"/>
  <c r="N451" i="4"/>
  <c r="O451" i="4"/>
  <c r="P451" i="4"/>
  <c r="Q451" i="4"/>
  <c r="R451" i="4"/>
  <c r="T451" i="4"/>
  <c r="W451" i="4"/>
  <c r="X451" i="4"/>
  <c r="B452" i="4"/>
  <c r="G452" i="4"/>
  <c r="I452" i="4" s="1"/>
  <c r="N452" i="4"/>
  <c r="O452" i="4"/>
  <c r="P452" i="4"/>
  <c r="Q452" i="4"/>
  <c r="R452" i="4"/>
  <c r="T452" i="4"/>
  <c r="W452" i="4"/>
  <c r="B453" i="4"/>
  <c r="G453" i="4"/>
  <c r="I453" i="4" s="1"/>
  <c r="N453" i="4"/>
  <c r="O453" i="4"/>
  <c r="P453" i="4"/>
  <c r="Q453" i="4"/>
  <c r="R453" i="4"/>
  <c r="T453" i="4"/>
  <c r="W453" i="4"/>
  <c r="B454" i="4"/>
  <c r="G454" i="4"/>
  <c r="I454" i="4" s="1"/>
  <c r="N454" i="4"/>
  <c r="O454" i="4"/>
  <c r="P454" i="4"/>
  <c r="Q454" i="4"/>
  <c r="R454" i="4"/>
  <c r="T454" i="4"/>
  <c r="W454" i="4"/>
  <c r="B455" i="4"/>
  <c r="G455" i="4"/>
  <c r="I455" i="4" s="1"/>
  <c r="N455" i="4"/>
  <c r="O455" i="4"/>
  <c r="P455" i="4"/>
  <c r="Q455" i="4"/>
  <c r="R455" i="4"/>
  <c r="T455" i="4"/>
  <c r="W455" i="4"/>
  <c r="X455" i="4"/>
  <c r="B456" i="4"/>
  <c r="G456" i="4"/>
  <c r="I456" i="4" s="1"/>
  <c r="N456" i="4"/>
  <c r="O456" i="4"/>
  <c r="P456" i="4"/>
  <c r="Q456" i="4"/>
  <c r="R456" i="4"/>
  <c r="T456" i="4"/>
  <c r="W456" i="4"/>
  <c r="X456" i="4"/>
  <c r="B457" i="4"/>
  <c r="G457" i="4"/>
  <c r="I457" i="4" s="1"/>
  <c r="N457" i="4"/>
  <c r="O457" i="4"/>
  <c r="P457" i="4"/>
  <c r="Q457" i="4"/>
  <c r="T457" i="4"/>
  <c r="W457" i="4"/>
  <c r="X457" i="4"/>
  <c r="B458" i="4"/>
  <c r="G458" i="4"/>
  <c r="I458" i="4" s="1"/>
  <c r="N458" i="4"/>
  <c r="O458" i="4"/>
  <c r="P458" i="4"/>
  <c r="Q458" i="4"/>
  <c r="T458" i="4"/>
  <c r="W458" i="4"/>
  <c r="X458" i="4"/>
  <c r="B459" i="4"/>
  <c r="G459" i="4"/>
  <c r="I459" i="4" s="1"/>
  <c r="N459" i="4"/>
  <c r="O459" i="4"/>
  <c r="P459" i="4"/>
  <c r="Q459" i="4"/>
  <c r="T459" i="4"/>
  <c r="W459" i="4"/>
  <c r="B460" i="4"/>
  <c r="G460" i="4"/>
  <c r="I460" i="4" s="1"/>
  <c r="N460" i="4"/>
  <c r="O460" i="4"/>
  <c r="P460" i="4"/>
  <c r="Q460" i="4"/>
  <c r="R460" i="4"/>
  <c r="T460" i="4"/>
  <c r="W460" i="4"/>
  <c r="B461" i="4"/>
  <c r="G461" i="4"/>
  <c r="I461" i="4" s="1"/>
  <c r="N461" i="4"/>
  <c r="O461" i="4"/>
  <c r="P461" i="4"/>
  <c r="Q461" i="4"/>
  <c r="T461" i="4"/>
  <c r="W461" i="4"/>
  <c r="B462" i="4"/>
  <c r="G462" i="4"/>
  <c r="I462" i="4" s="1"/>
  <c r="N462" i="4"/>
  <c r="O462" i="4"/>
  <c r="P462" i="4"/>
  <c r="Q462" i="4"/>
  <c r="R462" i="4"/>
  <c r="T462" i="4"/>
  <c r="W462" i="4"/>
  <c r="B463" i="4"/>
  <c r="G463" i="4"/>
  <c r="I463" i="4" s="1"/>
  <c r="N463" i="4"/>
  <c r="O463" i="4"/>
  <c r="P463" i="4"/>
  <c r="Q463" i="4"/>
  <c r="R463" i="4"/>
  <c r="T463" i="4"/>
  <c r="W463" i="4"/>
  <c r="B464" i="4"/>
  <c r="G464" i="4"/>
  <c r="I464" i="4" s="1"/>
  <c r="N464" i="4"/>
  <c r="O464" i="4"/>
  <c r="P464" i="4"/>
  <c r="Q464" i="4"/>
  <c r="R464" i="4"/>
  <c r="T464" i="4"/>
  <c r="W464" i="4"/>
  <c r="B465" i="4"/>
  <c r="G465" i="4"/>
  <c r="I465" i="4" s="1"/>
  <c r="N465" i="4"/>
  <c r="O465" i="4"/>
  <c r="P465" i="4"/>
  <c r="Q465" i="4"/>
  <c r="T465" i="4"/>
  <c r="W465" i="4"/>
  <c r="B466" i="4"/>
  <c r="G466" i="4"/>
  <c r="I466" i="4" s="1"/>
  <c r="N466" i="4"/>
  <c r="O466" i="4"/>
  <c r="P466" i="4"/>
  <c r="Q466" i="4"/>
  <c r="R466" i="4"/>
  <c r="T466" i="4"/>
  <c r="W466" i="4"/>
  <c r="X466" i="4"/>
  <c r="B467" i="4"/>
  <c r="G467" i="4"/>
  <c r="I467" i="4" s="1"/>
  <c r="N467" i="4"/>
  <c r="O467" i="4"/>
  <c r="P467" i="4"/>
  <c r="Q467" i="4"/>
  <c r="T467" i="4"/>
  <c r="W467" i="4"/>
  <c r="B468" i="4"/>
  <c r="G468" i="4"/>
  <c r="I468" i="4" s="1"/>
  <c r="N468" i="4"/>
  <c r="O468" i="4"/>
  <c r="P468" i="4"/>
  <c r="Q468" i="4"/>
  <c r="R468" i="4"/>
  <c r="T468" i="4"/>
  <c r="W468" i="4"/>
  <c r="B469" i="4"/>
  <c r="G469" i="4"/>
  <c r="I469" i="4" s="1"/>
  <c r="N469" i="4"/>
  <c r="O469" i="4"/>
  <c r="P469" i="4"/>
  <c r="Q469" i="4"/>
  <c r="T469" i="4"/>
  <c r="W469" i="4"/>
  <c r="B470" i="4"/>
  <c r="G470" i="4"/>
  <c r="I470" i="4" s="1"/>
  <c r="N470" i="4"/>
  <c r="O470" i="4"/>
  <c r="P470" i="4"/>
  <c r="Q470" i="4"/>
  <c r="T470" i="4"/>
  <c r="W470" i="4"/>
  <c r="B471" i="4"/>
  <c r="G471" i="4"/>
  <c r="I471" i="4" s="1"/>
  <c r="N471" i="4"/>
  <c r="O471" i="4"/>
  <c r="P471" i="4"/>
  <c r="Q471" i="4"/>
  <c r="T471" i="4"/>
  <c r="W471" i="4"/>
  <c r="X471" i="4"/>
  <c r="B472" i="4"/>
  <c r="G472" i="4"/>
  <c r="I472" i="4" s="1"/>
  <c r="N472" i="4"/>
  <c r="O472" i="4"/>
  <c r="P472" i="4"/>
  <c r="Q472" i="4"/>
  <c r="R472" i="4"/>
  <c r="T472" i="4"/>
  <c r="W472" i="4"/>
  <c r="X472" i="4"/>
  <c r="B473" i="4"/>
  <c r="G473" i="4"/>
  <c r="I473" i="4" s="1"/>
  <c r="N473" i="4"/>
  <c r="O473" i="4"/>
  <c r="P473" i="4"/>
  <c r="Q473" i="4"/>
  <c r="T473" i="4"/>
  <c r="W473" i="4"/>
  <c r="B474" i="4"/>
  <c r="G474" i="4"/>
  <c r="I474" i="4" s="1"/>
  <c r="N474" i="4"/>
  <c r="O474" i="4"/>
  <c r="P474" i="4"/>
  <c r="Q474" i="4"/>
  <c r="R474" i="4"/>
  <c r="T474" i="4"/>
  <c r="W474" i="4"/>
  <c r="B475" i="4"/>
  <c r="G475" i="4"/>
  <c r="I475" i="4" s="1"/>
  <c r="N475" i="4"/>
  <c r="O475" i="4"/>
  <c r="P475" i="4"/>
  <c r="Q475" i="4"/>
  <c r="T475" i="4"/>
  <c r="W475" i="4"/>
  <c r="B476" i="4"/>
  <c r="G476" i="4"/>
  <c r="I476" i="4" s="1"/>
  <c r="N476" i="4"/>
  <c r="O476" i="4"/>
  <c r="P476" i="4"/>
  <c r="T476" i="4"/>
  <c r="W476" i="4"/>
  <c r="B477" i="4"/>
  <c r="G477" i="4"/>
  <c r="I477" i="4" s="1"/>
  <c r="N477" i="4"/>
  <c r="O477" i="4"/>
  <c r="P477" i="4"/>
  <c r="T477" i="4"/>
  <c r="W477" i="4"/>
  <c r="B478" i="4"/>
  <c r="G478" i="4"/>
  <c r="I478" i="4" s="1"/>
  <c r="N478" i="4"/>
  <c r="O478" i="4"/>
  <c r="P478" i="4"/>
  <c r="T478" i="4"/>
  <c r="W478" i="4"/>
  <c r="B479" i="4"/>
  <c r="G479" i="4"/>
  <c r="I479" i="4" s="1"/>
  <c r="N479" i="4"/>
  <c r="O479" i="4"/>
  <c r="P479" i="4"/>
  <c r="T479" i="4"/>
  <c r="W479" i="4"/>
  <c r="B480" i="4"/>
  <c r="G480" i="4"/>
  <c r="I480" i="4" s="1"/>
  <c r="N480" i="4"/>
  <c r="O480" i="4"/>
  <c r="P480" i="4"/>
  <c r="T480" i="4"/>
  <c r="W480" i="4"/>
  <c r="B481" i="4"/>
  <c r="G481" i="4"/>
  <c r="I481" i="4" s="1"/>
  <c r="N481" i="4"/>
  <c r="O481" i="4"/>
  <c r="P481" i="4"/>
  <c r="T481" i="4"/>
  <c r="W481" i="4"/>
  <c r="X481" i="4"/>
  <c r="B482" i="4"/>
  <c r="G482" i="4"/>
  <c r="I482" i="4" s="1"/>
  <c r="N482" i="4"/>
  <c r="O482" i="4"/>
  <c r="P482" i="4"/>
  <c r="T482" i="4"/>
  <c r="W482" i="4"/>
  <c r="B483" i="4"/>
  <c r="G483" i="4"/>
  <c r="I483" i="4" s="1"/>
  <c r="N483" i="4"/>
  <c r="O483" i="4"/>
  <c r="P483" i="4"/>
  <c r="T483" i="4"/>
  <c r="W483" i="4"/>
  <c r="X483" i="4"/>
  <c r="B484" i="4"/>
  <c r="G484" i="4"/>
  <c r="I484" i="4" s="1"/>
  <c r="N484" i="4"/>
  <c r="O484" i="4"/>
  <c r="P484" i="4"/>
  <c r="T484" i="4"/>
  <c r="W484" i="4"/>
  <c r="B485" i="4"/>
  <c r="G485" i="4"/>
  <c r="I485" i="4" s="1"/>
  <c r="N485" i="4"/>
  <c r="O485" i="4"/>
  <c r="P485" i="4"/>
  <c r="T485" i="4"/>
  <c r="W485" i="4"/>
  <c r="B486" i="4"/>
  <c r="G486" i="4"/>
  <c r="I486" i="4" s="1"/>
  <c r="N486" i="4"/>
  <c r="O486" i="4"/>
  <c r="P486" i="4"/>
  <c r="T486" i="4"/>
  <c r="W486" i="4"/>
  <c r="X486" i="4"/>
  <c r="B487" i="4"/>
  <c r="G487" i="4"/>
  <c r="I487" i="4" s="1"/>
  <c r="N487" i="4"/>
  <c r="O487" i="4"/>
  <c r="P487" i="4"/>
  <c r="T487" i="4"/>
  <c r="W487" i="4"/>
  <c r="B488" i="4"/>
  <c r="G488" i="4"/>
  <c r="N488" i="4"/>
  <c r="O488" i="4"/>
  <c r="P488" i="4"/>
  <c r="T488" i="4"/>
  <c r="W488" i="4"/>
  <c r="B489" i="4"/>
  <c r="G489" i="4"/>
  <c r="I489" i="4" s="1"/>
  <c r="N489" i="4"/>
  <c r="O489" i="4"/>
  <c r="P489" i="4"/>
  <c r="T489" i="4"/>
  <c r="W489" i="4"/>
  <c r="B490" i="4"/>
  <c r="G490" i="4"/>
  <c r="I490" i="4" s="1"/>
  <c r="N490" i="4"/>
  <c r="O490" i="4"/>
  <c r="P490" i="4"/>
  <c r="T490" i="4"/>
  <c r="W490" i="4"/>
  <c r="X490" i="4"/>
  <c r="B491" i="4"/>
  <c r="G491" i="4"/>
  <c r="I491" i="4" s="1"/>
  <c r="N491" i="4"/>
  <c r="O491" i="4"/>
  <c r="P491" i="4"/>
  <c r="T491" i="4"/>
  <c r="W491" i="4"/>
  <c r="B492" i="4"/>
  <c r="G492" i="4"/>
  <c r="I492" i="4" s="1"/>
  <c r="N492" i="4"/>
  <c r="O492" i="4"/>
  <c r="P492" i="4"/>
  <c r="T492" i="4"/>
  <c r="W492" i="4"/>
  <c r="X492" i="4"/>
  <c r="B493" i="4"/>
  <c r="G493" i="4"/>
  <c r="I493" i="4" s="1"/>
  <c r="N493" i="4"/>
  <c r="O493" i="4"/>
  <c r="P493" i="4"/>
  <c r="T493" i="4"/>
  <c r="W493" i="4"/>
  <c r="B494" i="4"/>
  <c r="G494" i="4"/>
  <c r="I494" i="4" s="1"/>
  <c r="N494" i="4"/>
  <c r="O494" i="4"/>
  <c r="P494" i="4"/>
  <c r="T494" i="4"/>
  <c r="W494" i="4"/>
  <c r="X494" i="4"/>
  <c r="B495" i="4"/>
  <c r="G495" i="4"/>
  <c r="I495" i="4" s="1"/>
  <c r="N495" i="4"/>
  <c r="O495" i="4"/>
  <c r="P495" i="4"/>
  <c r="T495" i="4"/>
  <c r="W495" i="4"/>
  <c r="B496" i="4"/>
  <c r="G496" i="4"/>
  <c r="I496" i="4" s="1"/>
  <c r="N496" i="4"/>
  <c r="O496" i="4"/>
  <c r="P496" i="4"/>
  <c r="T496" i="4"/>
  <c r="W496" i="4"/>
  <c r="X496" i="4"/>
  <c r="B497" i="4"/>
  <c r="G497" i="4"/>
  <c r="I497" i="4" s="1"/>
  <c r="N497" i="4"/>
  <c r="O497" i="4"/>
  <c r="P497" i="4"/>
  <c r="T497" i="4"/>
  <c r="W497" i="4"/>
  <c r="X497" i="4"/>
  <c r="B498" i="4"/>
  <c r="G498" i="4"/>
  <c r="I498" i="4" s="1"/>
  <c r="N498" i="4"/>
  <c r="O498" i="4"/>
  <c r="P498" i="4"/>
  <c r="T498" i="4"/>
  <c r="W498" i="4"/>
  <c r="B499" i="4"/>
  <c r="G499" i="4"/>
  <c r="I499" i="4" s="1"/>
  <c r="N499" i="4"/>
  <c r="O499" i="4"/>
  <c r="P499" i="4"/>
  <c r="T499" i="4"/>
  <c r="W499" i="4"/>
  <c r="B500" i="4"/>
  <c r="G500" i="4"/>
  <c r="I500" i="4" s="1"/>
  <c r="N500" i="4"/>
  <c r="O500" i="4"/>
  <c r="P500" i="4"/>
  <c r="T500" i="4"/>
  <c r="W500" i="4"/>
  <c r="X500" i="4"/>
  <c r="B501" i="4"/>
  <c r="G501" i="4"/>
  <c r="I501" i="4" s="1"/>
  <c r="N501" i="4"/>
  <c r="O501" i="4"/>
  <c r="P501" i="4"/>
  <c r="T501" i="4"/>
  <c r="W501" i="4"/>
  <c r="X501" i="4"/>
  <c r="B502" i="4"/>
  <c r="G502" i="4"/>
  <c r="I502" i="4" s="1"/>
  <c r="N502" i="4"/>
  <c r="O502" i="4"/>
  <c r="P502" i="4"/>
  <c r="T502" i="4"/>
  <c r="W502" i="4"/>
  <c r="B503" i="4"/>
  <c r="G503" i="4"/>
  <c r="I503" i="4" s="1"/>
  <c r="N503" i="4"/>
  <c r="O503" i="4"/>
  <c r="P503" i="4"/>
  <c r="T503" i="4"/>
  <c r="W503" i="4"/>
  <c r="X503" i="4"/>
  <c r="B504" i="4"/>
  <c r="G504" i="4"/>
  <c r="I504" i="4" s="1"/>
  <c r="N504" i="4"/>
  <c r="O504" i="4"/>
  <c r="P504" i="4"/>
  <c r="T504" i="4"/>
  <c r="W504" i="4"/>
  <c r="B505" i="4"/>
  <c r="G505" i="4"/>
  <c r="I505" i="4" s="1"/>
  <c r="N505" i="4"/>
  <c r="O505" i="4"/>
  <c r="P505" i="4"/>
  <c r="T505" i="4"/>
  <c r="W505" i="4"/>
  <c r="B506" i="4"/>
  <c r="G506" i="4"/>
  <c r="I506" i="4" s="1"/>
  <c r="N506" i="4"/>
  <c r="O506" i="4"/>
  <c r="P506" i="4"/>
  <c r="T506" i="4"/>
  <c r="W506" i="4"/>
  <c r="X506" i="4"/>
  <c r="B507" i="4"/>
  <c r="G507" i="4"/>
  <c r="I507" i="4" s="1"/>
  <c r="N507" i="4"/>
  <c r="O507" i="4"/>
  <c r="P507" i="4"/>
  <c r="T507" i="4"/>
  <c r="W507" i="4"/>
  <c r="B508" i="4"/>
  <c r="G508" i="4"/>
  <c r="I508" i="4" s="1"/>
  <c r="N508" i="4"/>
  <c r="O508" i="4"/>
  <c r="P508" i="4"/>
  <c r="T508" i="4"/>
  <c r="W508" i="4"/>
  <c r="B509" i="4"/>
  <c r="G509" i="4"/>
  <c r="I509" i="4" s="1"/>
  <c r="N509" i="4"/>
  <c r="O509" i="4"/>
  <c r="P509" i="4"/>
  <c r="T509" i="4"/>
  <c r="W509" i="4"/>
  <c r="X509" i="4"/>
  <c r="B510" i="4"/>
  <c r="G510" i="4"/>
  <c r="I510" i="4" s="1"/>
  <c r="N510" i="4"/>
  <c r="O510" i="4"/>
  <c r="P510" i="4"/>
  <c r="T510" i="4"/>
  <c r="W510" i="4"/>
  <c r="X510" i="4"/>
  <c r="B511" i="4"/>
  <c r="G511" i="4"/>
  <c r="I511" i="4" s="1"/>
  <c r="N511" i="4"/>
  <c r="O511" i="4"/>
  <c r="P511" i="4"/>
  <c r="T511" i="4"/>
  <c r="W511" i="4"/>
  <c r="B512" i="4"/>
  <c r="G512" i="4"/>
  <c r="I512" i="4" s="1"/>
  <c r="N512" i="4"/>
  <c r="O512" i="4"/>
  <c r="P512" i="4"/>
  <c r="T512" i="4"/>
  <c r="W512" i="4"/>
  <c r="B513" i="4"/>
  <c r="G513" i="4"/>
  <c r="I513" i="4" s="1"/>
  <c r="N513" i="4"/>
  <c r="O513" i="4"/>
  <c r="P513" i="4"/>
  <c r="T513" i="4"/>
  <c r="W513" i="4"/>
  <c r="X513" i="4"/>
  <c r="B514" i="4"/>
  <c r="G514" i="4"/>
  <c r="I514" i="4" s="1"/>
  <c r="N514" i="4"/>
  <c r="O514" i="4"/>
  <c r="P514" i="4"/>
  <c r="T514" i="4"/>
  <c r="W514" i="4"/>
  <c r="B515" i="4"/>
  <c r="G515" i="4"/>
  <c r="I515" i="4" s="1"/>
  <c r="N515" i="4"/>
  <c r="O515" i="4"/>
  <c r="P515" i="4"/>
  <c r="T515" i="4"/>
  <c r="W515" i="4"/>
  <c r="X515" i="4"/>
  <c r="B516" i="4"/>
  <c r="G516" i="4"/>
  <c r="I516" i="4" s="1"/>
  <c r="N516" i="4"/>
  <c r="O516" i="4"/>
  <c r="P516" i="4"/>
  <c r="T516" i="4"/>
  <c r="W516" i="4"/>
  <c r="X516" i="4"/>
  <c r="B517" i="4"/>
  <c r="G517" i="4"/>
  <c r="I517" i="4" s="1"/>
  <c r="N517" i="4"/>
  <c r="O517" i="4"/>
  <c r="P517" i="4"/>
  <c r="T517" i="4"/>
  <c r="W517" i="4"/>
  <c r="X517" i="4"/>
  <c r="B518" i="4"/>
  <c r="G518" i="4"/>
  <c r="I518" i="4" s="1"/>
  <c r="N518" i="4"/>
  <c r="O518" i="4"/>
  <c r="P518" i="4"/>
  <c r="T518" i="4"/>
  <c r="W518" i="4"/>
  <c r="X518" i="4"/>
  <c r="B519" i="4"/>
  <c r="G519" i="4"/>
  <c r="I519" i="4" s="1"/>
  <c r="N519" i="4"/>
  <c r="O519" i="4"/>
  <c r="P519" i="4"/>
  <c r="T519" i="4"/>
  <c r="W519" i="4"/>
  <c r="X519" i="4"/>
  <c r="B520" i="4"/>
  <c r="G520" i="4"/>
  <c r="I520" i="4" s="1"/>
  <c r="N520" i="4"/>
  <c r="O520" i="4"/>
  <c r="P520" i="4"/>
  <c r="T520" i="4"/>
  <c r="W520" i="4"/>
  <c r="B521" i="4"/>
  <c r="G521" i="4"/>
  <c r="N521" i="4"/>
  <c r="O521" i="4"/>
  <c r="P521" i="4"/>
  <c r="T521" i="4"/>
  <c r="W521" i="4"/>
  <c r="B522" i="4"/>
  <c r="G522" i="4"/>
  <c r="I522" i="4" s="1"/>
  <c r="N522" i="4"/>
  <c r="O522" i="4"/>
  <c r="P522" i="4"/>
  <c r="T522" i="4"/>
  <c r="W522" i="4"/>
  <c r="X522" i="4"/>
  <c r="B523" i="4"/>
  <c r="G523" i="4"/>
  <c r="I523" i="4" s="1"/>
  <c r="N523" i="4"/>
  <c r="O523" i="4"/>
  <c r="P523" i="4"/>
  <c r="T523" i="4"/>
  <c r="W523" i="4"/>
  <c r="B524" i="4"/>
  <c r="G524" i="4"/>
  <c r="I524" i="4" s="1"/>
  <c r="N524" i="4"/>
  <c r="O524" i="4"/>
  <c r="P524" i="4"/>
  <c r="T524" i="4"/>
  <c r="W524" i="4"/>
  <c r="X524" i="4"/>
  <c r="B525" i="4"/>
  <c r="G525" i="4"/>
  <c r="I525" i="4" s="1"/>
  <c r="N525" i="4"/>
  <c r="O525" i="4"/>
  <c r="P525" i="4"/>
  <c r="T525" i="4"/>
  <c r="W525" i="4"/>
  <c r="B526" i="4"/>
  <c r="G526" i="4"/>
  <c r="I526" i="4" s="1"/>
  <c r="N526" i="4"/>
  <c r="O526" i="4"/>
  <c r="P526" i="4"/>
  <c r="T526" i="4"/>
  <c r="W526" i="4"/>
  <c r="B527" i="4"/>
  <c r="G527" i="4"/>
  <c r="I527" i="4" s="1"/>
  <c r="N527" i="4"/>
  <c r="O527" i="4"/>
  <c r="P527" i="4"/>
  <c r="T527" i="4"/>
  <c r="W527" i="4"/>
  <c r="B528" i="4"/>
  <c r="G528" i="4"/>
  <c r="I528" i="4" s="1"/>
  <c r="N528" i="4"/>
  <c r="O528" i="4"/>
  <c r="P528" i="4"/>
  <c r="T528" i="4"/>
  <c r="W528" i="4"/>
  <c r="B529" i="4"/>
  <c r="G529" i="4"/>
  <c r="I529" i="4" s="1"/>
  <c r="N529" i="4"/>
  <c r="O529" i="4"/>
  <c r="P529" i="4"/>
  <c r="T529" i="4"/>
  <c r="W529" i="4"/>
  <c r="B530" i="4"/>
  <c r="G530" i="4"/>
  <c r="I530" i="4" s="1"/>
  <c r="N530" i="4"/>
  <c r="O530" i="4"/>
  <c r="P530" i="4"/>
  <c r="T530" i="4"/>
  <c r="W530" i="4"/>
  <c r="B531" i="4"/>
  <c r="G531" i="4"/>
  <c r="I531" i="4" s="1"/>
  <c r="N531" i="4"/>
  <c r="O531" i="4"/>
  <c r="P531" i="4"/>
  <c r="T531" i="4"/>
  <c r="W531" i="4"/>
  <c r="B532" i="4"/>
  <c r="G532" i="4"/>
  <c r="I532" i="4" s="1"/>
  <c r="N532" i="4"/>
  <c r="O532" i="4"/>
  <c r="P532" i="4"/>
  <c r="T532" i="4"/>
  <c r="W532" i="4"/>
  <c r="B533" i="4"/>
  <c r="G533" i="4"/>
  <c r="I533" i="4" s="1"/>
  <c r="N533" i="4"/>
  <c r="O533" i="4"/>
  <c r="P533" i="4"/>
  <c r="T533" i="4"/>
  <c r="W533" i="4"/>
  <c r="X533" i="4"/>
  <c r="B534" i="4"/>
  <c r="G534" i="4"/>
  <c r="I534" i="4" s="1"/>
  <c r="N534" i="4"/>
  <c r="O534" i="4"/>
  <c r="P534" i="4"/>
  <c r="T534" i="4"/>
  <c r="W534" i="4"/>
  <c r="B535" i="4"/>
  <c r="G535" i="4"/>
  <c r="I535" i="4" s="1"/>
  <c r="N535" i="4"/>
  <c r="O535" i="4"/>
  <c r="P535" i="4"/>
  <c r="T535" i="4"/>
  <c r="W535" i="4"/>
  <c r="B536" i="4"/>
  <c r="G536" i="4"/>
  <c r="I536" i="4" s="1"/>
  <c r="N536" i="4"/>
  <c r="O536" i="4"/>
  <c r="P536" i="4"/>
  <c r="T536" i="4"/>
  <c r="W536" i="4"/>
  <c r="B537" i="4"/>
  <c r="G537" i="4"/>
  <c r="I537" i="4" s="1"/>
  <c r="N537" i="4"/>
  <c r="O537" i="4"/>
  <c r="P537" i="4"/>
  <c r="T537" i="4"/>
  <c r="W537" i="4"/>
  <c r="B538" i="4"/>
  <c r="G538" i="4"/>
  <c r="I538" i="4" s="1"/>
  <c r="N538" i="4"/>
  <c r="O538" i="4"/>
  <c r="P538" i="4"/>
  <c r="T538" i="4"/>
  <c r="W538" i="4"/>
  <c r="B539" i="4"/>
  <c r="I539" i="4"/>
  <c r="N539" i="4"/>
  <c r="O539" i="4"/>
  <c r="P539" i="4"/>
  <c r="T539" i="4"/>
  <c r="W539" i="4"/>
  <c r="B540" i="4"/>
  <c r="G540" i="4"/>
  <c r="I540" i="4" s="1"/>
  <c r="N540" i="4"/>
  <c r="O540" i="4"/>
  <c r="P540" i="4"/>
  <c r="T540" i="4"/>
  <c r="W540" i="4"/>
  <c r="X540" i="4"/>
  <c r="B541" i="4"/>
  <c r="G541" i="4"/>
  <c r="I541" i="4" s="1"/>
  <c r="N541" i="4"/>
  <c r="O541" i="4"/>
  <c r="P541" i="4"/>
  <c r="T541" i="4"/>
  <c r="W541" i="4"/>
  <c r="B542" i="4"/>
  <c r="G542" i="4"/>
  <c r="I542" i="4" s="1"/>
  <c r="N542" i="4"/>
  <c r="O542" i="4"/>
  <c r="P542" i="4"/>
  <c r="T542" i="4"/>
  <c r="W542" i="4"/>
  <c r="B543" i="4"/>
  <c r="G543" i="4"/>
  <c r="I543" i="4" s="1"/>
  <c r="N543" i="4"/>
  <c r="O543" i="4"/>
  <c r="P543" i="4"/>
  <c r="T543" i="4"/>
  <c r="W543" i="4"/>
  <c r="B544" i="4"/>
  <c r="G544" i="4"/>
  <c r="I544" i="4" s="1"/>
  <c r="N544" i="4"/>
  <c r="O544" i="4"/>
  <c r="P544" i="4"/>
  <c r="T544" i="4"/>
  <c r="W544" i="4"/>
  <c r="X544" i="4"/>
  <c r="B545" i="4"/>
  <c r="G545" i="4"/>
  <c r="I545" i="4" s="1"/>
  <c r="N545" i="4"/>
  <c r="O545" i="4"/>
  <c r="P545" i="4"/>
  <c r="T545" i="4"/>
  <c r="W545" i="4"/>
  <c r="X545" i="4"/>
  <c r="B546" i="4"/>
  <c r="G546" i="4"/>
  <c r="I546" i="4" s="1"/>
  <c r="N546" i="4"/>
  <c r="O546" i="4"/>
  <c r="P546" i="4"/>
  <c r="T546" i="4"/>
  <c r="W546" i="4"/>
  <c r="X546" i="4"/>
  <c r="B547" i="4"/>
  <c r="G547" i="4"/>
  <c r="I547" i="4" s="1"/>
  <c r="N547" i="4"/>
  <c r="O547" i="4"/>
  <c r="P547" i="4"/>
  <c r="T547" i="4"/>
  <c r="W547" i="4"/>
  <c r="X547" i="4"/>
  <c r="B548" i="4"/>
  <c r="G548" i="4"/>
  <c r="I548" i="4" s="1"/>
  <c r="N548" i="4"/>
  <c r="O548" i="4"/>
  <c r="P548" i="4"/>
  <c r="T548" i="4"/>
  <c r="W548" i="4"/>
  <c r="B549" i="4"/>
  <c r="G549" i="4"/>
  <c r="I549" i="4" s="1"/>
  <c r="N549" i="4"/>
  <c r="O549" i="4"/>
  <c r="P549" i="4"/>
  <c r="T549" i="4"/>
  <c r="W549" i="4"/>
  <c r="X549" i="4"/>
  <c r="B550" i="4"/>
  <c r="G550" i="4"/>
  <c r="I550" i="4" s="1"/>
  <c r="N550" i="4"/>
  <c r="O550" i="4"/>
  <c r="P550" i="4"/>
  <c r="T550" i="4"/>
  <c r="W550" i="4"/>
  <c r="B551" i="4"/>
  <c r="G551" i="4"/>
  <c r="I551" i="4" s="1"/>
  <c r="N551" i="4"/>
  <c r="O551" i="4"/>
  <c r="P551" i="4"/>
  <c r="T551" i="4"/>
  <c r="W551" i="4"/>
  <c r="X551" i="4"/>
  <c r="B552" i="4"/>
  <c r="G552" i="4"/>
  <c r="I552" i="4" s="1"/>
  <c r="N552" i="4"/>
  <c r="O552" i="4"/>
  <c r="P552" i="4"/>
  <c r="T552" i="4"/>
  <c r="W552" i="4"/>
  <c r="X552" i="4"/>
  <c r="B553" i="4"/>
  <c r="G553" i="4"/>
  <c r="I553" i="4" s="1"/>
  <c r="N553" i="4"/>
  <c r="O553" i="4"/>
  <c r="P553" i="4"/>
  <c r="T553" i="4"/>
  <c r="W553" i="4"/>
  <c r="X553" i="4"/>
  <c r="B554" i="4"/>
  <c r="G554" i="4"/>
  <c r="N554" i="4"/>
  <c r="O554" i="4"/>
  <c r="P554" i="4"/>
  <c r="T554" i="4"/>
  <c r="W554" i="4"/>
  <c r="B555" i="4"/>
  <c r="G555" i="4"/>
  <c r="I555" i="4" s="1"/>
  <c r="N555" i="4"/>
  <c r="O555" i="4"/>
  <c r="P555" i="4"/>
  <c r="T555" i="4"/>
  <c r="W555" i="4"/>
  <c r="B556" i="4"/>
  <c r="G556" i="4"/>
  <c r="I556" i="4" s="1"/>
  <c r="N556" i="4"/>
  <c r="O556" i="4"/>
  <c r="P556" i="4"/>
  <c r="T556" i="4"/>
  <c r="W556" i="4"/>
  <c r="B557" i="4"/>
  <c r="G557" i="4"/>
  <c r="I557" i="4" s="1"/>
  <c r="N557" i="4"/>
  <c r="O557" i="4"/>
  <c r="P557" i="4"/>
  <c r="T557" i="4"/>
  <c r="W557" i="4"/>
  <c r="X557" i="4"/>
  <c r="B558" i="4"/>
  <c r="G558" i="4"/>
  <c r="I558" i="4" s="1"/>
  <c r="N558" i="4"/>
  <c r="O558" i="4"/>
  <c r="P558" i="4"/>
  <c r="T558" i="4"/>
  <c r="W558" i="4"/>
  <c r="X558" i="4"/>
  <c r="S479" i="4" l="1"/>
  <c r="S465" i="4"/>
  <c r="S540" i="4"/>
  <c r="S504" i="4"/>
  <c r="S525" i="4"/>
  <c r="S506" i="4"/>
  <c r="S485" i="4"/>
  <c r="S460" i="4"/>
  <c r="S537" i="4"/>
  <c r="S522" i="4"/>
  <c r="S542" i="4"/>
  <c r="S498" i="4"/>
  <c r="S507" i="4"/>
  <c r="S491" i="4"/>
  <c r="S536" i="4"/>
  <c r="S531" i="4"/>
  <c r="S510" i="4"/>
  <c r="S494" i="4"/>
  <c r="S557" i="4"/>
  <c r="S549" i="4"/>
  <c r="S555" i="4"/>
  <c r="S534" i="4"/>
  <c r="S524" i="4"/>
  <c r="S459" i="4"/>
  <c r="S519" i="4"/>
  <c r="S500" i="4"/>
  <c r="S492" i="4"/>
  <c r="S470" i="4"/>
  <c r="S539" i="4"/>
  <c r="S558" i="4"/>
  <c r="S527" i="4"/>
  <c r="S495" i="4"/>
  <c r="S482" i="4"/>
  <c r="S477" i="4"/>
  <c r="S548" i="4"/>
  <c r="S545" i="4"/>
  <c r="S530" i="4"/>
  <c r="S501" i="4"/>
  <c r="S480" i="4"/>
  <c r="S471" i="4"/>
  <c r="S464" i="4"/>
  <c r="S452" i="4"/>
  <c r="S528" i="4"/>
  <c r="S512" i="4"/>
  <c r="S483" i="4"/>
  <c r="S551" i="4"/>
  <c r="S543" i="4"/>
  <c r="S533" i="4"/>
  <c r="S546" i="4"/>
  <c r="S518" i="4"/>
  <c r="S486" i="4"/>
  <c r="S476" i="4"/>
  <c r="S458" i="4"/>
  <c r="S552" i="4"/>
  <c r="S497" i="4"/>
  <c r="S489" i="4"/>
  <c r="S454" i="4"/>
  <c r="S475" i="4"/>
  <c r="S463" i="4"/>
  <c r="S473" i="4"/>
  <c r="S467" i="4"/>
  <c r="S461" i="4"/>
  <c r="S556" i="4"/>
  <c r="S553" i="4"/>
  <c r="S550" i="4"/>
  <c r="S547" i="4"/>
  <c r="S544" i="4"/>
  <c r="S541" i="4"/>
  <c r="S538" i="4"/>
  <c r="S535" i="4"/>
  <c r="S532" i="4"/>
  <c r="S529" i="4"/>
  <c r="S526" i="4"/>
  <c r="S523" i="4"/>
  <c r="S520" i="4"/>
  <c r="S517" i="4"/>
  <c r="S508" i="4"/>
  <c r="S490" i="4"/>
  <c r="S484" i="4"/>
  <c r="S474" i="4"/>
  <c r="S468" i="4"/>
  <c r="S462" i="4"/>
  <c r="S456" i="4"/>
  <c r="S450" i="4"/>
  <c r="S457" i="4"/>
  <c r="S451" i="4"/>
  <c r="S453" i="4"/>
  <c r="S516" i="4"/>
  <c r="S515" i="4"/>
  <c r="S514" i="4"/>
  <c r="S513" i="4"/>
  <c r="S511" i="4"/>
  <c r="S509" i="4"/>
  <c r="S505" i="4"/>
  <c r="S503" i="4"/>
  <c r="S502" i="4"/>
  <c r="S499" i="4"/>
  <c r="S496" i="4"/>
  <c r="S493" i="4"/>
  <c r="J487" i="4"/>
  <c r="K487" i="4" s="1"/>
  <c r="S487" i="4"/>
  <c r="S481" i="4"/>
  <c r="S478" i="4"/>
  <c r="S472" i="4"/>
  <c r="S469" i="4"/>
  <c r="S466" i="4"/>
  <c r="S455" i="4"/>
  <c r="J525" i="4"/>
  <c r="K525" i="4" s="1"/>
  <c r="J558" i="4"/>
  <c r="K558" i="4" s="1"/>
  <c r="J555" i="4"/>
  <c r="K555" i="4" s="1"/>
  <c r="J554" i="4"/>
  <c r="K554" i="4" s="1"/>
  <c r="J552" i="4"/>
  <c r="K552" i="4" s="1"/>
  <c r="J549" i="4"/>
  <c r="K549" i="4" s="1"/>
  <c r="J548" i="4"/>
  <c r="K548" i="4" s="1"/>
  <c r="J546" i="4"/>
  <c r="K546" i="4" s="1"/>
  <c r="J540" i="4"/>
  <c r="K540" i="4" s="1"/>
  <c r="J536" i="4"/>
  <c r="K536" i="4" s="1"/>
  <c r="J528" i="4"/>
  <c r="K528" i="4" s="1"/>
  <c r="J522" i="4"/>
  <c r="K522" i="4" s="1"/>
  <c r="J510" i="4"/>
  <c r="K510" i="4" s="1"/>
  <c r="J507" i="4"/>
  <c r="K507" i="4" s="1"/>
  <c r="J506" i="4"/>
  <c r="K506" i="4" s="1"/>
  <c r="J504" i="4"/>
  <c r="K504" i="4" s="1"/>
  <c r="J501" i="4"/>
  <c r="K501" i="4" s="1"/>
  <c r="J500" i="4"/>
  <c r="K500" i="4" s="1"/>
  <c r="J498" i="4"/>
  <c r="K498" i="4" s="1"/>
  <c r="J497" i="4"/>
  <c r="K497" i="4" s="1"/>
  <c r="J495" i="4"/>
  <c r="K495" i="4" s="1"/>
  <c r="J494" i="4"/>
  <c r="K494" i="4" s="1"/>
  <c r="J492" i="4"/>
  <c r="K492" i="4" s="1"/>
  <c r="J491" i="4"/>
  <c r="K491" i="4" s="1"/>
  <c r="J489" i="4"/>
  <c r="K489" i="4" s="1"/>
  <c r="J488" i="4"/>
  <c r="K488" i="4" s="1"/>
  <c r="J486" i="4"/>
  <c r="K486" i="4" s="1"/>
  <c r="J485" i="4"/>
  <c r="K485" i="4" s="1"/>
  <c r="J483" i="4"/>
  <c r="K483" i="4" s="1"/>
  <c r="J482" i="4"/>
  <c r="K482" i="4" s="1"/>
  <c r="J480" i="4"/>
  <c r="K480" i="4" s="1"/>
  <c r="J479" i="4"/>
  <c r="K479" i="4" s="1"/>
  <c r="J477" i="4"/>
  <c r="K477" i="4" s="1"/>
  <c r="J476" i="4"/>
  <c r="K476" i="4" s="1"/>
  <c r="J474" i="4"/>
  <c r="K474" i="4" s="1"/>
  <c r="J473" i="4"/>
  <c r="K473" i="4" s="1"/>
  <c r="J471" i="4"/>
  <c r="K471" i="4" s="1"/>
  <c r="J470" i="4"/>
  <c r="K470" i="4" s="1"/>
  <c r="J468" i="4"/>
  <c r="K468" i="4" s="1"/>
  <c r="J467" i="4"/>
  <c r="K467" i="4" s="1"/>
  <c r="J465" i="4"/>
  <c r="K465" i="4" s="1"/>
  <c r="J463" i="4"/>
  <c r="K463" i="4" s="1"/>
  <c r="J462" i="4"/>
  <c r="K462" i="4" s="1"/>
  <c r="J461" i="4"/>
  <c r="K461" i="4" s="1"/>
  <c r="J460" i="4"/>
  <c r="K460" i="4" s="1"/>
  <c r="J459" i="4"/>
  <c r="K459" i="4" s="1"/>
  <c r="J458" i="4"/>
  <c r="K458" i="4" s="1"/>
  <c r="J457" i="4"/>
  <c r="K457" i="4" s="1"/>
  <c r="J456" i="4"/>
  <c r="K456" i="4" s="1"/>
  <c r="J454" i="4"/>
  <c r="K454" i="4" s="1"/>
  <c r="J453" i="4"/>
  <c r="K453" i="4" s="1"/>
  <c r="J451" i="4"/>
  <c r="K451" i="4" s="1"/>
  <c r="J450" i="4"/>
  <c r="K450" i="4" s="1"/>
  <c r="J526" i="4"/>
  <c r="K526" i="4" s="1"/>
  <c r="J530" i="4"/>
  <c r="K530" i="4" s="1"/>
  <c r="J524" i="4"/>
  <c r="J496" i="4"/>
  <c r="J542" i="4"/>
  <c r="J505" i="4"/>
  <c r="J550" i="4"/>
  <c r="J543" i="4"/>
  <c r="J499" i="4"/>
  <c r="J518" i="4"/>
  <c r="K518" i="4" s="1"/>
  <c r="J478" i="4"/>
  <c r="K478" i="4" s="1"/>
  <c r="J502" i="4"/>
  <c r="J493" i="4"/>
  <c r="K493" i="4" s="1"/>
  <c r="J537" i="4"/>
  <c r="J539" i="4"/>
  <c r="J472" i="4"/>
  <c r="K472" i="4" s="1"/>
  <c r="J466" i="4"/>
  <c r="K466" i="4" s="1"/>
  <c r="J481" i="4"/>
  <c r="K481" i="4" s="1"/>
  <c r="J531" i="4"/>
  <c r="J508" i="4"/>
  <c r="K508" i="4" s="1"/>
  <c r="J475" i="4"/>
  <c r="K475" i="4" s="1"/>
  <c r="J490" i="4"/>
  <c r="J469" i="4"/>
  <c r="K469" i="4" s="1"/>
  <c r="J484" i="4"/>
  <c r="K484" i="4" s="1"/>
  <c r="J464" i="4"/>
  <c r="K464" i="4" s="1"/>
  <c r="J455" i="4"/>
  <c r="K455" i="4" s="1"/>
  <c r="J514" i="4"/>
  <c r="J513" i="4"/>
  <c r="J512" i="4"/>
  <c r="K512" i="4" s="1"/>
  <c r="J519" i="4"/>
  <c r="K519" i="4" s="1"/>
  <c r="J544" i="4"/>
  <c r="J521" i="4"/>
  <c r="J503" i="4"/>
  <c r="J532" i="4"/>
  <c r="J557" i="4"/>
  <c r="J452" i="4"/>
  <c r="K452" i="4" s="1"/>
  <c r="J556" i="4"/>
  <c r="J538" i="4"/>
  <c r="J520" i="4"/>
  <c r="J527" i="4"/>
  <c r="J509" i="4"/>
  <c r="J545" i="4"/>
  <c r="J541" i="4"/>
  <c r="J534" i="4"/>
  <c r="J523" i="4"/>
  <c r="J516" i="4"/>
  <c r="J551" i="4"/>
  <c r="J515" i="4"/>
  <c r="J533" i="4"/>
  <c r="J547" i="4"/>
  <c r="J529" i="4"/>
  <c r="J511" i="4"/>
  <c r="J553" i="4"/>
  <c r="J535" i="4"/>
  <c r="J517" i="4"/>
  <c r="C31" i="25"/>
  <c r="D31" i="25"/>
  <c r="E31" i="25"/>
  <c r="F31" i="25"/>
  <c r="J31" i="25"/>
  <c r="K31" i="25"/>
  <c r="L31" i="25"/>
  <c r="M31" i="25"/>
  <c r="N31" i="25"/>
  <c r="O31" i="25"/>
  <c r="P31" i="25"/>
  <c r="Q31" i="25"/>
  <c r="T31" i="25"/>
  <c r="C32" i="25"/>
  <c r="D32" i="25"/>
  <c r="E32" i="25"/>
  <c r="F32" i="25"/>
  <c r="J32" i="25"/>
  <c r="K32" i="25"/>
  <c r="L32" i="25"/>
  <c r="M32" i="25"/>
  <c r="N32" i="25"/>
  <c r="O32" i="25"/>
  <c r="P32" i="25"/>
  <c r="Q32" i="25"/>
  <c r="T32" i="25"/>
  <c r="C49" i="25"/>
  <c r="D49" i="25"/>
  <c r="E49" i="25"/>
  <c r="F49" i="25"/>
  <c r="K49" i="25"/>
  <c r="L49" i="25"/>
  <c r="M49" i="25"/>
  <c r="N49" i="25"/>
  <c r="O49" i="25"/>
  <c r="P49" i="25"/>
  <c r="Q49" i="25"/>
  <c r="T49" i="25"/>
  <c r="C20" i="12"/>
  <c r="D20" i="12"/>
  <c r="E20" i="12"/>
  <c r="F20" i="12"/>
  <c r="J20" i="12"/>
  <c r="K20" i="12"/>
  <c r="L20" i="12"/>
  <c r="M20" i="12"/>
  <c r="N20" i="12"/>
  <c r="O20" i="12"/>
  <c r="P20" i="12"/>
  <c r="Q20" i="12"/>
  <c r="T20" i="12"/>
  <c r="C51" i="13"/>
  <c r="D51" i="13"/>
  <c r="E51" i="13"/>
  <c r="F51" i="13"/>
  <c r="J51" i="13"/>
  <c r="K51" i="13"/>
  <c r="L51" i="13"/>
  <c r="M51" i="13"/>
  <c r="N51" i="13"/>
  <c r="O51" i="13"/>
  <c r="P51" i="13"/>
  <c r="Q51" i="13"/>
  <c r="T51" i="13"/>
  <c r="C69" i="13"/>
  <c r="D69" i="13"/>
  <c r="E69" i="13"/>
  <c r="F69" i="13"/>
  <c r="K69" i="13"/>
  <c r="L69" i="13"/>
  <c r="M69" i="13"/>
  <c r="N69" i="13"/>
  <c r="O69" i="13"/>
  <c r="P69" i="13"/>
  <c r="Q69" i="13"/>
  <c r="T69" i="13"/>
  <c r="C81" i="31"/>
  <c r="D81" i="31"/>
  <c r="E81" i="31"/>
  <c r="F81" i="31"/>
  <c r="G81" i="31"/>
  <c r="H81" i="31"/>
  <c r="I81" i="31"/>
  <c r="J81" i="31"/>
  <c r="K81" i="31"/>
  <c r="L81" i="31"/>
  <c r="M81" i="31"/>
  <c r="N81" i="31"/>
  <c r="O81" i="31"/>
  <c r="P81" i="31"/>
  <c r="Q81" i="31"/>
  <c r="C37" i="31"/>
  <c r="D37" i="31"/>
  <c r="E37" i="31"/>
  <c r="F37" i="31"/>
  <c r="G37" i="31"/>
  <c r="H37" i="31"/>
  <c r="I37" i="31"/>
  <c r="J37" i="31"/>
  <c r="K37" i="31"/>
  <c r="L37" i="31"/>
  <c r="M37" i="31"/>
  <c r="N37" i="31"/>
  <c r="O37" i="31"/>
  <c r="P37" i="31"/>
  <c r="Q37" i="31"/>
  <c r="C98" i="31"/>
  <c r="D98" i="31"/>
  <c r="E98" i="31"/>
  <c r="F98" i="31"/>
  <c r="G98" i="31"/>
  <c r="H98" i="31"/>
  <c r="I98" i="31"/>
  <c r="J98" i="31"/>
  <c r="K98" i="31"/>
  <c r="L98" i="31"/>
  <c r="M98" i="31"/>
  <c r="N98" i="31"/>
  <c r="O98" i="31"/>
  <c r="P98" i="31"/>
  <c r="Q98" i="31"/>
  <c r="T61" i="22"/>
  <c r="T52" i="22"/>
  <c r="T78" i="22"/>
  <c r="C69" i="8"/>
  <c r="D69" i="8"/>
  <c r="E69" i="8"/>
  <c r="F69" i="8"/>
  <c r="J69" i="8"/>
  <c r="K69" i="8"/>
  <c r="L69" i="8"/>
  <c r="M69" i="8"/>
  <c r="N69" i="8"/>
  <c r="O69" i="8"/>
  <c r="P69" i="8"/>
  <c r="Q69" i="8"/>
  <c r="T69" i="8"/>
  <c r="C70" i="8"/>
  <c r="D70" i="8"/>
  <c r="E70" i="8"/>
  <c r="F70" i="8"/>
  <c r="J70" i="8"/>
  <c r="K70" i="8"/>
  <c r="L70" i="8"/>
  <c r="M70" i="8"/>
  <c r="N70" i="8"/>
  <c r="O70" i="8"/>
  <c r="P70" i="8"/>
  <c r="Q70" i="8"/>
  <c r="T70" i="8"/>
  <c r="C98" i="8"/>
  <c r="D98" i="8"/>
  <c r="E98" i="8"/>
  <c r="F98" i="8"/>
  <c r="K98" i="8"/>
  <c r="L98" i="8"/>
  <c r="M98" i="8"/>
  <c r="N98" i="8"/>
  <c r="O98" i="8"/>
  <c r="P98" i="8"/>
  <c r="Q98" i="8"/>
  <c r="T98" i="8"/>
  <c r="B445" i="4"/>
  <c r="G445" i="4"/>
  <c r="I445" i="4" s="1"/>
  <c r="N445" i="4"/>
  <c r="O445" i="4"/>
  <c r="P445" i="4"/>
  <c r="Q445" i="4"/>
  <c r="R445" i="4"/>
  <c r="T445" i="4"/>
  <c r="W445" i="4"/>
  <c r="B446" i="4"/>
  <c r="G446" i="4"/>
  <c r="I446" i="4" s="1"/>
  <c r="N446" i="4"/>
  <c r="O446" i="4"/>
  <c r="P446" i="4"/>
  <c r="Q446" i="4"/>
  <c r="T446" i="4"/>
  <c r="W446" i="4"/>
  <c r="X446" i="4"/>
  <c r="B447" i="4"/>
  <c r="G447" i="4"/>
  <c r="I447" i="4" s="1"/>
  <c r="N447" i="4"/>
  <c r="O447" i="4"/>
  <c r="P447" i="4"/>
  <c r="Q447" i="4"/>
  <c r="R447" i="4"/>
  <c r="T447" i="4"/>
  <c r="W447" i="4"/>
  <c r="B448" i="4"/>
  <c r="G448" i="4"/>
  <c r="I448" i="4" s="1"/>
  <c r="N448" i="4"/>
  <c r="O448" i="4"/>
  <c r="P448" i="4"/>
  <c r="Q448" i="4"/>
  <c r="R448" i="4"/>
  <c r="T448" i="4"/>
  <c r="W448" i="4"/>
  <c r="B449" i="4"/>
  <c r="G449" i="4"/>
  <c r="I449" i="4" s="1"/>
  <c r="N449" i="4"/>
  <c r="O449" i="4"/>
  <c r="P449" i="4"/>
  <c r="Q449" i="4"/>
  <c r="R449" i="4"/>
  <c r="T449" i="4"/>
  <c r="W449" i="4"/>
  <c r="X449" i="4"/>
  <c r="S447" i="4" l="1"/>
  <c r="S448" i="4"/>
  <c r="S445" i="4"/>
  <c r="S446" i="4"/>
  <c r="S449" i="4"/>
  <c r="Z552" i="4"/>
  <c r="Z558" i="4"/>
  <c r="Z555" i="4"/>
  <c r="Z554" i="4"/>
  <c r="Z549" i="4"/>
  <c r="Z548" i="4"/>
  <c r="Z546" i="4"/>
  <c r="Z540" i="4"/>
  <c r="Z536" i="4"/>
  <c r="Z510" i="4"/>
  <c r="Z456" i="4"/>
  <c r="Z462" i="4"/>
  <c r="Z480" i="4"/>
  <c r="Z489" i="4"/>
  <c r="Z522" i="4"/>
  <c r="Z530" i="4"/>
  <c r="Z528" i="4"/>
  <c r="Z493" i="4"/>
  <c r="Z526" i="4"/>
  <c r="Z463" i="4"/>
  <c r="Z491" i="4"/>
  <c r="Z500" i="4"/>
  <c r="Z452" i="4"/>
  <c r="Z484" i="4"/>
  <c r="Z458" i="4"/>
  <c r="Z492" i="4"/>
  <c r="Z501" i="4"/>
  <c r="Z487" i="4"/>
  <c r="Z518" i="4"/>
  <c r="Z451" i="4"/>
  <c r="Z467" i="4"/>
  <c r="Z485" i="4"/>
  <c r="Z494" i="4"/>
  <c r="Z508" i="4"/>
  <c r="Z460" i="4"/>
  <c r="Z477" i="4"/>
  <c r="Z495" i="4"/>
  <c r="Z519" i="4"/>
  <c r="Z512" i="4"/>
  <c r="Z454" i="4"/>
  <c r="Z470" i="4"/>
  <c r="Z507" i="4"/>
  <c r="Z479" i="4"/>
  <c r="Z457" i="4"/>
  <c r="Z525" i="4"/>
  <c r="Z471" i="4"/>
  <c r="Z498" i="4"/>
  <c r="Z468" i="4"/>
  <c r="Z506" i="4"/>
  <c r="Z504" i="4"/>
  <c r="Z497" i="4"/>
  <c r="Z459" i="4"/>
  <c r="Z474" i="4"/>
  <c r="Z453" i="4"/>
  <c r="Z488" i="4"/>
  <c r="Z461" i="4"/>
  <c r="Z450" i="4"/>
  <c r="Z473" i="4"/>
  <c r="Z482" i="4"/>
  <c r="Z465" i="4"/>
  <c r="Z476" i="4"/>
  <c r="Z486" i="4"/>
  <c r="Z483" i="4"/>
  <c r="U495" i="4"/>
  <c r="U506" i="4"/>
  <c r="J448" i="4"/>
  <c r="K448" i="4" s="1"/>
  <c r="J446" i="4"/>
  <c r="K446" i="4" s="1"/>
  <c r="J445" i="4"/>
  <c r="K445" i="4" s="1"/>
  <c r="Z481" i="4"/>
  <c r="Z455" i="4"/>
  <c r="K513" i="4"/>
  <c r="K490" i="4"/>
  <c r="U493" i="4"/>
  <c r="K542" i="4"/>
  <c r="U501" i="4"/>
  <c r="K514" i="4"/>
  <c r="K502" i="4"/>
  <c r="K496" i="4"/>
  <c r="U558" i="4"/>
  <c r="K532" i="4"/>
  <c r="U548" i="4"/>
  <c r="U507" i="4"/>
  <c r="U494" i="4"/>
  <c r="K531" i="4"/>
  <c r="U486" i="4"/>
  <c r="U510" i="4"/>
  <c r="H75" i="8" s="1"/>
  <c r="U497" i="4"/>
  <c r="K524" i="4"/>
  <c r="U530" i="4"/>
  <c r="U500" i="4"/>
  <c r="K499" i="4"/>
  <c r="U487" i="4"/>
  <c r="U492" i="4"/>
  <c r="U536" i="4"/>
  <c r="K557" i="4"/>
  <c r="K543" i="4"/>
  <c r="K550" i="4"/>
  <c r="U546" i="4"/>
  <c r="U522" i="4"/>
  <c r="U484" i="4"/>
  <c r="K539" i="4"/>
  <c r="U549" i="4"/>
  <c r="U498" i="4"/>
  <c r="K503" i="4"/>
  <c r="U512" i="4"/>
  <c r="K537" i="4"/>
  <c r="K505" i="4"/>
  <c r="U552" i="4"/>
  <c r="U485" i="4"/>
  <c r="U482" i="4"/>
  <c r="U480" i="4"/>
  <c r="Z478" i="4"/>
  <c r="U478" i="4"/>
  <c r="U477" i="4"/>
  <c r="Z475" i="4"/>
  <c r="Z472" i="4"/>
  <c r="Z469" i="4"/>
  <c r="Z466" i="4"/>
  <c r="Z464" i="4"/>
  <c r="U453" i="4"/>
  <c r="U464" i="4"/>
  <c r="U456" i="4"/>
  <c r="U452" i="4"/>
  <c r="U451" i="4"/>
  <c r="K521" i="4"/>
  <c r="U463" i="4"/>
  <c r="K544" i="4"/>
  <c r="K515" i="4"/>
  <c r="U454" i="4"/>
  <c r="U466" i="4"/>
  <c r="K556" i="4"/>
  <c r="U460" i="4"/>
  <c r="K551" i="4"/>
  <c r="K534" i="4"/>
  <c r="K517" i="4"/>
  <c r="K541" i="4"/>
  <c r="U450" i="4"/>
  <c r="K535" i="4"/>
  <c r="K533" i="4"/>
  <c r="K553" i="4"/>
  <c r="U462" i="4"/>
  <c r="K511" i="4"/>
  <c r="U468" i="4"/>
  <c r="K509" i="4"/>
  <c r="U472" i="4"/>
  <c r="K545" i="4"/>
  <c r="K527" i="4"/>
  <c r="K520" i="4"/>
  <c r="U474" i="4"/>
  <c r="K529" i="4"/>
  <c r="K516" i="4"/>
  <c r="K523" i="4"/>
  <c r="U455" i="4"/>
  <c r="K538" i="4"/>
  <c r="K547" i="4"/>
  <c r="U61" i="22"/>
  <c r="R98" i="31"/>
  <c r="J449" i="4"/>
  <c r="K449" i="4" s="1"/>
  <c r="R81" i="31"/>
  <c r="R37" i="31"/>
  <c r="J447" i="4"/>
  <c r="B443" i="4"/>
  <c r="G443" i="4"/>
  <c r="I443" i="4" s="1"/>
  <c r="N443" i="4"/>
  <c r="O443" i="4"/>
  <c r="P443" i="4"/>
  <c r="Q443" i="4"/>
  <c r="R443" i="4"/>
  <c r="T443" i="4"/>
  <c r="W443" i="4"/>
  <c r="B444" i="4"/>
  <c r="G444" i="4"/>
  <c r="I444" i="4" s="1"/>
  <c r="N444" i="4"/>
  <c r="O444" i="4"/>
  <c r="P444" i="4"/>
  <c r="Q444" i="4"/>
  <c r="R444" i="4"/>
  <c r="T444" i="4"/>
  <c r="W444" i="4"/>
  <c r="B442" i="4"/>
  <c r="G442" i="4"/>
  <c r="I442" i="4" s="1"/>
  <c r="N442" i="4"/>
  <c r="O442" i="4"/>
  <c r="P442" i="4"/>
  <c r="Q442" i="4"/>
  <c r="R442" i="4"/>
  <c r="T442" i="4"/>
  <c r="W442" i="4"/>
  <c r="X442" i="4"/>
  <c r="B437" i="4"/>
  <c r="G437" i="4"/>
  <c r="I437" i="4" s="1"/>
  <c r="N437" i="4"/>
  <c r="O437" i="4"/>
  <c r="P437" i="4"/>
  <c r="Q437" i="4"/>
  <c r="T437" i="4"/>
  <c r="W437" i="4"/>
  <c r="B438" i="4"/>
  <c r="G438" i="4"/>
  <c r="I438" i="4" s="1"/>
  <c r="N438" i="4"/>
  <c r="O438" i="4"/>
  <c r="P438" i="4"/>
  <c r="Q438" i="4"/>
  <c r="R438" i="4"/>
  <c r="T438" i="4"/>
  <c r="W438" i="4"/>
  <c r="B439" i="4"/>
  <c r="G439" i="4"/>
  <c r="I439" i="4" s="1"/>
  <c r="N439" i="4"/>
  <c r="O439" i="4"/>
  <c r="P439" i="4"/>
  <c r="Q439" i="4"/>
  <c r="T439" i="4"/>
  <c r="W439" i="4"/>
  <c r="B440" i="4"/>
  <c r="G440" i="4"/>
  <c r="I440" i="4" s="1"/>
  <c r="N440" i="4"/>
  <c r="O440" i="4"/>
  <c r="P440" i="4"/>
  <c r="Q440" i="4"/>
  <c r="T440" i="4"/>
  <c r="W440" i="4"/>
  <c r="B441" i="4"/>
  <c r="G441" i="4"/>
  <c r="I441" i="4" s="1"/>
  <c r="N441" i="4"/>
  <c r="O441" i="4"/>
  <c r="P441" i="4"/>
  <c r="Q441" i="4"/>
  <c r="R441" i="4"/>
  <c r="T441" i="4"/>
  <c r="W441" i="4"/>
  <c r="X441" i="4"/>
  <c r="B430" i="4"/>
  <c r="G430" i="4"/>
  <c r="I430" i="4" s="1"/>
  <c r="N430" i="4"/>
  <c r="O430" i="4"/>
  <c r="P430" i="4"/>
  <c r="Q430" i="4"/>
  <c r="R430" i="4"/>
  <c r="T430" i="4"/>
  <c r="W430" i="4"/>
  <c r="B431" i="4"/>
  <c r="G431" i="4"/>
  <c r="I431" i="4" s="1"/>
  <c r="N431" i="4"/>
  <c r="O431" i="4"/>
  <c r="P431" i="4"/>
  <c r="Q431" i="4"/>
  <c r="R431" i="4"/>
  <c r="T431" i="4"/>
  <c r="W431" i="4"/>
  <c r="B432" i="4"/>
  <c r="G432" i="4"/>
  <c r="I432" i="4" s="1"/>
  <c r="N432" i="4"/>
  <c r="O432" i="4"/>
  <c r="P432" i="4"/>
  <c r="Q432" i="4"/>
  <c r="T432" i="4"/>
  <c r="W432" i="4"/>
  <c r="B433" i="4"/>
  <c r="G433" i="4"/>
  <c r="I433" i="4" s="1"/>
  <c r="N433" i="4"/>
  <c r="O433" i="4"/>
  <c r="P433" i="4"/>
  <c r="Q433" i="4"/>
  <c r="R433" i="4"/>
  <c r="T433" i="4"/>
  <c r="W433" i="4"/>
  <c r="B434" i="4"/>
  <c r="G434" i="4"/>
  <c r="I434" i="4" s="1"/>
  <c r="N434" i="4"/>
  <c r="O434" i="4"/>
  <c r="P434" i="4"/>
  <c r="Q434" i="4"/>
  <c r="T434" i="4"/>
  <c r="W434" i="4"/>
  <c r="B435" i="4"/>
  <c r="G435" i="4"/>
  <c r="N435" i="4"/>
  <c r="O435" i="4"/>
  <c r="P435" i="4"/>
  <c r="Q435" i="4"/>
  <c r="R435" i="4"/>
  <c r="T435" i="4"/>
  <c r="W435" i="4"/>
  <c r="X435" i="4"/>
  <c r="B436" i="4"/>
  <c r="J436" i="4" s="1"/>
  <c r="G436" i="4"/>
  <c r="N436" i="4"/>
  <c r="O436" i="4"/>
  <c r="P436" i="4"/>
  <c r="Q436" i="4"/>
  <c r="R436" i="4"/>
  <c r="T436" i="4"/>
  <c r="W436" i="4"/>
  <c r="B415" i="4"/>
  <c r="G415" i="4"/>
  <c r="I415" i="4" s="1"/>
  <c r="N415" i="4"/>
  <c r="O415" i="4"/>
  <c r="P415" i="4"/>
  <c r="Q415" i="4"/>
  <c r="T415" i="4"/>
  <c r="W415" i="4"/>
  <c r="X415" i="4"/>
  <c r="B416" i="4"/>
  <c r="G416" i="4"/>
  <c r="I416" i="4" s="1"/>
  <c r="N416" i="4"/>
  <c r="O416" i="4"/>
  <c r="P416" i="4"/>
  <c r="Q416" i="4"/>
  <c r="T416" i="4"/>
  <c r="W416" i="4"/>
  <c r="B417" i="4"/>
  <c r="G417" i="4"/>
  <c r="I417" i="4" s="1"/>
  <c r="N417" i="4"/>
  <c r="O417" i="4"/>
  <c r="P417" i="4"/>
  <c r="Q417" i="4"/>
  <c r="R417" i="4"/>
  <c r="T417" i="4"/>
  <c r="W417" i="4"/>
  <c r="X417" i="4"/>
  <c r="B418" i="4"/>
  <c r="G418" i="4"/>
  <c r="I418" i="4" s="1"/>
  <c r="N418" i="4"/>
  <c r="O418" i="4"/>
  <c r="P418" i="4"/>
  <c r="Q418" i="4"/>
  <c r="T418" i="4"/>
  <c r="W418" i="4"/>
  <c r="B419" i="4"/>
  <c r="G419" i="4"/>
  <c r="I419" i="4" s="1"/>
  <c r="N419" i="4"/>
  <c r="O419" i="4"/>
  <c r="P419" i="4"/>
  <c r="Q419" i="4"/>
  <c r="R419" i="4"/>
  <c r="T419" i="4"/>
  <c r="W419" i="4"/>
  <c r="X419" i="4"/>
  <c r="B420" i="4"/>
  <c r="G420" i="4"/>
  <c r="I420" i="4" s="1"/>
  <c r="N420" i="4"/>
  <c r="O420" i="4"/>
  <c r="P420" i="4"/>
  <c r="Q420" i="4"/>
  <c r="T420" i="4"/>
  <c r="W420" i="4"/>
  <c r="B421" i="4"/>
  <c r="G421" i="4"/>
  <c r="I421" i="4" s="1"/>
  <c r="N421" i="4"/>
  <c r="O421" i="4"/>
  <c r="P421" i="4"/>
  <c r="Q421" i="4"/>
  <c r="R421" i="4"/>
  <c r="T421" i="4"/>
  <c r="W421" i="4"/>
  <c r="X421" i="4"/>
  <c r="B422" i="4"/>
  <c r="G422" i="4"/>
  <c r="I422" i="4" s="1"/>
  <c r="N422" i="4"/>
  <c r="O422" i="4"/>
  <c r="P422" i="4"/>
  <c r="Q422" i="4"/>
  <c r="R422" i="4"/>
  <c r="T422" i="4"/>
  <c r="W422" i="4"/>
  <c r="X422" i="4"/>
  <c r="B423" i="4"/>
  <c r="G423" i="4"/>
  <c r="I423" i="4" s="1"/>
  <c r="N423" i="4"/>
  <c r="O423" i="4"/>
  <c r="P423" i="4"/>
  <c r="Q423" i="4"/>
  <c r="T423" i="4"/>
  <c r="W423" i="4"/>
  <c r="B424" i="4"/>
  <c r="G424" i="4"/>
  <c r="I424" i="4" s="1"/>
  <c r="N424" i="4"/>
  <c r="O424" i="4"/>
  <c r="P424" i="4"/>
  <c r="Q424" i="4"/>
  <c r="R424" i="4"/>
  <c r="T424" i="4"/>
  <c r="W424" i="4"/>
  <c r="B425" i="4"/>
  <c r="G425" i="4"/>
  <c r="I425" i="4" s="1"/>
  <c r="N425" i="4"/>
  <c r="O425" i="4"/>
  <c r="P425" i="4"/>
  <c r="Q425" i="4"/>
  <c r="T425" i="4"/>
  <c r="W425" i="4"/>
  <c r="X425" i="4"/>
  <c r="B426" i="4"/>
  <c r="G426" i="4"/>
  <c r="I426" i="4" s="1"/>
  <c r="N426" i="4"/>
  <c r="O426" i="4"/>
  <c r="P426" i="4"/>
  <c r="Q426" i="4"/>
  <c r="R426" i="4"/>
  <c r="T426" i="4"/>
  <c r="W426" i="4"/>
  <c r="X426" i="4"/>
  <c r="B427" i="4"/>
  <c r="G427" i="4"/>
  <c r="I427" i="4" s="1"/>
  <c r="N427" i="4"/>
  <c r="O427" i="4"/>
  <c r="P427" i="4"/>
  <c r="Q427" i="4"/>
  <c r="T427" i="4"/>
  <c r="W427" i="4"/>
  <c r="X427" i="4"/>
  <c r="B428" i="4"/>
  <c r="G428" i="4"/>
  <c r="I428" i="4" s="1"/>
  <c r="N428" i="4"/>
  <c r="O428" i="4"/>
  <c r="P428" i="4"/>
  <c r="Q428" i="4"/>
  <c r="T428" i="4"/>
  <c r="W428" i="4"/>
  <c r="B429" i="4"/>
  <c r="G429" i="4"/>
  <c r="I429" i="4" s="1"/>
  <c r="N429" i="4"/>
  <c r="O429" i="4"/>
  <c r="P429" i="4"/>
  <c r="Q429" i="4"/>
  <c r="R429" i="4"/>
  <c r="T429" i="4"/>
  <c r="W429" i="4"/>
  <c r="B406" i="4"/>
  <c r="G406" i="4"/>
  <c r="I406" i="4" s="1"/>
  <c r="N406" i="4"/>
  <c r="O406" i="4"/>
  <c r="P406" i="4"/>
  <c r="Q406" i="4"/>
  <c r="T406" i="4"/>
  <c r="W406" i="4"/>
  <c r="B407" i="4"/>
  <c r="G407" i="4"/>
  <c r="I407" i="4" s="1"/>
  <c r="N407" i="4"/>
  <c r="O407" i="4"/>
  <c r="P407" i="4"/>
  <c r="Q407" i="4"/>
  <c r="T407" i="4"/>
  <c r="W407" i="4"/>
  <c r="B408" i="4"/>
  <c r="G408" i="4"/>
  <c r="I408" i="4" s="1"/>
  <c r="N408" i="4"/>
  <c r="O408" i="4"/>
  <c r="P408" i="4"/>
  <c r="Q408" i="4"/>
  <c r="R408" i="4"/>
  <c r="T408" i="4"/>
  <c r="W408" i="4"/>
  <c r="B409" i="4"/>
  <c r="G409" i="4"/>
  <c r="I409" i="4" s="1"/>
  <c r="N409" i="4"/>
  <c r="O409" i="4"/>
  <c r="P409" i="4"/>
  <c r="Q409" i="4"/>
  <c r="R409" i="4"/>
  <c r="T409" i="4"/>
  <c r="W409" i="4"/>
  <c r="B410" i="4"/>
  <c r="G410" i="4"/>
  <c r="I410" i="4" s="1"/>
  <c r="N410" i="4"/>
  <c r="O410" i="4"/>
  <c r="P410" i="4"/>
  <c r="Q410" i="4"/>
  <c r="R410" i="4"/>
  <c r="T410" i="4"/>
  <c r="W410" i="4"/>
  <c r="B411" i="4"/>
  <c r="G411" i="4"/>
  <c r="I411" i="4" s="1"/>
  <c r="N411" i="4"/>
  <c r="O411" i="4"/>
  <c r="P411" i="4"/>
  <c r="Q411" i="4"/>
  <c r="R411" i="4"/>
  <c r="T411" i="4"/>
  <c r="W411" i="4"/>
  <c r="B412" i="4"/>
  <c r="G412" i="4"/>
  <c r="I412" i="4" s="1"/>
  <c r="N412" i="4"/>
  <c r="O412" i="4"/>
  <c r="P412" i="4"/>
  <c r="Q412" i="4"/>
  <c r="R412" i="4"/>
  <c r="T412" i="4"/>
  <c r="W412" i="4"/>
  <c r="B413" i="4"/>
  <c r="G413" i="4"/>
  <c r="I413" i="4" s="1"/>
  <c r="N413" i="4"/>
  <c r="O413" i="4"/>
  <c r="P413" i="4"/>
  <c r="Q413" i="4"/>
  <c r="R413" i="4"/>
  <c r="T413" i="4"/>
  <c r="W413" i="4"/>
  <c r="B414" i="4"/>
  <c r="G414" i="4"/>
  <c r="I414" i="4" s="1"/>
  <c r="N414" i="4"/>
  <c r="O414" i="4"/>
  <c r="P414" i="4"/>
  <c r="Q414" i="4"/>
  <c r="R414" i="4"/>
  <c r="T414" i="4"/>
  <c r="W414" i="4"/>
  <c r="B398" i="4"/>
  <c r="G398" i="4"/>
  <c r="I398" i="4" s="1"/>
  <c r="N398" i="4"/>
  <c r="O398" i="4"/>
  <c r="P398" i="4"/>
  <c r="Q398" i="4"/>
  <c r="R398" i="4"/>
  <c r="T398" i="4"/>
  <c r="W398" i="4"/>
  <c r="B399" i="4"/>
  <c r="G399" i="4"/>
  <c r="I399" i="4" s="1"/>
  <c r="N399" i="4"/>
  <c r="O399" i="4"/>
  <c r="P399" i="4"/>
  <c r="Q399" i="4"/>
  <c r="R399" i="4"/>
  <c r="T399" i="4"/>
  <c r="W399" i="4"/>
  <c r="B400" i="4"/>
  <c r="G400" i="4"/>
  <c r="I400" i="4" s="1"/>
  <c r="N400" i="4"/>
  <c r="O400" i="4"/>
  <c r="P400" i="4"/>
  <c r="Q400" i="4"/>
  <c r="T400" i="4"/>
  <c r="W400" i="4"/>
  <c r="B401" i="4"/>
  <c r="G401" i="4"/>
  <c r="I401" i="4" s="1"/>
  <c r="N401" i="4"/>
  <c r="O401" i="4"/>
  <c r="P401" i="4"/>
  <c r="Q401" i="4"/>
  <c r="T401" i="4"/>
  <c r="W401" i="4"/>
  <c r="B402" i="4"/>
  <c r="G402" i="4"/>
  <c r="N402" i="4"/>
  <c r="O402" i="4"/>
  <c r="P402" i="4"/>
  <c r="Q402" i="4"/>
  <c r="R402" i="4"/>
  <c r="T402" i="4"/>
  <c r="W402" i="4"/>
  <c r="B403" i="4"/>
  <c r="J403" i="4" s="1"/>
  <c r="G403" i="4"/>
  <c r="N403" i="4"/>
  <c r="O403" i="4"/>
  <c r="P403" i="4"/>
  <c r="Q403" i="4"/>
  <c r="R403" i="4"/>
  <c r="T403" i="4"/>
  <c r="W403" i="4"/>
  <c r="B404" i="4"/>
  <c r="G404" i="4"/>
  <c r="I404" i="4" s="1"/>
  <c r="N404" i="4"/>
  <c r="O404" i="4"/>
  <c r="P404" i="4"/>
  <c r="Q404" i="4"/>
  <c r="T404" i="4"/>
  <c r="W404" i="4"/>
  <c r="B405" i="4"/>
  <c r="G405" i="4"/>
  <c r="I405" i="4" s="1"/>
  <c r="N405" i="4"/>
  <c r="O405" i="4"/>
  <c r="P405" i="4"/>
  <c r="Q405" i="4"/>
  <c r="R405" i="4"/>
  <c r="T405" i="4"/>
  <c r="W405" i="4"/>
  <c r="S424" i="4" l="1"/>
  <c r="S412" i="4"/>
  <c r="S406" i="4"/>
  <c r="S418" i="4"/>
  <c r="S425" i="4"/>
  <c r="S419" i="4"/>
  <c r="S441" i="4"/>
  <c r="S409" i="4"/>
  <c r="S427" i="4"/>
  <c r="S421" i="4"/>
  <c r="S415" i="4"/>
  <c r="S431" i="4"/>
  <c r="S407" i="4"/>
  <c r="S430" i="4"/>
  <c r="S416" i="4"/>
  <c r="S438" i="4"/>
  <c r="S428" i="4"/>
  <c r="S417" i="4"/>
  <c r="S433" i="4"/>
  <c r="S439" i="4"/>
  <c r="S426" i="4"/>
  <c r="S420" i="4"/>
  <c r="S422" i="4"/>
  <c r="S432" i="4"/>
  <c r="S400" i="4"/>
  <c r="S434" i="4"/>
  <c r="S440" i="4"/>
  <c r="S443" i="4"/>
  <c r="S442" i="4"/>
  <c r="Z517" i="4"/>
  <c r="S444" i="4"/>
  <c r="S437" i="4"/>
  <c r="S405" i="4"/>
  <c r="S404" i="4"/>
  <c r="S401" i="4"/>
  <c r="S399" i="4"/>
  <c r="S398" i="4"/>
  <c r="S414" i="4"/>
  <c r="S413" i="4"/>
  <c r="S411" i="4"/>
  <c r="S410" i="4"/>
  <c r="S408" i="4"/>
  <c r="S429" i="4"/>
  <c r="S423" i="4"/>
  <c r="I106" i="8"/>
  <c r="I54" i="25"/>
  <c r="I76" i="13"/>
  <c r="Z557" i="4"/>
  <c r="Z556" i="4"/>
  <c r="Z553" i="4"/>
  <c r="Z551" i="4"/>
  <c r="Z550" i="4"/>
  <c r="I31" i="25"/>
  <c r="I69" i="8"/>
  <c r="I51" i="13"/>
  <c r="Z547" i="4"/>
  <c r="I49" i="25"/>
  <c r="I69" i="13"/>
  <c r="I98" i="8"/>
  <c r="Z545" i="4"/>
  <c r="Z544" i="4"/>
  <c r="Z543" i="4"/>
  <c r="Z542" i="4"/>
  <c r="Z541" i="4"/>
  <c r="Z539" i="4"/>
  <c r="Z535" i="4"/>
  <c r="Z534" i="4"/>
  <c r="Z537" i="4"/>
  <c r="Z538" i="4"/>
  <c r="Z509" i="4"/>
  <c r="Z533" i="4"/>
  <c r="Z532" i="4"/>
  <c r="Z531" i="4"/>
  <c r="Z529" i="4"/>
  <c r="Z527" i="4"/>
  <c r="Z524" i="4"/>
  <c r="Z523" i="4"/>
  <c r="Z521" i="4"/>
  <c r="Z520" i="4"/>
  <c r="Z516" i="4"/>
  <c r="Z515" i="4"/>
  <c r="Z514" i="4"/>
  <c r="Z513" i="4"/>
  <c r="Z511" i="4"/>
  <c r="Z505" i="4"/>
  <c r="Z503" i="4"/>
  <c r="Z502" i="4"/>
  <c r="Z499" i="4"/>
  <c r="Z496" i="4"/>
  <c r="Z490" i="4"/>
  <c r="U539" i="4"/>
  <c r="J400" i="4"/>
  <c r="K400" i="4" s="1"/>
  <c r="J412" i="4"/>
  <c r="K412" i="4" s="1"/>
  <c r="J409" i="4"/>
  <c r="K409" i="4" s="1"/>
  <c r="J407" i="4"/>
  <c r="K407" i="4" s="1"/>
  <c r="J406" i="4"/>
  <c r="K406" i="4" s="1"/>
  <c r="J428" i="4"/>
  <c r="K428" i="4" s="1"/>
  <c r="J427" i="4"/>
  <c r="K427" i="4" s="1"/>
  <c r="J425" i="4"/>
  <c r="K425" i="4" s="1"/>
  <c r="J424" i="4"/>
  <c r="K424" i="4" s="1"/>
  <c r="J422" i="4"/>
  <c r="K422" i="4" s="1"/>
  <c r="J421" i="4"/>
  <c r="K421" i="4" s="1"/>
  <c r="J419" i="4"/>
  <c r="K419" i="4" s="1"/>
  <c r="J418" i="4"/>
  <c r="K418" i="4" s="1"/>
  <c r="J417" i="4"/>
  <c r="K417" i="4" s="1"/>
  <c r="J416" i="4"/>
  <c r="K416" i="4" s="1"/>
  <c r="J415" i="4"/>
  <c r="K415" i="4" s="1"/>
  <c r="J433" i="4"/>
  <c r="K433" i="4" s="1"/>
  <c r="J431" i="4"/>
  <c r="K431" i="4" s="1"/>
  <c r="J430" i="4"/>
  <c r="K430" i="4" s="1"/>
  <c r="J440" i="4"/>
  <c r="K440" i="4" s="1"/>
  <c r="J437" i="4"/>
  <c r="K437" i="4" s="1"/>
  <c r="J442" i="4"/>
  <c r="K442" i="4" s="1"/>
  <c r="J444" i="4"/>
  <c r="K444" i="4" s="1"/>
  <c r="J443" i="4"/>
  <c r="K443" i="4" s="1"/>
  <c r="U513" i="4"/>
  <c r="U557" i="4"/>
  <c r="U496" i="4"/>
  <c r="U535" i="4"/>
  <c r="U529" i="4"/>
  <c r="U516" i="4"/>
  <c r="U542" i="4"/>
  <c r="U538" i="4"/>
  <c r="U524" i="4"/>
  <c r="U515" i="4"/>
  <c r="U541" i="4"/>
  <c r="U553" i="4"/>
  <c r="U490" i="4"/>
  <c r="U533" i="4"/>
  <c r="U502" i="4"/>
  <c r="U556" i="4"/>
  <c r="U499" i="4"/>
  <c r="U514" i="4"/>
  <c r="U523" i="4"/>
  <c r="U527" i="4"/>
  <c r="U509" i="4"/>
  <c r="U532" i="4"/>
  <c r="U551" i="4"/>
  <c r="U545" i="4"/>
  <c r="U531" i="4"/>
  <c r="U511" i="4"/>
  <c r="H69" i="8"/>
  <c r="H51" i="13"/>
  <c r="H31" i="25"/>
  <c r="Z449" i="4"/>
  <c r="Z448" i="4"/>
  <c r="Z446" i="4"/>
  <c r="Z445" i="4"/>
  <c r="U449" i="4"/>
  <c r="U448" i="4"/>
  <c r="K447" i="4"/>
  <c r="U445" i="4"/>
  <c r="J439" i="4"/>
  <c r="K439" i="4" s="1"/>
  <c r="J441" i="4"/>
  <c r="J438" i="4"/>
  <c r="J423" i="4"/>
  <c r="K423" i="4" s="1"/>
  <c r="J414" i="4"/>
  <c r="K414" i="4" s="1"/>
  <c r="J420" i="4"/>
  <c r="K420" i="4" s="1"/>
  <c r="J408" i="4"/>
  <c r="K408" i="4" s="1"/>
  <c r="J435" i="4"/>
  <c r="K435" i="4" s="1"/>
  <c r="J432" i="4"/>
  <c r="K432" i="4" s="1"/>
  <c r="J426" i="4"/>
  <c r="K426" i="4" s="1"/>
  <c r="J429" i="4"/>
  <c r="K429" i="4" s="1"/>
  <c r="J413" i="4"/>
  <c r="K413" i="4" s="1"/>
  <c r="J411" i="4"/>
  <c r="K411" i="4" s="1"/>
  <c r="J410" i="4"/>
  <c r="K410" i="4" s="1"/>
  <c r="K436" i="4"/>
  <c r="J434" i="4"/>
  <c r="J404" i="4"/>
  <c r="J398" i="4"/>
  <c r="K398" i="4" s="1"/>
  <c r="J401" i="4"/>
  <c r="K403" i="4"/>
  <c r="J405" i="4"/>
  <c r="J402" i="4"/>
  <c r="J399" i="4"/>
  <c r="B361" i="4"/>
  <c r="I20" i="12" l="1"/>
  <c r="I70" i="8"/>
  <c r="I32" i="25"/>
  <c r="H70" i="8"/>
  <c r="H32" i="25"/>
  <c r="H20" i="12"/>
  <c r="H69" i="13"/>
  <c r="H49" i="25"/>
  <c r="H98" i="8"/>
  <c r="Z447" i="4"/>
  <c r="Z400" i="4"/>
  <c r="Z433" i="4"/>
  <c r="Z421" i="4"/>
  <c r="Z431" i="4"/>
  <c r="Z426" i="4"/>
  <c r="Z437" i="4"/>
  <c r="Z430" i="4"/>
  <c r="Z403" i="4"/>
  <c r="Z432" i="4"/>
  <c r="Z440" i="4"/>
  <c r="Z419" i="4"/>
  <c r="Z413" i="4"/>
  <c r="Z407" i="4"/>
  <c r="Z435" i="4"/>
  <c r="Z416" i="4"/>
  <c r="Z442" i="4"/>
  <c r="Z409" i="4"/>
  <c r="Z429" i="4"/>
  <c r="Z425" i="4"/>
  <c r="Z417" i="4"/>
  <c r="Z443" i="4"/>
  <c r="Z444" i="4"/>
  <c r="Z410" i="4"/>
  <c r="Z420" i="4"/>
  <c r="Z428" i="4"/>
  <c r="Z412" i="4"/>
  <c r="Z398" i="4"/>
  <c r="Z415" i="4"/>
  <c r="Z411" i="4"/>
  <c r="Z414" i="4"/>
  <c r="Z427" i="4"/>
  <c r="Z418" i="4"/>
  <c r="Z408" i="4"/>
  <c r="Z406" i="4"/>
  <c r="Z424" i="4"/>
  <c r="Z423" i="4"/>
  <c r="Z422" i="4"/>
  <c r="Z436" i="4"/>
  <c r="Z439" i="4"/>
  <c r="U447" i="4"/>
  <c r="U444" i="4"/>
  <c r="U443" i="4"/>
  <c r="U442" i="4"/>
  <c r="K438" i="4"/>
  <c r="K441" i="4"/>
  <c r="U417" i="4"/>
  <c r="U414" i="4"/>
  <c r="U411" i="4"/>
  <c r="U408" i="4"/>
  <c r="U429" i="4"/>
  <c r="U426" i="4"/>
  <c r="U413" i="4"/>
  <c r="U409" i="4"/>
  <c r="U422" i="4"/>
  <c r="U430" i="4"/>
  <c r="U433" i="4"/>
  <c r="K434" i="4"/>
  <c r="U431" i="4"/>
  <c r="U421" i="4"/>
  <c r="U424" i="4"/>
  <c r="G47" i="25" s="1"/>
  <c r="U419" i="4"/>
  <c r="U412" i="4"/>
  <c r="U410" i="4"/>
  <c r="K404" i="4"/>
  <c r="U398" i="4"/>
  <c r="K401" i="4"/>
  <c r="K399" i="4"/>
  <c r="K402" i="4"/>
  <c r="K405" i="4"/>
  <c r="D59" i="25"/>
  <c r="E59" i="25"/>
  <c r="F59" i="25"/>
  <c r="G59" i="25"/>
  <c r="H59" i="25"/>
  <c r="I59" i="25"/>
  <c r="J59" i="25"/>
  <c r="K59" i="25"/>
  <c r="L59" i="25"/>
  <c r="M59" i="25"/>
  <c r="N59" i="25"/>
  <c r="O59" i="25"/>
  <c r="P59" i="25"/>
  <c r="Q59" i="25"/>
  <c r="T59" i="25"/>
  <c r="E18" i="25"/>
  <c r="F18" i="25"/>
  <c r="H18" i="25"/>
  <c r="I18" i="25"/>
  <c r="J18" i="25"/>
  <c r="K18" i="25"/>
  <c r="L18" i="25"/>
  <c r="M18" i="25"/>
  <c r="N18" i="25"/>
  <c r="O18" i="25"/>
  <c r="P18" i="25"/>
  <c r="Q18" i="25"/>
  <c r="T18" i="25"/>
  <c r="I11" i="25"/>
  <c r="J11" i="25"/>
  <c r="K11" i="25"/>
  <c r="L11" i="25"/>
  <c r="O11" i="25"/>
  <c r="P11" i="25"/>
  <c r="Q11" i="25"/>
  <c r="T11" i="25"/>
  <c r="E51" i="25"/>
  <c r="F51" i="25"/>
  <c r="G51" i="25"/>
  <c r="H51" i="25"/>
  <c r="I51" i="25"/>
  <c r="J51" i="25"/>
  <c r="K51" i="25"/>
  <c r="L51" i="25"/>
  <c r="M51" i="25"/>
  <c r="N51" i="25"/>
  <c r="O51" i="25"/>
  <c r="P51" i="25"/>
  <c r="Q51" i="25"/>
  <c r="T51" i="25"/>
  <c r="D19" i="25"/>
  <c r="H19" i="25"/>
  <c r="I19" i="25"/>
  <c r="J19" i="25"/>
  <c r="K19" i="25"/>
  <c r="N19" i="25"/>
  <c r="O19" i="25"/>
  <c r="Q19" i="25"/>
  <c r="T19" i="25"/>
  <c r="H28" i="25"/>
  <c r="J28" i="25"/>
  <c r="K28" i="25"/>
  <c r="L28" i="25"/>
  <c r="M28" i="25"/>
  <c r="N28" i="25"/>
  <c r="O28" i="25"/>
  <c r="P28" i="25"/>
  <c r="Q28" i="25"/>
  <c r="T28" i="25"/>
  <c r="D47" i="25"/>
  <c r="H47" i="25"/>
  <c r="I47" i="25"/>
  <c r="J47" i="25"/>
  <c r="K47" i="25"/>
  <c r="L47" i="25"/>
  <c r="M47" i="25"/>
  <c r="N47" i="25"/>
  <c r="O47" i="25"/>
  <c r="P47" i="25"/>
  <c r="Q47" i="25"/>
  <c r="T47" i="25"/>
  <c r="D55" i="25"/>
  <c r="E55" i="25"/>
  <c r="F55" i="25"/>
  <c r="G55" i="25"/>
  <c r="H55" i="25"/>
  <c r="I55" i="25"/>
  <c r="J55" i="25"/>
  <c r="K55" i="25"/>
  <c r="L55" i="25"/>
  <c r="M55" i="25"/>
  <c r="N55" i="25"/>
  <c r="O55" i="25"/>
  <c r="P55" i="25"/>
  <c r="Q55" i="25"/>
  <c r="T55" i="25"/>
  <c r="I41" i="25"/>
  <c r="J41" i="25"/>
  <c r="K41" i="25"/>
  <c r="L41" i="25"/>
  <c r="M41" i="25"/>
  <c r="N41" i="25"/>
  <c r="O41" i="25"/>
  <c r="P41" i="25"/>
  <c r="Q41" i="25"/>
  <c r="T41" i="25"/>
  <c r="D65" i="25"/>
  <c r="E65" i="25"/>
  <c r="F65" i="25"/>
  <c r="G65" i="25"/>
  <c r="H65" i="25"/>
  <c r="I65" i="25"/>
  <c r="J65" i="25"/>
  <c r="K65" i="25"/>
  <c r="L65" i="25"/>
  <c r="M65" i="25"/>
  <c r="N65" i="25"/>
  <c r="O65" i="25"/>
  <c r="P65" i="25"/>
  <c r="Q65" i="25"/>
  <c r="T65" i="25"/>
  <c r="J9" i="25"/>
  <c r="K9" i="25"/>
  <c r="O9" i="25"/>
  <c r="Q9" i="25"/>
  <c r="T9" i="25"/>
  <c r="F35" i="25"/>
  <c r="G35" i="25"/>
  <c r="H35" i="25"/>
  <c r="I35" i="25"/>
  <c r="J35" i="25"/>
  <c r="K35" i="25"/>
  <c r="L35" i="25"/>
  <c r="M35" i="25"/>
  <c r="N35" i="25"/>
  <c r="O35" i="25"/>
  <c r="P35" i="25"/>
  <c r="Q35" i="25"/>
  <c r="T35" i="25"/>
  <c r="D63" i="25"/>
  <c r="E63" i="25"/>
  <c r="F63" i="25"/>
  <c r="G63" i="25"/>
  <c r="H63" i="25"/>
  <c r="I63" i="25"/>
  <c r="J63" i="25"/>
  <c r="K63" i="25"/>
  <c r="L63" i="25"/>
  <c r="M63" i="25"/>
  <c r="N63" i="25"/>
  <c r="O63" i="25"/>
  <c r="P63" i="25"/>
  <c r="Q63" i="25"/>
  <c r="T63" i="25"/>
  <c r="G48" i="25"/>
  <c r="H48" i="25"/>
  <c r="I48" i="25"/>
  <c r="J48" i="25"/>
  <c r="K48" i="25"/>
  <c r="L48" i="25"/>
  <c r="M48" i="25"/>
  <c r="N48" i="25"/>
  <c r="O48" i="25"/>
  <c r="P48" i="25"/>
  <c r="Q48" i="25"/>
  <c r="T48" i="25"/>
  <c r="B379" i="4"/>
  <c r="G379" i="4"/>
  <c r="I379" i="4" s="1"/>
  <c r="N379" i="4"/>
  <c r="O379" i="4"/>
  <c r="P379" i="4"/>
  <c r="Q379" i="4"/>
  <c r="R379" i="4"/>
  <c r="T379" i="4"/>
  <c r="W379" i="4"/>
  <c r="B380" i="4"/>
  <c r="G380" i="4"/>
  <c r="I380" i="4" s="1"/>
  <c r="N380" i="4"/>
  <c r="O380" i="4"/>
  <c r="P380" i="4"/>
  <c r="Q380" i="4"/>
  <c r="R380" i="4"/>
  <c r="T380" i="4"/>
  <c r="W380" i="4"/>
  <c r="X380" i="4"/>
  <c r="B381" i="4"/>
  <c r="G381" i="4"/>
  <c r="I381" i="4" s="1"/>
  <c r="N381" i="4"/>
  <c r="O381" i="4"/>
  <c r="P381" i="4"/>
  <c r="Q381" i="4"/>
  <c r="R381" i="4"/>
  <c r="T381" i="4"/>
  <c r="W381" i="4"/>
  <c r="B382" i="4"/>
  <c r="G382" i="4"/>
  <c r="I382" i="4" s="1"/>
  <c r="N382" i="4"/>
  <c r="O382" i="4"/>
  <c r="P382" i="4"/>
  <c r="Q382" i="4"/>
  <c r="T382" i="4"/>
  <c r="W382" i="4"/>
  <c r="X382" i="4"/>
  <c r="B383" i="4"/>
  <c r="G383" i="4"/>
  <c r="I383" i="4" s="1"/>
  <c r="N383" i="4"/>
  <c r="O383" i="4"/>
  <c r="P383" i="4"/>
  <c r="Q383" i="4"/>
  <c r="T383" i="4"/>
  <c r="W383" i="4"/>
  <c r="B384" i="4"/>
  <c r="G384" i="4"/>
  <c r="I384" i="4" s="1"/>
  <c r="N384" i="4"/>
  <c r="O384" i="4"/>
  <c r="P384" i="4"/>
  <c r="Q384" i="4"/>
  <c r="T384" i="4"/>
  <c r="W384" i="4"/>
  <c r="B385" i="4"/>
  <c r="G385" i="4"/>
  <c r="I385" i="4" s="1"/>
  <c r="N385" i="4"/>
  <c r="O385" i="4"/>
  <c r="P385" i="4"/>
  <c r="Q385" i="4"/>
  <c r="R385" i="4"/>
  <c r="T385" i="4"/>
  <c r="W385" i="4"/>
  <c r="X385" i="4"/>
  <c r="B386" i="4"/>
  <c r="G386" i="4"/>
  <c r="I386" i="4" s="1"/>
  <c r="N386" i="4"/>
  <c r="O386" i="4"/>
  <c r="P386" i="4"/>
  <c r="Q386" i="4"/>
  <c r="R386" i="4"/>
  <c r="T386" i="4"/>
  <c r="W386" i="4"/>
  <c r="X386" i="4"/>
  <c r="B387" i="4"/>
  <c r="G387" i="4"/>
  <c r="I387" i="4" s="1"/>
  <c r="N387" i="4"/>
  <c r="O387" i="4"/>
  <c r="P387" i="4"/>
  <c r="Q387" i="4"/>
  <c r="R387" i="4"/>
  <c r="T387" i="4"/>
  <c r="W387" i="4"/>
  <c r="B388" i="4"/>
  <c r="G388" i="4"/>
  <c r="I388" i="4" s="1"/>
  <c r="N388" i="4"/>
  <c r="O388" i="4"/>
  <c r="P388" i="4"/>
  <c r="Q388" i="4"/>
  <c r="R388" i="4"/>
  <c r="T388" i="4"/>
  <c r="W388" i="4"/>
  <c r="B389" i="4"/>
  <c r="G389" i="4"/>
  <c r="I389" i="4" s="1"/>
  <c r="N389" i="4"/>
  <c r="O389" i="4"/>
  <c r="P389" i="4"/>
  <c r="Q389" i="4"/>
  <c r="T389" i="4"/>
  <c r="W389" i="4"/>
  <c r="B390" i="4"/>
  <c r="G390" i="4"/>
  <c r="I390" i="4" s="1"/>
  <c r="N390" i="4"/>
  <c r="O390" i="4"/>
  <c r="P390" i="4"/>
  <c r="Q390" i="4"/>
  <c r="T390" i="4"/>
  <c r="W390" i="4"/>
  <c r="B391" i="4"/>
  <c r="G391" i="4"/>
  <c r="I391" i="4" s="1"/>
  <c r="N391" i="4"/>
  <c r="O391" i="4"/>
  <c r="P391" i="4"/>
  <c r="Q391" i="4"/>
  <c r="R391" i="4"/>
  <c r="T391" i="4"/>
  <c r="W391" i="4"/>
  <c r="X391" i="4"/>
  <c r="B392" i="4"/>
  <c r="G392" i="4"/>
  <c r="I392" i="4" s="1"/>
  <c r="N392" i="4"/>
  <c r="O392" i="4"/>
  <c r="P392" i="4"/>
  <c r="Q392" i="4"/>
  <c r="R392" i="4"/>
  <c r="T392" i="4"/>
  <c r="W392" i="4"/>
  <c r="B393" i="4"/>
  <c r="G393" i="4"/>
  <c r="I393" i="4" s="1"/>
  <c r="N393" i="4"/>
  <c r="O393" i="4"/>
  <c r="P393" i="4"/>
  <c r="Q393" i="4"/>
  <c r="R393" i="4"/>
  <c r="T393" i="4"/>
  <c r="W393" i="4"/>
  <c r="B394" i="4"/>
  <c r="G394" i="4"/>
  <c r="I394" i="4" s="1"/>
  <c r="N394" i="4"/>
  <c r="O394" i="4"/>
  <c r="P394" i="4"/>
  <c r="Q394" i="4"/>
  <c r="R394" i="4"/>
  <c r="T394" i="4"/>
  <c r="W394" i="4"/>
  <c r="X394" i="4"/>
  <c r="B395" i="4"/>
  <c r="G395" i="4"/>
  <c r="I395" i="4" s="1"/>
  <c r="N395" i="4"/>
  <c r="O395" i="4"/>
  <c r="P395" i="4"/>
  <c r="Q395" i="4"/>
  <c r="R395" i="4"/>
  <c r="T395" i="4"/>
  <c r="W395" i="4"/>
  <c r="X395" i="4"/>
  <c r="B396" i="4"/>
  <c r="G396" i="4"/>
  <c r="I396" i="4" s="1"/>
  <c r="N396" i="4"/>
  <c r="O396" i="4"/>
  <c r="P396" i="4"/>
  <c r="Q396" i="4"/>
  <c r="R396" i="4"/>
  <c r="T396" i="4"/>
  <c r="W396" i="4"/>
  <c r="X396" i="4"/>
  <c r="B397" i="4"/>
  <c r="G397" i="4"/>
  <c r="I397" i="4" s="1"/>
  <c r="N397" i="4"/>
  <c r="O397" i="4"/>
  <c r="P397" i="4"/>
  <c r="Q397" i="4"/>
  <c r="R397" i="4"/>
  <c r="T397" i="4"/>
  <c r="W397" i="4"/>
  <c r="X397" i="4"/>
  <c r="S391" i="4" l="1"/>
  <c r="S385" i="4"/>
  <c r="S379" i="4"/>
  <c r="S386" i="4"/>
  <c r="S380" i="4"/>
  <c r="S394" i="4"/>
  <c r="S395" i="4"/>
  <c r="S388" i="4"/>
  <c r="S396" i="4"/>
  <c r="S384" i="4"/>
  <c r="S393" i="4"/>
  <c r="S381" i="4"/>
  <c r="S382" i="4"/>
  <c r="S383" i="4"/>
  <c r="S387" i="4"/>
  <c r="S397" i="4"/>
  <c r="S392" i="4"/>
  <c r="S390" i="4"/>
  <c r="S389" i="4"/>
  <c r="J395" i="4"/>
  <c r="K395" i="4" s="1"/>
  <c r="J393" i="4"/>
  <c r="K393" i="4" s="1"/>
  <c r="J391" i="4"/>
  <c r="K391" i="4" s="1"/>
  <c r="J386" i="4"/>
  <c r="K386" i="4" s="1"/>
  <c r="J385" i="4"/>
  <c r="K385" i="4" s="1"/>
  <c r="J384" i="4"/>
  <c r="K384" i="4" s="1"/>
  <c r="J380" i="4"/>
  <c r="K380" i="4" s="1"/>
  <c r="J379" i="4"/>
  <c r="K379" i="4" s="1"/>
  <c r="Z399" i="4"/>
  <c r="Z438" i="4"/>
  <c r="Z401" i="4"/>
  <c r="Z404" i="4"/>
  <c r="Z434" i="4"/>
  <c r="Z405" i="4"/>
  <c r="Z441" i="4"/>
  <c r="Z402" i="4"/>
  <c r="U441" i="4"/>
  <c r="U438" i="4"/>
  <c r="U405" i="4"/>
  <c r="U399" i="4"/>
  <c r="J383" i="4"/>
  <c r="K383" i="4" s="1"/>
  <c r="J382" i="4"/>
  <c r="K382" i="4" s="1"/>
  <c r="J396" i="4"/>
  <c r="K396" i="4" s="1"/>
  <c r="J394" i="4"/>
  <c r="K394" i="4" s="1"/>
  <c r="J390" i="4"/>
  <c r="K390" i="4" s="1"/>
  <c r="J389" i="4"/>
  <c r="K389" i="4" s="1"/>
  <c r="J388" i="4"/>
  <c r="K388" i="4" s="1"/>
  <c r="J387" i="4"/>
  <c r="K387" i="4" s="1"/>
  <c r="J397" i="4"/>
  <c r="J392" i="4"/>
  <c r="J381" i="4"/>
  <c r="K381" i="4" s="1"/>
  <c r="G14" i="25"/>
  <c r="H14" i="25"/>
  <c r="I14" i="25"/>
  <c r="J14" i="25"/>
  <c r="K14" i="25"/>
  <c r="L14" i="25"/>
  <c r="M14" i="25"/>
  <c r="N14" i="25"/>
  <c r="P14" i="25"/>
  <c r="Q14" i="25"/>
  <c r="T14" i="25"/>
  <c r="H25" i="25"/>
  <c r="I25" i="25"/>
  <c r="J25" i="25"/>
  <c r="K25" i="25"/>
  <c r="L25" i="25"/>
  <c r="M25" i="25"/>
  <c r="N25" i="25"/>
  <c r="O25" i="25"/>
  <c r="P25" i="25"/>
  <c r="Q25" i="25"/>
  <c r="T25" i="25"/>
  <c r="H16" i="25"/>
  <c r="J16" i="25"/>
  <c r="K16" i="25"/>
  <c r="L16" i="25"/>
  <c r="M16" i="25"/>
  <c r="N16" i="25"/>
  <c r="O16" i="25"/>
  <c r="P16" i="25"/>
  <c r="Q16" i="25"/>
  <c r="T16" i="25"/>
  <c r="E31" i="26"/>
  <c r="Z389" i="4" l="1"/>
  <c r="Z390" i="4"/>
  <c r="Z380" i="4"/>
  <c r="Z381" i="4"/>
  <c r="Z394" i="4"/>
  <c r="Z384" i="4"/>
  <c r="Z396" i="4"/>
  <c r="Z387" i="4"/>
  <c r="Z385" i="4"/>
  <c r="Z382" i="4"/>
  <c r="Z395" i="4"/>
  <c r="Z383" i="4"/>
  <c r="Z391" i="4"/>
  <c r="Z386" i="4"/>
  <c r="Z379" i="4"/>
  <c r="Z388" i="4"/>
  <c r="Z393" i="4"/>
  <c r="U393" i="4"/>
  <c r="G18" i="25" s="1"/>
  <c r="U396" i="4"/>
  <c r="U387" i="4"/>
  <c r="G37" i="25" s="1"/>
  <c r="U386" i="4"/>
  <c r="U394" i="4"/>
  <c r="U385" i="4"/>
  <c r="K392" i="4"/>
  <c r="U395" i="4"/>
  <c r="K397" i="4"/>
  <c r="U391" i="4"/>
  <c r="G11" i="25" s="1"/>
  <c r="U381" i="4"/>
  <c r="U388" i="4"/>
  <c r="U380" i="4"/>
  <c r="G19" i="25" s="1"/>
  <c r="U379" i="4"/>
  <c r="G25" i="25" s="1"/>
  <c r="C49" i="31"/>
  <c r="D49" i="31"/>
  <c r="E49" i="31"/>
  <c r="F49" i="31"/>
  <c r="G49" i="31"/>
  <c r="H49" i="31"/>
  <c r="I49" i="31"/>
  <c r="J49" i="31"/>
  <c r="K49" i="31"/>
  <c r="L49" i="31"/>
  <c r="M49" i="31"/>
  <c r="N49" i="31"/>
  <c r="O49" i="31"/>
  <c r="P49" i="31"/>
  <c r="Q49" i="31"/>
  <c r="C38" i="31"/>
  <c r="D38" i="31"/>
  <c r="E38" i="31"/>
  <c r="F38" i="31"/>
  <c r="G38" i="31"/>
  <c r="H38" i="31"/>
  <c r="I38" i="31"/>
  <c r="J38" i="31"/>
  <c r="K38" i="31"/>
  <c r="L38" i="31"/>
  <c r="M38" i="31"/>
  <c r="N38" i="31"/>
  <c r="O38" i="31"/>
  <c r="P38" i="31"/>
  <c r="Q38" i="31"/>
  <c r="C75" i="31"/>
  <c r="D75" i="31"/>
  <c r="E75" i="31"/>
  <c r="F75" i="31"/>
  <c r="G75" i="31"/>
  <c r="H75" i="31"/>
  <c r="I75" i="31"/>
  <c r="J75" i="31"/>
  <c r="K75" i="31"/>
  <c r="L75" i="31"/>
  <c r="M75" i="31"/>
  <c r="N75" i="31"/>
  <c r="O75" i="31"/>
  <c r="P75" i="31"/>
  <c r="Q75" i="31"/>
  <c r="C88" i="31"/>
  <c r="D88" i="31"/>
  <c r="E88" i="31"/>
  <c r="F88" i="31"/>
  <c r="G88" i="31"/>
  <c r="H88" i="31"/>
  <c r="I88" i="31"/>
  <c r="J88" i="31"/>
  <c r="K88" i="31"/>
  <c r="L88" i="31"/>
  <c r="M88" i="31"/>
  <c r="N88" i="31"/>
  <c r="O88" i="31"/>
  <c r="P88" i="31"/>
  <c r="Q88" i="31"/>
  <c r="T84" i="22"/>
  <c r="T21" i="22"/>
  <c r="T19" i="22"/>
  <c r="T35" i="22"/>
  <c r="H37" i="25"/>
  <c r="I37" i="25"/>
  <c r="J37" i="25"/>
  <c r="K37" i="25"/>
  <c r="L37" i="25"/>
  <c r="M37" i="25"/>
  <c r="N37" i="25"/>
  <c r="O37" i="25"/>
  <c r="P37" i="25"/>
  <c r="Q37" i="25"/>
  <c r="T37" i="25"/>
  <c r="K21" i="25"/>
  <c r="M21" i="25"/>
  <c r="N21" i="25"/>
  <c r="O21" i="25"/>
  <c r="Q21" i="25"/>
  <c r="T21" i="25"/>
  <c r="H40" i="25"/>
  <c r="J40" i="25"/>
  <c r="K40" i="25"/>
  <c r="L40" i="25"/>
  <c r="M40" i="25"/>
  <c r="N40" i="25"/>
  <c r="O40" i="25"/>
  <c r="P40" i="25"/>
  <c r="Q40" i="25"/>
  <c r="T40" i="25"/>
  <c r="E40" i="25"/>
  <c r="D40" i="25"/>
  <c r="C40" i="25"/>
  <c r="E21" i="25"/>
  <c r="D21" i="25"/>
  <c r="C21" i="25"/>
  <c r="E37" i="25"/>
  <c r="D37" i="25"/>
  <c r="C37" i="25"/>
  <c r="C26" i="12"/>
  <c r="D26" i="12"/>
  <c r="E26" i="12"/>
  <c r="H26" i="12"/>
  <c r="I26" i="12"/>
  <c r="J26" i="12"/>
  <c r="K26" i="12"/>
  <c r="L26" i="12"/>
  <c r="M26" i="12"/>
  <c r="N26" i="12"/>
  <c r="O26" i="12"/>
  <c r="P26" i="12"/>
  <c r="Q26" i="12"/>
  <c r="T26" i="12"/>
  <c r="K36" i="13"/>
  <c r="M36" i="13"/>
  <c r="N36" i="13"/>
  <c r="O36" i="13"/>
  <c r="Q36" i="13"/>
  <c r="T36" i="13"/>
  <c r="H58" i="13"/>
  <c r="J58" i="13"/>
  <c r="K58" i="13"/>
  <c r="L58" i="13"/>
  <c r="M58" i="13"/>
  <c r="N58" i="13"/>
  <c r="O58" i="13"/>
  <c r="P58" i="13"/>
  <c r="Q58" i="13"/>
  <c r="T58" i="13"/>
  <c r="G64" i="13"/>
  <c r="H64" i="13"/>
  <c r="J64" i="13"/>
  <c r="L64" i="13"/>
  <c r="M64" i="13"/>
  <c r="N64" i="13"/>
  <c r="O64" i="13"/>
  <c r="P64" i="13"/>
  <c r="Q64" i="13"/>
  <c r="T64" i="13"/>
  <c r="E64" i="13"/>
  <c r="D64" i="13"/>
  <c r="C64" i="13"/>
  <c r="E58" i="13"/>
  <c r="D58" i="13"/>
  <c r="C58" i="13"/>
  <c r="E36" i="13"/>
  <c r="D36" i="13"/>
  <c r="C36" i="13"/>
  <c r="C90" i="8"/>
  <c r="D90" i="8"/>
  <c r="E90" i="8"/>
  <c r="G90" i="8"/>
  <c r="H90" i="8"/>
  <c r="J90" i="8"/>
  <c r="L90" i="8"/>
  <c r="M90" i="8"/>
  <c r="N90" i="8"/>
  <c r="O90" i="8"/>
  <c r="P90" i="8"/>
  <c r="Q90" i="8"/>
  <c r="T90" i="8"/>
  <c r="U90" i="8"/>
  <c r="AE90" i="8"/>
  <c r="D80" i="8"/>
  <c r="E80" i="8"/>
  <c r="H80" i="8"/>
  <c r="I80" i="8"/>
  <c r="J80" i="8"/>
  <c r="K80" i="8"/>
  <c r="L80" i="8"/>
  <c r="M80" i="8"/>
  <c r="N80" i="8"/>
  <c r="O80" i="8"/>
  <c r="P80" i="8"/>
  <c r="Q80" i="8"/>
  <c r="T80" i="8"/>
  <c r="U85" i="8"/>
  <c r="AE85" i="8"/>
  <c r="D43" i="8"/>
  <c r="E43" i="8"/>
  <c r="K43" i="8"/>
  <c r="M43" i="8"/>
  <c r="N43" i="8"/>
  <c r="O43" i="8"/>
  <c r="Q43" i="8"/>
  <c r="T43" i="8"/>
  <c r="U45" i="8"/>
  <c r="AE45" i="8"/>
  <c r="D84" i="8"/>
  <c r="E84" i="8"/>
  <c r="H84" i="8"/>
  <c r="J84" i="8"/>
  <c r="K84" i="8"/>
  <c r="L84" i="8"/>
  <c r="M84" i="8"/>
  <c r="N84" i="8"/>
  <c r="O84" i="8"/>
  <c r="P84" i="8"/>
  <c r="Q84" i="8"/>
  <c r="T84" i="8"/>
  <c r="U81" i="8"/>
  <c r="AE81" i="8"/>
  <c r="AF81" i="8"/>
  <c r="C80" i="8"/>
  <c r="C43" i="8"/>
  <c r="C84" i="8"/>
  <c r="G80" i="8" l="1"/>
  <c r="G26" i="12"/>
  <c r="Z397" i="4"/>
  <c r="Z392" i="4"/>
  <c r="U392" i="4"/>
  <c r="U397" i="4"/>
  <c r="G41" i="25" s="1"/>
  <c r="R49" i="31"/>
  <c r="R75" i="31"/>
  <c r="R38" i="31"/>
  <c r="R88" i="31"/>
  <c r="C90" i="31"/>
  <c r="D90" i="31"/>
  <c r="E90" i="31"/>
  <c r="F90" i="31"/>
  <c r="G90" i="31"/>
  <c r="H90" i="31"/>
  <c r="I90" i="31"/>
  <c r="J90" i="31"/>
  <c r="K90" i="31"/>
  <c r="L90" i="31"/>
  <c r="M90" i="31"/>
  <c r="N90" i="31"/>
  <c r="O90" i="31"/>
  <c r="P90" i="31"/>
  <c r="Q90" i="31"/>
  <c r="C85" i="31"/>
  <c r="D85" i="31"/>
  <c r="E85" i="31"/>
  <c r="F85" i="31"/>
  <c r="G85" i="31"/>
  <c r="H85" i="31"/>
  <c r="I85" i="31"/>
  <c r="J85" i="31"/>
  <c r="K85" i="31"/>
  <c r="L85" i="31"/>
  <c r="M85" i="31"/>
  <c r="N85" i="31"/>
  <c r="O85" i="31"/>
  <c r="P85" i="31"/>
  <c r="Q85" i="31"/>
  <c r="T75" i="22"/>
  <c r="T103" i="22"/>
  <c r="C43" i="25"/>
  <c r="D43" i="25"/>
  <c r="G43" i="25"/>
  <c r="H43" i="25"/>
  <c r="I43" i="25"/>
  <c r="J43" i="25"/>
  <c r="K43" i="25"/>
  <c r="L43" i="25"/>
  <c r="M43" i="25"/>
  <c r="N43" i="25"/>
  <c r="O43" i="25"/>
  <c r="P43" i="25"/>
  <c r="Q43" i="25"/>
  <c r="T43" i="25"/>
  <c r="C28" i="12"/>
  <c r="D28" i="12"/>
  <c r="G28" i="12"/>
  <c r="H28" i="12"/>
  <c r="I28" i="12"/>
  <c r="J28" i="12"/>
  <c r="K28" i="12"/>
  <c r="L28" i="12"/>
  <c r="M28" i="12"/>
  <c r="N28" i="12"/>
  <c r="O28" i="12"/>
  <c r="P28" i="12"/>
  <c r="Q28" i="12"/>
  <c r="T28" i="12"/>
  <c r="C47" i="13"/>
  <c r="D47" i="13"/>
  <c r="E47" i="13"/>
  <c r="G47" i="13"/>
  <c r="H47" i="13"/>
  <c r="I47" i="13"/>
  <c r="J47" i="13"/>
  <c r="K47" i="13"/>
  <c r="L47" i="13"/>
  <c r="M47" i="13"/>
  <c r="N47" i="13"/>
  <c r="O47" i="13"/>
  <c r="P47" i="13"/>
  <c r="Q47" i="13"/>
  <c r="T47" i="13"/>
  <c r="C61" i="8"/>
  <c r="D61" i="8"/>
  <c r="E61" i="8"/>
  <c r="G61" i="8"/>
  <c r="H61" i="8"/>
  <c r="I61" i="8"/>
  <c r="J61" i="8"/>
  <c r="K61" i="8"/>
  <c r="L61" i="8"/>
  <c r="M61" i="8"/>
  <c r="N61" i="8"/>
  <c r="O61" i="8"/>
  <c r="P61" i="8"/>
  <c r="Q61" i="8"/>
  <c r="T61" i="8"/>
  <c r="U64" i="8"/>
  <c r="AE64" i="8"/>
  <c r="C92" i="8"/>
  <c r="D92" i="8"/>
  <c r="G92" i="8"/>
  <c r="H92" i="8"/>
  <c r="I92" i="8"/>
  <c r="J92" i="8"/>
  <c r="K92" i="8"/>
  <c r="L92" i="8"/>
  <c r="M92" i="8"/>
  <c r="N92" i="8"/>
  <c r="O92" i="8"/>
  <c r="P92" i="8"/>
  <c r="Q92" i="8"/>
  <c r="T92" i="8"/>
  <c r="U92" i="8"/>
  <c r="AE92" i="8"/>
  <c r="AF92" i="8"/>
  <c r="U19" i="22" l="1"/>
  <c r="R85" i="31"/>
  <c r="R90" i="31"/>
  <c r="U75" i="22"/>
  <c r="B267" i="4"/>
  <c r="G267" i="4"/>
  <c r="I267" i="4" s="1"/>
  <c r="N267" i="4"/>
  <c r="O267" i="4"/>
  <c r="P267" i="4"/>
  <c r="Q267" i="4"/>
  <c r="R267" i="4"/>
  <c r="T267" i="4"/>
  <c r="W267" i="4"/>
  <c r="X267" i="4"/>
  <c r="B276" i="4"/>
  <c r="G276" i="4"/>
  <c r="I276" i="4" s="1"/>
  <c r="N276" i="4"/>
  <c r="O276" i="4"/>
  <c r="P276" i="4"/>
  <c r="Q276" i="4"/>
  <c r="R276" i="4"/>
  <c r="T276" i="4"/>
  <c r="W276" i="4"/>
  <c r="B277" i="4"/>
  <c r="G277" i="4"/>
  <c r="I277" i="4" s="1"/>
  <c r="N277" i="4"/>
  <c r="O277" i="4"/>
  <c r="P277" i="4"/>
  <c r="Q277" i="4"/>
  <c r="R277" i="4"/>
  <c r="T277" i="4"/>
  <c r="W277" i="4"/>
  <c r="X277" i="4"/>
  <c r="B278" i="4"/>
  <c r="G278" i="4"/>
  <c r="I278" i="4" s="1"/>
  <c r="N278" i="4"/>
  <c r="O278" i="4"/>
  <c r="P278" i="4"/>
  <c r="Q278" i="4"/>
  <c r="T278" i="4"/>
  <c r="W278" i="4"/>
  <c r="B279" i="4"/>
  <c r="G279" i="4"/>
  <c r="I279" i="4" s="1"/>
  <c r="N279" i="4"/>
  <c r="O279" i="4"/>
  <c r="P279" i="4"/>
  <c r="Q279" i="4"/>
  <c r="R279" i="4"/>
  <c r="T279" i="4"/>
  <c r="W279" i="4"/>
  <c r="X279" i="4"/>
  <c r="B280" i="4"/>
  <c r="G280" i="4"/>
  <c r="I280" i="4" s="1"/>
  <c r="N280" i="4"/>
  <c r="O280" i="4"/>
  <c r="P280" i="4"/>
  <c r="Q280" i="4"/>
  <c r="R280" i="4"/>
  <c r="T280" i="4"/>
  <c r="W280" i="4"/>
  <c r="X280" i="4"/>
  <c r="B281" i="4"/>
  <c r="G281" i="4"/>
  <c r="I281" i="4" s="1"/>
  <c r="N281" i="4"/>
  <c r="O281" i="4"/>
  <c r="P281" i="4"/>
  <c r="Q281" i="4"/>
  <c r="R281" i="4"/>
  <c r="T281" i="4"/>
  <c r="W281" i="4"/>
  <c r="X281" i="4"/>
  <c r="B282" i="4"/>
  <c r="G282" i="4"/>
  <c r="I282" i="4" s="1"/>
  <c r="N282" i="4"/>
  <c r="O282" i="4"/>
  <c r="P282" i="4"/>
  <c r="Q282" i="4"/>
  <c r="T282" i="4"/>
  <c r="W282" i="4"/>
  <c r="B283" i="4"/>
  <c r="G283" i="4"/>
  <c r="I283" i="4" s="1"/>
  <c r="N283" i="4"/>
  <c r="O283" i="4"/>
  <c r="P283" i="4"/>
  <c r="Q283" i="4"/>
  <c r="R283" i="4"/>
  <c r="T283" i="4"/>
  <c r="W283" i="4"/>
  <c r="X283" i="4"/>
  <c r="B284" i="4"/>
  <c r="G284" i="4"/>
  <c r="I284" i="4" s="1"/>
  <c r="N284" i="4"/>
  <c r="O284" i="4"/>
  <c r="P284" i="4"/>
  <c r="Q284" i="4"/>
  <c r="T284" i="4"/>
  <c r="W284" i="4"/>
  <c r="B285" i="4"/>
  <c r="G285" i="4"/>
  <c r="I285" i="4" s="1"/>
  <c r="N285" i="4"/>
  <c r="O285" i="4"/>
  <c r="P285" i="4"/>
  <c r="Q285" i="4"/>
  <c r="R285" i="4"/>
  <c r="T285" i="4"/>
  <c r="W285" i="4"/>
  <c r="X285" i="4"/>
  <c r="B286" i="4"/>
  <c r="G286" i="4"/>
  <c r="I286" i="4" s="1"/>
  <c r="N286" i="4"/>
  <c r="O286" i="4"/>
  <c r="P286" i="4"/>
  <c r="Q286" i="4"/>
  <c r="R286" i="4"/>
  <c r="T286" i="4"/>
  <c r="W286" i="4"/>
  <c r="B287" i="4"/>
  <c r="G287" i="4"/>
  <c r="I287" i="4" s="1"/>
  <c r="N287" i="4"/>
  <c r="O287" i="4"/>
  <c r="P287" i="4"/>
  <c r="Q287" i="4"/>
  <c r="R287" i="4"/>
  <c r="T287" i="4"/>
  <c r="W287" i="4"/>
  <c r="B288" i="4"/>
  <c r="G288" i="4"/>
  <c r="I288" i="4" s="1"/>
  <c r="N288" i="4"/>
  <c r="O288" i="4"/>
  <c r="P288" i="4"/>
  <c r="Q288" i="4"/>
  <c r="R288" i="4"/>
  <c r="T288" i="4"/>
  <c r="W288" i="4"/>
  <c r="B289" i="4"/>
  <c r="G289" i="4"/>
  <c r="I289" i="4" s="1"/>
  <c r="N289" i="4"/>
  <c r="O289" i="4"/>
  <c r="P289" i="4"/>
  <c r="Q289" i="4"/>
  <c r="R289" i="4"/>
  <c r="T289" i="4"/>
  <c r="W289" i="4"/>
  <c r="B290" i="4"/>
  <c r="G290" i="4"/>
  <c r="I290" i="4" s="1"/>
  <c r="N290" i="4"/>
  <c r="O290" i="4"/>
  <c r="P290" i="4"/>
  <c r="Q290" i="4"/>
  <c r="T290" i="4"/>
  <c r="W290" i="4"/>
  <c r="X290" i="4"/>
  <c r="B291" i="4"/>
  <c r="G291" i="4"/>
  <c r="I291" i="4" s="1"/>
  <c r="N291" i="4"/>
  <c r="O291" i="4"/>
  <c r="P291" i="4"/>
  <c r="Q291" i="4"/>
  <c r="T291" i="4"/>
  <c r="W291" i="4"/>
  <c r="B292" i="4"/>
  <c r="G292" i="4"/>
  <c r="I292" i="4" s="1"/>
  <c r="N292" i="4"/>
  <c r="O292" i="4"/>
  <c r="P292" i="4"/>
  <c r="Q292" i="4"/>
  <c r="R292" i="4"/>
  <c r="T292" i="4"/>
  <c r="W292" i="4"/>
  <c r="X292" i="4"/>
  <c r="B293" i="4"/>
  <c r="G293" i="4"/>
  <c r="I293" i="4" s="1"/>
  <c r="N293" i="4"/>
  <c r="O293" i="4"/>
  <c r="P293" i="4"/>
  <c r="Q293" i="4"/>
  <c r="T293" i="4"/>
  <c r="W293" i="4"/>
  <c r="B294" i="4"/>
  <c r="G294" i="4"/>
  <c r="I294" i="4" s="1"/>
  <c r="N294" i="4"/>
  <c r="O294" i="4"/>
  <c r="P294" i="4"/>
  <c r="Q294" i="4"/>
  <c r="T294" i="4"/>
  <c r="W294" i="4"/>
  <c r="X294" i="4"/>
  <c r="B295" i="4"/>
  <c r="G295" i="4"/>
  <c r="I295" i="4" s="1"/>
  <c r="N295" i="4"/>
  <c r="O295" i="4"/>
  <c r="P295" i="4"/>
  <c r="Q295" i="4"/>
  <c r="T295" i="4"/>
  <c r="W295" i="4"/>
  <c r="X295" i="4"/>
  <c r="B296" i="4"/>
  <c r="G296" i="4"/>
  <c r="I296" i="4" s="1"/>
  <c r="N296" i="4"/>
  <c r="O296" i="4"/>
  <c r="P296" i="4"/>
  <c r="Q296" i="4"/>
  <c r="R296" i="4"/>
  <c r="T296" i="4"/>
  <c r="W296" i="4"/>
  <c r="X296" i="4"/>
  <c r="B297" i="4"/>
  <c r="G297" i="4"/>
  <c r="I297" i="4" s="1"/>
  <c r="N297" i="4"/>
  <c r="O297" i="4"/>
  <c r="P297" i="4"/>
  <c r="Q297" i="4"/>
  <c r="R297" i="4"/>
  <c r="T297" i="4"/>
  <c r="W297" i="4"/>
  <c r="X297" i="4"/>
  <c r="B298" i="4"/>
  <c r="G298" i="4"/>
  <c r="I298" i="4" s="1"/>
  <c r="N298" i="4"/>
  <c r="O298" i="4"/>
  <c r="P298" i="4"/>
  <c r="Q298" i="4"/>
  <c r="T298" i="4"/>
  <c r="W298" i="4"/>
  <c r="X298" i="4"/>
  <c r="B299" i="4"/>
  <c r="G299" i="4"/>
  <c r="I299" i="4" s="1"/>
  <c r="N299" i="4"/>
  <c r="O299" i="4"/>
  <c r="P299" i="4"/>
  <c r="Q299" i="4"/>
  <c r="R299" i="4"/>
  <c r="T299" i="4"/>
  <c r="W299" i="4"/>
  <c r="X299" i="4"/>
  <c r="B300" i="4"/>
  <c r="G300" i="4"/>
  <c r="I300" i="4" s="1"/>
  <c r="N300" i="4"/>
  <c r="O300" i="4"/>
  <c r="P300" i="4"/>
  <c r="Q300" i="4"/>
  <c r="T300" i="4"/>
  <c r="W300" i="4"/>
  <c r="B301" i="4"/>
  <c r="G301" i="4"/>
  <c r="I301" i="4" s="1"/>
  <c r="N301" i="4"/>
  <c r="O301" i="4"/>
  <c r="P301" i="4"/>
  <c r="Q301" i="4"/>
  <c r="R301" i="4"/>
  <c r="T301" i="4"/>
  <c r="W301" i="4"/>
  <c r="B302" i="4"/>
  <c r="G302" i="4"/>
  <c r="I302" i="4" s="1"/>
  <c r="N302" i="4"/>
  <c r="O302" i="4"/>
  <c r="P302" i="4"/>
  <c r="Q302" i="4"/>
  <c r="R302" i="4"/>
  <c r="T302" i="4"/>
  <c r="W302" i="4"/>
  <c r="B303" i="4"/>
  <c r="G303" i="4"/>
  <c r="I303" i="4" s="1"/>
  <c r="N303" i="4"/>
  <c r="O303" i="4"/>
  <c r="P303" i="4"/>
  <c r="Q303" i="4"/>
  <c r="R303" i="4"/>
  <c r="T303" i="4"/>
  <c r="W303" i="4"/>
  <c r="X303" i="4"/>
  <c r="B304" i="4"/>
  <c r="G304" i="4"/>
  <c r="I304" i="4" s="1"/>
  <c r="N304" i="4"/>
  <c r="O304" i="4"/>
  <c r="P304" i="4"/>
  <c r="Q304" i="4"/>
  <c r="T304" i="4"/>
  <c r="W304" i="4"/>
  <c r="B305" i="4"/>
  <c r="G305" i="4"/>
  <c r="I305" i="4" s="1"/>
  <c r="N305" i="4"/>
  <c r="O305" i="4"/>
  <c r="P305" i="4"/>
  <c r="Q305" i="4"/>
  <c r="R305" i="4"/>
  <c r="T305" i="4"/>
  <c r="W305" i="4"/>
  <c r="B306" i="4"/>
  <c r="G306" i="4"/>
  <c r="I306" i="4" s="1"/>
  <c r="N306" i="4"/>
  <c r="O306" i="4"/>
  <c r="P306" i="4"/>
  <c r="Q306" i="4"/>
  <c r="T306" i="4"/>
  <c r="W306" i="4"/>
  <c r="B307" i="4"/>
  <c r="G307" i="4"/>
  <c r="I307" i="4" s="1"/>
  <c r="N307" i="4"/>
  <c r="O307" i="4"/>
  <c r="P307" i="4"/>
  <c r="Q307" i="4"/>
  <c r="R307" i="4"/>
  <c r="T307" i="4"/>
  <c r="W307" i="4"/>
  <c r="B308" i="4"/>
  <c r="G308" i="4"/>
  <c r="I308" i="4" s="1"/>
  <c r="N308" i="4"/>
  <c r="O308" i="4"/>
  <c r="P308" i="4"/>
  <c r="Q308" i="4"/>
  <c r="R308" i="4"/>
  <c r="T308" i="4"/>
  <c r="W308" i="4"/>
  <c r="B309" i="4"/>
  <c r="G309" i="4"/>
  <c r="I309" i="4" s="1"/>
  <c r="N309" i="4"/>
  <c r="O309" i="4"/>
  <c r="P309" i="4"/>
  <c r="Q309" i="4"/>
  <c r="R309" i="4"/>
  <c r="T309" i="4"/>
  <c r="W309" i="4"/>
  <c r="B310" i="4"/>
  <c r="G310" i="4"/>
  <c r="I310" i="4" s="1"/>
  <c r="N310" i="4"/>
  <c r="O310" i="4"/>
  <c r="P310" i="4"/>
  <c r="Q310" i="4"/>
  <c r="R310" i="4"/>
  <c r="T310" i="4"/>
  <c r="W310" i="4"/>
  <c r="B311" i="4"/>
  <c r="G311" i="4"/>
  <c r="I311" i="4" s="1"/>
  <c r="N311" i="4"/>
  <c r="O311" i="4"/>
  <c r="P311" i="4"/>
  <c r="Q311" i="4"/>
  <c r="R311" i="4"/>
  <c r="T311" i="4"/>
  <c r="W311" i="4"/>
  <c r="X311" i="4"/>
  <c r="B312" i="4"/>
  <c r="G312" i="4"/>
  <c r="I312" i="4" s="1"/>
  <c r="N312" i="4"/>
  <c r="O312" i="4"/>
  <c r="P312" i="4"/>
  <c r="Q312" i="4"/>
  <c r="R312" i="4"/>
  <c r="T312" i="4"/>
  <c r="W312" i="4"/>
  <c r="X312" i="4"/>
  <c r="B313" i="4"/>
  <c r="G313" i="4"/>
  <c r="I313" i="4" s="1"/>
  <c r="N313" i="4"/>
  <c r="O313" i="4"/>
  <c r="P313" i="4"/>
  <c r="Q313" i="4"/>
  <c r="T313" i="4"/>
  <c r="W313" i="4"/>
  <c r="B314" i="4"/>
  <c r="G314" i="4"/>
  <c r="I314" i="4" s="1"/>
  <c r="N314" i="4"/>
  <c r="O314" i="4"/>
  <c r="P314" i="4"/>
  <c r="Q314" i="4"/>
  <c r="R314" i="4"/>
  <c r="T314" i="4"/>
  <c r="W314" i="4"/>
  <c r="B315" i="4"/>
  <c r="G315" i="4"/>
  <c r="I315" i="4" s="1"/>
  <c r="N315" i="4"/>
  <c r="O315" i="4"/>
  <c r="P315" i="4"/>
  <c r="Q315" i="4"/>
  <c r="R315" i="4"/>
  <c r="T315" i="4"/>
  <c r="W315" i="4"/>
  <c r="B316" i="4"/>
  <c r="G316" i="4"/>
  <c r="I316" i="4" s="1"/>
  <c r="N316" i="4"/>
  <c r="O316" i="4"/>
  <c r="P316" i="4"/>
  <c r="Q316" i="4"/>
  <c r="R316" i="4"/>
  <c r="T316" i="4"/>
  <c r="W316" i="4"/>
  <c r="B317" i="4"/>
  <c r="G317" i="4"/>
  <c r="I317" i="4" s="1"/>
  <c r="N317" i="4"/>
  <c r="O317" i="4"/>
  <c r="P317" i="4"/>
  <c r="Q317" i="4"/>
  <c r="T317" i="4"/>
  <c r="W317" i="4"/>
  <c r="B318" i="4"/>
  <c r="G318" i="4"/>
  <c r="I318" i="4" s="1"/>
  <c r="N318" i="4"/>
  <c r="O318" i="4"/>
  <c r="P318" i="4"/>
  <c r="Q318" i="4"/>
  <c r="T318" i="4"/>
  <c r="W318" i="4"/>
  <c r="B319" i="4"/>
  <c r="G319" i="4"/>
  <c r="I319" i="4" s="1"/>
  <c r="N319" i="4"/>
  <c r="O319" i="4"/>
  <c r="P319" i="4"/>
  <c r="Q319" i="4"/>
  <c r="R319" i="4"/>
  <c r="T319" i="4"/>
  <c r="W319" i="4"/>
  <c r="X319" i="4"/>
  <c r="B320" i="4"/>
  <c r="G320" i="4"/>
  <c r="I320" i="4" s="1"/>
  <c r="N320" i="4"/>
  <c r="O320" i="4"/>
  <c r="P320" i="4"/>
  <c r="Q320" i="4"/>
  <c r="T320" i="4"/>
  <c r="W320" i="4"/>
  <c r="B321" i="4"/>
  <c r="G321" i="4"/>
  <c r="I321" i="4" s="1"/>
  <c r="N321" i="4"/>
  <c r="O321" i="4"/>
  <c r="P321" i="4"/>
  <c r="Q321" i="4"/>
  <c r="R321" i="4"/>
  <c r="T321" i="4"/>
  <c r="W321" i="4"/>
  <c r="X321" i="4"/>
  <c r="B322" i="4"/>
  <c r="G322" i="4"/>
  <c r="I322" i="4" s="1"/>
  <c r="N322" i="4"/>
  <c r="O322" i="4"/>
  <c r="P322" i="4"/>
  <c r="Q322" i="4"/>
  <c r="R322" i="4"/>
  <c r="T322" i="4"/>
  <c r="W322" i="4"/>
  <c r="B323" i="4"/>
  <c r="G323" i="4"/>
  <c r="I323" i="4" s="1"/>
  <c r="N323" i="4"/>
  <c r="O323" i="4"/>
  <c r="P323" i="4"/>
  <c r="Q323" i="4"/>
  <c r="R323" i="4"/>
  <c r="T323" i="4"/>
  <c r="W323" i="4"/>
  <c r="X323" i="4"/>
  <c r="B324" i="4"/>
  <c r="J324" i="4" s="1"/>
  <c r="K324" i="4" s="1"/>
  <c r="G324" i="4"/>
  <c r="N324" i="4"/>
  <c r="O324" i="4"/>
  <c r="P324" i="4"/>
  <c r="Q324" i="4"/>
  <c r="R324" i="4"/>
  <c r="T324" i="4"/>
  <c r="W324" i="4"/>
  <c r="B325" i="4"/>
  <c r="J325" i="4" s="1"/>
  <c r="K325" i="4" s="1"/>
  <c r="G325" i="4"/>
  <c r="N325" i="4"/>
  <c r="O325" i="4"/>
  <c r="P325" i="4"/>
  <c r="Q325" i="4"/>
  <c r="R325" i="4"/>
  <c r="T325" i="4"/>
  <c r="W325" i="4"/>
  <c r="B326" i="4"/>
  <c r="G326" i="4"/>
  <c r="I326" i="4" s="1"/>
  <c r="N326" i="4"/>
  <c r="O326" i="4"/>
  <c r="P326" i="4"/>
  <c r="Q326" i="4"/>
  <c r="R326" i="4"/>
  <c r="T326" i="4"/>
  <c r="W326" i="4"/>
  <c r="B327" i="4"/>
  <c r="G327" i="4"/>
  <c r="I327" i="4" s="1"/>
  <c r="N327" i="4"/>
  <c r="O327" i="4"/>
  <c r="P327" i="4"/>
  <c r="Q327" i="4"/>
  <c r="R327" i="4"/>
  <c r="T327" i="4"/>
  <c r="W327" i="4"/>
  <c r="B328" i="4"/>
  <c r="G328" i="4"/>
  <c r="I328" i="4" s="1"/>
  <c r="N328" i="4"/>
  <c r="O328" i="4"/>
  <c r="P328" i="4"/>
  <c r="Q328" i="4"/>
  <c r="T328" i="4"/>
  <c r="W328" i="4"/>
  <c r="B329" i="4"/>
  <c r="G329" i="4"/>
  <c r="I329" i="4" s="1"/>
  <c r="N329" i="4"/>
  <c r="O329" i="4"/>
  <c r="P329" i="4"/>
  <c r="Q329" i="4"/>
  <c r="R329" i="4"/>
  <c r="T329" i="4"/>
  <c r="W329" i="4"/>
  <c r="B330" i="4"/>
  <c r="G330" i="4"/>
  <c r="I330" i="4" s="1"/>
  <c r="N330" i="4"/>
  <c r="O330" i="4"/>
  <c r="P330" i="4"/>
  <c r="Q330" i="4"/>
  <c r="T330" i="4"/>
  <c r="W330" i="4"/>
  <c r="B331" i="4"/>
  <c r="G331" i="4"/>
  <c r="I331" i="4" s="1"/>
  <c r="N331" i="4"/>
  <c r="O331" i="4"/>
  <c r="P331" i="4"/>
  <c r="Q331" i="4"/>
  <c r="R331" i="4"/>
  <c r="T331" i="4"/>
  <c r="W331" i="4"/>
  <c r="B332" i="4"/>
  <c r="G332" i="4"/>
  <c r="I332" i="4" s="1"/>
  <c r="N332" i="4"/>
  <c r="O332" i="4"/>
  <c r="P332" i="4"/>
  <c r="Q332" i="4"/>
  <c r="R332" i="4"/>
  <c r="T332" i="4"/>
  <c r="W332" i="4"/>
  <c r="B333" i="4"/>
  <c r="G333" i="4"/>
  <c r="I333" i="4" s="1"/>
  <c r="N333" i="4"/>
  <c r="O333" i="4"/>
  <c r="P333" i="4"/>
  <c r="Q333" i="4"/>
  <c r="T333" i="4"/>
  <c r="W333" i="4"/>
  <c r="B334" i="4"/>
  <c r="G334" i="4"/>
  <c r="I334" i="4" s="1"/>
  <c r="N334" i="4"/>
  <c r="O334" i="4"/>
  <c r="P334" i="4"/>
  <c r="Q334" i="4"/>
  <c r="T334" i="4"/>
  <c r="W334" i="4"/>
  <c r="X334" i="4"/>
  <c r="B335" i="4"/>
  <c r="G335" i="4"/>
  <c r="I335" i="4" s="1"/>
  <c r="N335" i="4"/>
  <c r="O335" i="4"/>
  <c r="P335" i="4"/>
  <c r="Q335" i="4"/>
  <c r="R335" i="4"/>
  <c r="T335" i="4"/>
  <c r="W335" i="4"/>
  <c r="X335" i="4"/>
  <c r="B336" i="4"/>
  <c r="G336" i="4"/>
  <c r="I336" i="4" s="1"/>
  <c r="N336" i="4"/>
  <c r="O336" i="4"/>
  <c r="P336" i="4"/>
  <c r="Q336" i="4"/>
  <c r="R336" i="4"/>
  <c r="T336" i="4"/>
  <c r="W336" i="4"/>
  <c r="B337" i="4"/>
  <c r="G337" i="4"/>
  <c r="I337" i="4" s="1"/>
  <c r="N337" i="4"/>
  <c r="O337" i="4"/>
  <c r="P337" i="4"/>
  <c r="Q337" i="4"/>
  <c r="R337" i="4"/>
  <c r="T337" i="4"/>
  <c r="W337" i="4"/>
  <c r="B338" i="4"/>
  <c r="G338" i="4"/>
  <c r="I338" i="4" s="1"/>
  <c r="N338" i="4"/>
  <c r="O338" i="4"/>
  <c r="P338" i="4"/>
  <c r="Q338" i="4"/>
  <c r="R338" i="4"/>
  <c r="T338" i="4"/>
  <c r="W338" i="4"/>
  <c r="X338" i="4"/>
  <c r="B339" i="4"/>
  <c r="G339" i="4"/>
  <c r="I339" i="4" s="1"/>
  <c r="N339" i="4"/>
  <c r="O339" i="4"/>
  <c r="P339" i="4"/>
  <c r="Q339" i="4"/>
  <c r="T339" i="4"/>
  <c r="W339" i="4"/>
  <c r="B340" i="4"/>
  <c r="G340" i="4"/>
  <c r="I340" i="4" s="1"/>
  <c r="N340" i="4"/>
  <c r="O340" i="4"/>
  <c r="P340" i="4"/>
  <c r="Q340" i="4"/>
  <c r="R340" i="4"/>
  <c r="T340" i="4"/>
  <c r="W340" i="4"/>
  <c r="B341" i="4"/>
  <c r="G341" i="4"/>
  <c r="I341" i="4" s="1"/>
  <c r="N341" i="4"/>
  <c r="O341" i="4"/>
  <c r="P341" i="4"/>
  <c r="Q341" i="4"/>
  <c r="R341" i="4"/>
  <c r="T341" i="4"/>
  <c r="W341" i="4"/>
  <c r="B342" i="4"/>
  <c r="G342" i="4"/>
  <c r="I342" i="4" s="1"/>
  <c r="N342" i="4"/>
  <c r="O342" i="4"/>
  <c r="P342" i="4"/>
  <c r="Q342" i="4"/>
  <c r="R342" i="4"/>
  <c r="T342" i="4"/>
  <c r="W342" i="4"/>
  <c r="X342" i="4"/>
  <c r="B343" i="4"/>
  <c r="G343" i="4"/>
  <c r="I343" i="4" s="1"/>
  <c r="N343" i="4"/>
  <c r="O343" i="4"/>
  <c r="P343" i="4"/>
  <c r="Q343" i="4"/>
  <c r="R343" i="4"/>
  <c r="T343" i="4"/>
  <c r="W343" i="4"/>
  <c r="B344" i="4"/>
  <c r="G344" i="4"/>
  <c r="N344" i="4"/>
  <c r="O344" i="4"/>
  <c r="P344" i="4"/>
  <c r="Q344" i="4"/>
  <c r="R344" i="4"/>
  <c r="T344" i="4"/>
  <c r="W344" i="4"/>
  <c r="B345" i="4"/>
  <c r="G345" i="4"/>
  <c r="I345" i="4" s="1"/>
  <c r="N345" i="4"/>
  <c r="O345" i="4"/>
  <c r="P345" i="4"/>
  <c r="Q345" i="4"/>
  <c r="R345" i="4"/>
  <c r="T345" i="4"/>
  <c r="W345" i="4"/>
  <c r="B346" i="4"/>
  <c r="G346" i="4"/>
  <c r="I346" i="4" s="1"/>
  <c r="N346" i="4"/>
  <c r="O346" i="4"/>
  <c r="P346" i="4"/>
  <c r="Q346" i="4"/>
  <c r="R346" i="4"/>
  <c r="T346" i="4"/>
  <c r="W346" i="4"/>
  <c r="B347" i="4"/>
  <c r="G347" i="4"/>
  <c r="I347" i="4" s="1"/>
  <c r="N347" i="4"/>
  <c r="O347" i="4"/>
  <c r="P347" i="4"/>
  <c r="Q347" i="4"/>
  <c r="R347" i="4"/>
  <c r="T347" i="4"/>
  <c r="W347" i="4"/>
  <c r="B348" i="4"/>
  <c r="G348" i="4"/>
  <c r="I348" i="4" s="1"/>
  <c r="N348" i="4"/>
  <c r="O348" i="4"/>
  <c r="P348" i="4"/>
  <c r="Q348" i="4"/>
  <c r="R348" i="4"/>
  <c r="T348" i="4"/>
  <c r="W348" i="4"/>
  <c r="X348" i="4"/>
  <c r="B349" i="4"/>
  <c r="G349" i="4"/>
  <c r="I349" i="4" s="1"/>
  <c r="N349" i="4"/>
  <c r="O349" i="4"/>
  <c r="P349" i="4"/>
  <c r="Q349" i="4"/>
  <c r="R349" i="4"/>
  <c r="T349" i="4"/>
  <c r="W349" i="4"/>
  <c r="B350" i="4"/>
  <c r="G350" i="4"/>
  <c r="I350" i="4" s="1"/>
  <c r="N350" i="4"/>
  <c r="O350" i="4"/>
  <c r="P350" i="4"/>
  <c r="Q350" i="4"/>
  <c r="R350" i="4"/>
  <c r="T350" i="4"/>
  <c r="W350" i="4"/>
  <c r="B351" i="4"/>
  <c r="G351" i="4"/>
  <c r="I351" i="4" s="1"/>
  <c r="N351" i="4"/>
  <c r="O351" i="4"/>
  <c r="P351" i="4"/>
  <c r="Q351" i="4"/>
  <c r="R351" i="4"/>
  <c r="T351" i="4"/>
  <c r="W351" i="4"/>
  <c r="B352" i="4"/>
  <c r="G352" i="4"/>
  <c r="I352" i="4" s="1"/>
  <c r="N352" i="4"/>
  <c r="O352" i="4"/>
  <c r="P352" i="4"/>
  <c r="Q352" i="4"/>
  <c r="R352" i="4"/>
  <c r="T352" i="4"/>
  <c r="W352" i="4"/>
  <c r="X352" i="4"/>
  <c r="B353" i="4"/>
  <c r="G353" i="4"/>
  <c r="I353" i="4" s="1"/>
  <c r="N353" i="4"/>
  <c r="O353" i="4"/>
  <c r="P353" i="4"/>
  <c r="Q353" i="4"/>
  <c r="T353" i="4"/>
  <c r="W353" i="4"/>
  <c r="X353" i="4"/>
  <c r="B354" i="4"/>
  <c r="G354" i="4"/>
  <c r="I354" i="4" s="1"/>
  <c r="N354" i="4"/>
  <c r="O354" i="4"/>
  <c r="P354" i="4"/>
  <c r="Q354" i="4"/>
  <c r="T354" i="4"/>
  <c r="W354" i="4"/>
  <c r="B355" i="4"/>
  <c r="G355" i="4"/>
  <c r="I355" i="4" s="1"/>
  <c r="N355" i="4"/>
  <c r="O355" i="4"/>
  <c r="P355" i="4"/>
  <c r="Q355" i="4"/>
  <c r="R355" i="4"/>
  <c r="T355" i="4"/>
  <c r="W355" i="4"/>
  <c r="X355" i="4"/>
  <c r="B356" i="4"/>
  <c r="G356" i="4"/>
  <c r="I356" i="4" s="1"/>
  <c r="N356" i="4"/>
  <c r="O356" i="4"/>
  <c r="P356" i="4"/>
  <c r="Q356" i="4"/>
  <c r="T356" i="4"/>
  <c r="W356" i="4"/>
  <c r="B357" i="4"/>
  <c r="G357" i="4"/>
  <c r="I357" i="4" s="1"/>
  <c r="N357" i="4"/>
  <c r="O357" i="4"/>
  <c r="P357" i="4"/>
  <c r="Q357" i="4"/>
  <c r="T357" i="4"/>
  <c r="W357" i="4"/>
  <c r="X357" i="4"/>
  <c r="B358" i="4"/>
  <c r="G358" i="4"/>
  <c r="I358" i="4" s="1"/>
  <c r="N358" i="4"/>
  <c r="O358" i="4"/>
  <c r="P358" i="4"/>
  <c r="Q358" i="4"/>
  <c r="R358" i="4"/>
  <c r="T358" i="4"/>
  <c r="W358" i="4"/>
  <c r="B359" i="4"/>
  <c r="G359" i="4"/>
  <c r="I359" i="4" s="1"/>
  <c r="N359" i="4"/>
  <c r="O359" i="4"/>
  <c r="P359" i="4"/>
  <c r="Q359" i="4"/>
  <c r="R359" i="4"/>
  <c r="T359" i="4"/>
  <c r="W359" i="4"/>
  <c r="B360" i="4"/>
  <c r="G360" i="4"/>
  <c r="I360" i="4" s="1"/>
  <c r="N360" i="4"/>
  <c r="O360" i="4"/>
  <c r="P360" i="4"/>
  <c r="Q360" i="4"/>
  <c r="R360" i="4"/>
  <c r="T360" i="4"/>
  <c r="W360" i="4"/>
  <c r="X360" i="4"/>
  <c r="J361" i="4"/>
  <c r="G361" i="4"/>
  <c r="I361" i="4" s="1"/>
  <c r="N361" i="4"/>
  <c r="O361" i="4"/>
  <c r="P361" i="4"/>
  <c r="Q361" i="4"/>
  <c r="R361" i="4"/>
  <c r="T361" i="4"/>
  <c r="W361" i="4"/>
  <c r="B362" i="4"/>
  <c r="G362" i="4"/>
  <c r="I362" i="4" s="1"/>
  <c r="N362" i="4"/>
  <c r="O362" i="4"/>
  <c r="P362" i="4"/>
  <c r="Q362" i="4"/>
  <c r="R362" i="4"/>
  <c r="T362" i="4"/>
  <c r="W362" i="4"/>
  <c r="X362" i="4"/>
  <c r="B363" i="4"/>
  <c r="G363" i="4"/>
  <c r="I363" i="4" s="1"/>
  <c r="N363" i="4"/>
  <c r="O363" i="4"/>
  <c r="P363" i="4"/>
  <c r="Q363" i="4"/>
  <c r="T363" i="4"/>
  <c r="W363" i="4"/>
  <c r="X363" i="4"/>
  <c r="B364" i="4"/>
  <c r="G364" i="4"/>
  <c r="I364" i="4" s="1"/>
  <c r="N364" i="4"/>
  <c r="O364" i="4"/>
  <c r="P364" i="4"/>
  <c r="Q364" i="4"/>
  <c r="R364" i="4"/>
  <c r="T364" i="4"/>
  <c r="W364" i="4"/>
  <c r="X364" i="4"/>
  <c r="B365" i="4"/>
  <c r="G365" i="4"/>
  <c r="I365" i="4" s="1"/>
  <c r="N365" i="4"/>
  <c r="O365" i="4"/>
  <c r="P365" i="4"/>
  <c r="Q365" i="4"/>
  <c r="R365" i="4"/>
  <c r="T365" i="4"/>
  <c r="W365" i="4"/>
  <c r="X365" i="4"/>
  <c r="B366" i="4"/>
  <c r="G366" i="4"/>
  <c r="I366" i="4" s="1"/>
  <c r="N366" i="4"/>
  <c r="O366" i="4"/>
  <c r="P366" i="4"/>
  <c r="Q366" i="4"/>
  <c r="R366" i="4"/>
  <c r="T366" i="4"/>
  <c r="W366" i="4"/>
  <c r="X366" i="4"/>
  <c r="B367" i="4"/>
  <c r="G367" i="4"/>
  <c r="I367" i="4" s="1"/>
  <c r="N367" i="4"/>
  <c r="O367" i="4"/>
  <c r="P367" i="4"/>
  <c r="Q367" i="4"/>
  <c r="R367" i="4"/>
  <c r="T367" i="4"/>
  <c r="W367" i="4"/>
  <c r="B368" i="4"/>
  <c r="G368" i="4"/>
  <c r="I368" i="4" s="1"/>
  <c r="N368" i="4"/>
  <c r="O368" i="4"/>
  <c r="P368" i="4"/>
  <c r="Q368" i="4"/>
  <c r="R368" i="4"/>
  <c r="T368" i="4"/>
  <c r="W368" i="4"/>
  <c r="X368" i="4"/>
  <c r="B369" i="4"/>
  <c r="G369" i="4"/>
  <c r="I369" i="4" s="1"/>
  <c r="N369" i="4"/>
  <c r="O369" i="4"/>
  <c r="P369" i="4"/>
  <c r="Q369" i="4"/>
  <c r="R369" i="4"/>
  <c r="T369" i="4"/>
  <c r="W369" i="4"/>
  <c r="B370" i="4"/>
  <c r="G370" i="4"/>
  <c r="I370" i="4" s="1"/>
  <c r="N370" i="4"/>
  <c r="O370" i="4"/>
  <c r="P370" i="4"/>
  <c r="Q370" i="4"/>
  <c r="R370" i="4"/>
  <c r="T370" i="4"/>
  <c r="W370" i="4"/>
  <c r="B371" i="4"/>
  <c r="G371" i="4"/>
  <c r="I371" i="4" s="1"/>
  <c r="N371" i="4"/>
  <c r="O371" i="4"/>
  <c r="P371" i="4"/>
  <c r="Q371" i="4"/>
  <c r="R371" i="4"/>
  <c r="T371" i="4"/>
  <c r="W371" i="4"/>
  <c r="B372" i="4"/>
  <c r="G372" i="4"/>
  <c r="I372" i="4" s="1"/>
  <c r="N372" i="4"/>
  <c r="O372" i="4"/>
  <c r="P372" i="4"/>
  <c r="Q372" i="4"/>
  <c r="R372" i="4"/>
  <c r="T372" i="4"/>
  <c r="W372" i="4"/>
  <c r="B373" i="4"/>
  <c r="G373" i="4"/>
  <c r="I373" i="4" s="1"/>
  <c r="N373" i="4"/>
  <c r="O373" i="4"/>
  <c r="P373" i="4"/>
  <c r="Q373" i="4"/>
  <c r="R373" i="4"/>
  <c r="T373" i="4"/>
  <c r="W373" i="4"/>
  <c r="B374" i="4"/>
  <c r="G374" i="4"/>
  <c r="I374" i="4" s="1"/>
  <c r="N374" i="4"/>
  <c r="O374" i="4"/>
  <c r="P374" i="4"/>
  <c r="Q374" i="4"/>
  <c r="R374" i="4"/>
  <c r="T374" i="4"/>
  <c r="W374" i="4"/>
  <c r="B375" i="4"/>
  <c r="G375" i="4"/>
  <c r="I375" i="4" s="1"/>
  <c r="N375" i="4"/>
  <c r="O375" i="4"/>
  <c r="P375" i="4"/>
  <c r="Q375" i="4"/>
  <c r="R375" i="4"/>
  <c r="T375" i="4"/>
  <c r="W375" i="4"/>
  <c r="B376" i="4"/>
  <c r="G376" i="4"/>
  <c r="I376" i="4" s="1"/>
  <c r="N376" i="4"/>
  <c r="O376" i="4"/>
  <c r="P376" i="4"/>
  <c r="Q376" i="4"/>
  <c r="R376" i="4"/>
  <c r="T376" i="4"/>
  <c r="W376" i="4"/>
  <c r="X376" i="4"/>
  <c r="B377" i="4"/>
  <c r="G377" i="4"/>
  <c r="I377" i="4" s="1"/>
  <c r="N377" i="4"/>
  <c r="O377" i="4"/>
  <c r="P377" i="4"/>
  <c r="Q377" i="4"/>
  <c r="T377" i="4"/>
  <c r="W377" i="4"/>
  <c r="B378" i="4"/>
  <c r="G378" i="4"/>
  <c r="I378" i="4" s="1"/>
  <c r="N378" i="4"/>
  <c r="O378" i="4"/>
  <c r="P378" i="4"/>
  <c r="Q378" i="4"/>
  <c r="R378" i="4"/>
  <c r="T378" i="4"/>
  <c r="W378" i="4"/>
  <c r="U84" i="22" l="1"/>
  <c r="S307" i="4"/>
  <c r="S313" i="4"/>
  <c r="S296" i="4"/>
  <c r="S314" i="4"/>
  <c r="S302" i="4"/>
  <c r="S373" i="4"/>
  <c r="S355" i="4"/>
  <c r="S278" i="4"/>
  <c r="S319" i="4"/>
  <c r="S295" i="4"/>
  <c r="S320" i="4"/>
  <c r="S308" i="4"/>
  <c r="S284" i="4"/>
  <c r="S349" i="4"/>
  <c r="S367" i="4"/>
  <c r="S289" i="4"/>
  <c r="S290" i="4"/>
  <c r="S277" i="4"/>
  <c r="S359" i="4"/>
  <c r="S311" i="4"/>
  <c r="S305" i="4"/>
  <c r="S299" i="4"/>
  <c r="S293" i="4"/>
  <c r="S287" i="4"/>
  <c r="S281" i="4"/>
  <c r="S267" i="4"/>
  <c r="S351" i="4"/>
  <c r="S303" i="4"/>
  <c r="S364" i="4"/>
  <c r="S317" i="4"/>
  <c r="S357" i="4"/>
  <c r="S376" i="4"/>
  <c r="S370" i="4"/>
  <c r="S322" i="4"/>
  <c r="S342" i="4"/>
  <c r="S336" i="4"/>
  <c r="S330" i="4"/>
  <c r="S312" i="4"/>
  <c r="S345" i="4"/>
  <c r="S339" i="4"/>
  <c r="S333" i="4"/>
  <c r="S327" i="4"/>
  <c r="S321" i="4"/>
  <c r="S291" i="4"/>
  <c r="S285" i="4"/>
  <c r="S346" i="4"/>
  <c r="S304" i="4"/>
  <c r="S371" i="4"/>
  <c r="S348" i="4"/>
  <c r="S297" i="4"/>
  <c r="S279" i="4"/>
  <c r="S316" i="4"/>
  <c r="S286" i="4"/>
  <c r="S354" i="4"/>
  <c r="S280" i="4"/>
  <c r="S276" i="4"/>
  <c r="S282" i="4"/>
  <c r="S361" i="4"/>
  <c r="S378" i="4"/>
  <c r="S377" i="4"/>
  <c r="S375" i="4"/>
  <c r="S374" i="4"/>
  <c r="S372" i="4"/>
  <c r="S369" i="4"/>
  <c r="S368" i="4"/>
  <c r="S366" i="4"/>
  <c r="S365" i="4"/>
  <c r="S363" i="4"/>
  <c r="S362" i="4"/>
  <c r="S358" i="4"/>
  <c r="S356" i="4"/>
  <c r="S353" i="4"/>
  <c r="S352" i="4"/>
  <c r="S350" i="4"/>
  <c r="S347" i="4"/>
  <c r="S343" i="4"/>
  <c r="S341" i="4"/>
  <c r="S340" i="4"/>
  <c r="S338" i="4"/>
  <c r="S337" i="4"/>
  <c r="S335" i="4"/>
  <c r="S334" i="4"/>
  <c r="S332" i="4"/>
  <c r="S331" i="4"/>
  <c r="S329" i="4"/>
  <c r="S328" i="4"/>
  <c r="S326" i="4"/>
  <c r="S323" i="4"/>
  <c r="S318" i="4"/>
  <c r="S315" i="4"/>
  <c r="S310" i="4"/>
  <c r="S309" i="4"/>
  <c r="S306" i="4"/>
  <c r="S301" i="4"/>
  <c r="S300" i="4"/>
  <c r="S298" i="4"/>
  <c r="S294" i="4"/>
  <c r="S292" i="4"/>
  <c r="S288" i="4"/>
  <c r="S283" i="4"/>
  <c r="J376" i="4"/>
  <c r="K376" i="4" s="1"/>
  <c r="J373" i="4"/>
  <c r="K373" i="4" s="1"/>
  <c r="J371" i="4"/>
  <c r="K371" i="4" s="1"/>
  <c r="J370" i="4"/>
  <c r="K370" i="4" s="1"/>
  <c r="J367" i="4"/>
  <c r="K367" i="4" s="1"/>
  <c r="J364" i="4"/>
  <c r="K364" i="4" s="1"/>
  <c r="J359" i="4"/>
  <c r="K359" i="4" s="1"/>
  <c r="J357" i="4"/>
  <c r="K357" i="4" s="1"/>
  <c r="J355" i="4"/>
  <c r="K355" i="4" s="1"/>
  <c r="J354" i="4"/>
  <c r="K354" i="4" s="1"/>
  <c r="J351" i="4"/>
  <c r="K351" i="4" s="1"/>
  <c r="J349" i="4"/>
  <c r="K349" i="4" s="1"/>
  <c r="J348" i="4"/>
  <c r="K348" i="4" s="1"/>
  <c r="J346" i="4"/>
  <c r="K346" i="4" s="1"/>
  <c r="J345" i="4"/>
  <c r="K345" i="4" s="1"/>
  <c r="J342" i="4"/>
  <c r="K342" i="4" s="1"/>
  <c r="J339" i="4"/>
  <c r="K339" i="4" s="1"/>
  <c r="J336" i="4"/>
  <c r="K336" i="4" s="1"/>
  <c r="J333" i="4"/>
  <c r="K333" i="4" s="1"/>
  <c r="J330" i="4"/>
  <c r="K330" i="4" s="1"/>
  <c r="J327" i="4"/>
  <c r="K327" i="4" s="1"/>
  <c r="J322" i="4"/>
  <c r="K322" i="4" s="1"/>
  <c r="J321" i="4"/>
  <c r="K321" i="4" s="1"/>
  <c r="J320" i="4"/>
  <c r="K320" i="4" s="1"/>
  <c r="J319" i="4"/>
  <c r="K319" i="4" s="1"/>
  <c r="J317" i="4"/>
  <c r="K317" i="4" s="1"/>
  <c r="J316" i="4"/>
  <c r="K316" i="4" s="1"/>
  <c r="J314" i="4"/>
  <c r="K314" i="4" s="1"/>
  <c r="J313" i="4"/>
  <c r="K313" i="4" s="1"/>
  <c r="J311" i="4"/>
  <c r="K311" i="4" s="1"/>
  <c r="J308" i="4"/>
  <c r="K308" i="4" s="1"/>
  <c r="J307" i="4"/>
  <c r="K307" i="4" s="1"/>
  <c r="J305" i="4"/>
  <c r="K305" i="4" s="1"/>
  <c r="J304" i="4"/>
  <c r="K304" i="4" s="1"/>
  <c r="J302" i="4"/>
  <c r="K302" i="4" s="1"/>
  <c r="J299" i="4"/>
  <c r="K299" i="4" s="1"/>
  <c r="J296" i="4"/>
  <c r="K296" i="4" s="1"/>
  <c r="J295" i="4"/>
  <c r="K295" i="4" s="1"/>
  <c r="J293" i="4"/>
  <c r="K293" i="4" s="1"/>
  <c r="J290" i="4"/>
  <c r="K290" i="4" s="1"/>
  <c r="J289" i="4"/>
  <c r="K289" i="4" s="1"/>
  <c r="J287" i="4"/>
  <c r="K287" i="4" s="1"/>
  <c r="J286" i="4"/>
  <c r="K286" i="4" s="1"/>
  <c r="J284" i="4"/>
  <c r="K284" i="4" s="1"/>
  <c r="J282" i="4"/>
  <c r="K282" i="4" s="1"/>
  <c r="J281" i="4"/>
  <c r="K281" i="4" s="1"/>
  <c r="J279" i="4"/>
  <c r="K279" i="4" s="1"/>
  <c r="J278" i="4"/>
  <c r="K278" i="4" s="1"/>
  <c r="J277" i="4"/>
  <c r="K277" i="4" s="1"/>
  <c r="J276" i="4"/>
  <c r="K276" i="4" s="1"/>
  <c r="J267" i="4"/>
  <c r="K267" i="4" s="1"/>
  <c r="K361" i="4"/>
  <c r="Z325" i="4"/>
  <c r="Z324" i="4"/>
  <c r="J298" i="4"/>
  <c r="K298" i="4" s="1"/>
  <c r="J323" i="4"/>
  <c r="K323" i="4" s="1"/>
  <c r="J343" i="4"/>
  <c r="K343" i="4" s="1"/>
  <c r="J335" i="4"/>
  <c r="K335" i="4" s="1"/>
  <c r="J328" i="4"/>
  <c r="K328" i="4" s="1"/>
  <c r="J352" i="4"/>
  <c r="K352" i="4" s="1"/>
  <c r="J368" i="4"/>
  <c r="K368" i="4" s="1"/>
  <c r="J377" i="4"/>
  <c r="K377" i="4" s="1"/>
  <c r="J362" i="4"/>
  <c r="K362" i="4" s="1"/>
  <c r="J347" i="4"/>
  <c r="K347" i="4" s="1"/>
  <c r="J374" i="4"/>
  <c r="K374" i="4" s="1"/>
  <c r="J365" i="4"/>
  <c r="K365" i="4" s="1"/>
  <c r="J350" i="4"/>
  <c r="K350" i="4" s="1"/>
  <c r="J332" i="4"/>
  <c r="K332" i="4" s="1"/>
  <c r="J331" i="4"/>
  <c r="K331" i="4" s="1"/>
  <c r="J340" i="4"/>
  <c r="K340" i="4" s="1"/>
  <c r="J338" i="4"/>
  <c r="K338" i="4" s="1"/>
  <c r="J334" i="4"/>
  <c r="K334" i="4" s="1"/>
  <c r="J280" i="4"/>
  <c r="K280" i="4" s="1"/>
  <c r="J341" i="4"/>
  <c r="K341" i="4" s="1"/>
  <c r="J337" i="4"/>
  <c r="K337" i="4" s="1"/>
  <c r="J344" i="4"/>
  <c r="K344" i="4" s="1"/>
  <c r="J310" i="4"/>
  <c r="K310" i="4" s="1"/>
  <c r="J301" i="4"/>
  <c r="K301" i="4" s="1"/>
  <c r="J292" i="4"/>
  <c r="K292" i="4" s="1"/>
  <c r="J283" i="4"/>
  <c r="K283" i="4" s="1"/>
  <c r="J353" i="4"/>
  <c r="K353" i="4" s="1"/>
  <c r="J358" i="4"/>
  <c r="K358" i="4" s="1"/>
  <c r="J356" i="4"/>
  <c r="K356" i="4" s="1"/>
  <c r="J326" i="4"/>
  <c r="K326" i="4" s="1"/>
  <c r="J329" i="4"/>
  <c r="K329" i="4" s="1"/>
  <c r="J378" i="4"/>
  <c r="J372" i="4"/>
  <c r="J366" i="4"/>
  <c r="J360" i="4"/>
  <c r="J363" i="4"/>
  <c r="J375" i="4"/>
  <c r="J369" i="4"/>
  <c r="J318" i="4"/>
  <c r="J315" i="4"/>
  <c r="J312" i="4"/>
  <c r="J309" i="4"/>
  <c r="J306" i="4"/>
  <c r="J303" i="4"/>
  <c r="J300" i="4"/>
  <c r="J297" i="4"/>
  <c r="J294" i="4"/>
  <c r="J291" i="4"/>
  <c r="J288" i="4"/>
  <c r="J285" i="4"/>
  <c r="C80" i="31"/>
  <c r="D80" i="31"/>
  <c r="E80" i="31"/>
  <c r="F80" i="31"/>
  <c r="G80" i="31"/>
  <c r="H80" i="31"/>
  <c r="I80" i="31"/>
  <c r="J80" i="31"/>
  <c r="K80" i="31"/>
  <c r="L80" i="31"/>
  <c r="M80" i="31"/>
  <c r="N80" i="31"/>
  <c r="O80" i="31"/>
  <c r="P80" i="31"/>
  <c r="Q80" i="31"/>
  <c r="C47" i="31"/>
  <c r="D47" i="31"/>
  <c r="E47" i="31"/>
  <c r="F47" i="31"/>
  <c r="G47" i="31"/>
  <c r="H47" i="31"/>
  <c r="I47" i="31"/>
  <c r="J47" i="31"/>
  <c r="K47" i="31"/>
  <c r="L47" i="31"/>
  <c r="M47" i="31"/>
  <c r="N47" i="31"/>
  <c r="O47" i="31"/>
  <c r="P47" i="31"/>
  <c r="Q47" i="31"/>
  <c r="C110" i="31"/>
  <c r="D110" i="31"/>
  <c r="E110" i="31"/>
  <c r="F110" i="31"/>
  <c r="G110" i="31"/>
  <c r="H110" i="31"/>
  <c r="I110" i="31"/>
  <c r="J110" i="31"/>
  <c r="K110" i="31"/>
  <c r="L110" i="31"/>
  <c r="M110" i="31"/>
  <c r="N110" i="31"/>
  <c r="O110" i="31"/>
  <c r="P110" i="31"/>
  <c r="Q110" i="31"/>
  <c r="C57" i="31"/>
  <c r="D57" i="31"/>
  <c r="E57" i="31"/>
  <c r="F57" i="31"/>
  <c r="G57" i="31"/>
  <c r="H57" i="31"/>
  <c r="I57" i="31"/>
  <c r="J57" i="31"/>
  <c r="K57" i="31"/>
  <c r="L57" i="31"/>
  <c r="M57" i="31"/>
  <c r="N57" i="31"/>
  <c r="O57" i="31"/>
  <c r="P57" i="31"/>
  <c r="Q57" i="31"/>
  <c r="C93" i="31"/>
  <c r="D93" i="31"/>
  <c r="E93" i="31"/>
  <c r="F93" i="31"/>
  <c r="G93" i="31"/>
  <c r="H93" i="31"/>
  <c r="I93" i="31"/>
  <c r="J93" i="31"/>
  <c r="K93" i="31"/>
  <c r="L93" i="31"/>
  <c r="M93" i="31"/>
  <c r="N93" i="31"/>
  <c r="O93" i="31"/>
  <c r="P93" i="31"/>
  <c r="Q93" i="31"/>
  <c r="C96" i="31"/>
  <c r="D96" i="31"/>
  <c r="E96" i="31"/>
  <c r="F96" i="31"/>
  <c r="G96" i="31"/>
  <c r="H96" i="31"/>
  <c r="I96" i="31"/>
  <c r="J96" i="31"/>
  <c r="K96" i="31"/>
  <c r="L96" i="31"/>
  <c r="M96" i="31"/>
  <c r="N96" i="31"/>
  <c r="O96" i="31"/>
  <c r="P96" i="31"/>
  <c r="Q96" i="31"/>
  <c r="C117" i="31"/>
  <c r="D117" i="31"/>
  <c r="E117" i="31"/>
  <c r="F117" i="31"/>
  <c r="G117" i="31"/>
  <c r="H117" i="31"/>
  <c r="I117" i="31"/>
  <c r="J117" i="31"/>
  <c r="K117" i="31"/>
  <c r="L117" i="31"/>
  <c r="M117" i="31"/>
  <c r="N117" i="31"/>
  <c r="O117" i="31"/>
  <c r="P117" i="31"/>
  <c r="Q117" i="31"/>
  <c r="T115" i="22"/>
  <c r="T80" i="22"/>
  <c r="T95" i="22"/>
  <c r="T57" i="22"/>
  <c r="T116" i="22"/>
  <c r="T43" i="22"/>
  <c r="T117" i="22"/>
  <c r="C9" i="12"/>
  <c r="D9" i="12"/>
  <c r="H9" i="12"/>
  <c r="J9" i="12"/>
  <c r="K9" i="12"/>
  <c r="M9" i="12"/>
  <c r="N9" i="12"/>
  <c r="P9" i="12"/>
  <c r="Q9" i="12"/>
  <c r="T9" i="12"/>
  <c r="C35" i="12"/>
  <c r="D35" i="12"/>
  <c r="F35" i="12"/>
  <c r="G35" i="12"/>
  <c r="H35" i="12"/>
  <c r="I35" i="12"/>
  <c r="J35" i="12"/>
  <c r="K35" i="12"/>
  <c r="L35" i="12"/>
  <c r="M35" i="12"/>
  <c r="N35" i="12"/>
  <c r="O35" i="12"/>
  <c r="P35" i="12"/>
  <c r="Q35" i="12"/>
  <c r="T35" i="12"/>
  <c r="C27" i="12"/>
  <c r="D27" i="12"/>
  <c r="G27" i="12"/>
  <c r="H27" i="12"/>
  <c r="I27" i="12"/>
  <c r="J27" i="12"/>
  <c r="K27" i="12"/>
  <c r="L27" i="12"/>
  <c r="M27" i="12"/>
  <c r="N27" i="12"/>
  <c r="O27" i="12"/>
  <c r="P27" i="12"/>
  <c r="Q27" i="12"/>
  <c r="T27" i="12"/>
  <c r="C56" i="13"/>
  <c r="D56" i="13"/>
  <c r="G56" i="13"/>
  <c r="H56" i="13"/>
  <c r="I56" i="13"/>
  <c r="J56" i="13"/>
  <c r="M56" i="13"/>
  <c r="N56" i="13"/>
  <c r="O56" i="13"/>
  <c r="P56" i="13"/>
  <c r="Q56" i="13"/>
  <c r="T56" i="13"/>
  <c r="C68" i="13"/>
  <c r="D68" i="13"/>
  <c r="F68" i="13"/>
  <c r="G68" i="13"/>
  <c r="J68" i="13"/>
  <c r="K68" i="13"/>
  <c r="L68" i="13"/>
  <c r="M68" i="13"/>
  <c r="N68" i="13"/>
  <c r="O68" i="13"/>
  <c r="P68" i="13"/>
  <c r="Q68" i="13"/>
  <c r="T68" i="13"/>
  <c r="C72" i="13"/>
  <c r="D72" i="13"/>
  <c r="F72" i="13"/>
  <c r="G72" i="13"/>
  <c r="H72" i="13"/>
  <c r="I72" i="13"/>
  <c r="J72" i="13"/>
  <c r="K72" i="13"/>
  <c r="L72" i="13"/>
  <c r="M72" i="13"/>
  <c r="N72" i="13"/>
  <c r="O72" i="13"/>
  <c r="P72" i="13"/>
  <c r="Q72" i="13"/>
  <c r="T72" i="13"/>
  <c r="C81" i="13"/>
  <c r="D81" i="13"/>
  <c r="F81" i="13"/>
  <c r="G81" i="13"/>
  <c r="H81" i="13"/>
  <c r="I81" i="13"/>
  <c r="J81" i="13"/>
  <c r="K81" i="13"/>
  <c r="L81" i="13"/>
  <c r="M81" i="13"/>
  <c r="N81" i="13"/>
  <c r="O81" i="13"/>
  <c r="P81" i="13"/>
  <c r="Q81" i="13"/>
  <c r="T81" i="13"/>
  <c r="C23" i="25"/>
  <c r="D23" i="25"/>
  <c r="H23" i="25"/>
  <c r="J23" i="25"/>
  <c r="K23" i="25"/>
  <c r="M23" i="25"/>
  <c r="N23" i="25"/>
  <c r="P23" i="25"/>
  <c r="Q23" i="25"/>
  <c r="T23" i="25"/>
  <c r="C61" i="25"/>
  <c r="D61" i="25"/>
  <c r="F61" i="25"/>
  <c r="G61" i="25"/>
  <c r="H61" i="25"/>
  <c r="I61" i="25"/>
  <c r="J61" i="25"/>
  <c r="K61" i="25"/>
  <c r="L61" i="25"/>
  <c r="M61" i="25"/>
  <c r="N61" i="25"/>
  <c r="O61" i="25"/>
  <c r="P61" i="25"/>
  <c r="Q61" i="25"/>
  <c r="T61" i="25"/>
  <c r="C38" i="25"/>
  <c r="D38" i="25"/>
  <c r="G38" i="25"/>
  <c r="H38" i="25"/>
  <c r="I38" i="25"/>
  <c r="J38" i="25"/>
  <c r="K38" i="25"/>
  <c r="L38" i="25"/>
  <c r="M38" i="25"/>
  <c r="N38" i="25"/>
  <c r="O38" i="25"/>
  <c r="P38" i="25"/>
  <c r="Q38" i="25"/>
  <c r="T38" i="25"/>
  <c r="C46" i="25"/>
  <c r="D46" i="25"/>
  <c r="F46" i="25"/>
  <c r="G46" i="25"/>
  <c r="J46" i="25"/>
  <c r="K46" i="25"/>
  <c r="L46" i="25"/>
  <c r="M46" i="25"/>
  <c r="N46" i="25"/>
  <c r="O46" i="25"/>
  <c r="P46" i="25"/>
  <c r="Q46" i="25"/>
  <c r="T46" i="25"/>
  <c r="C52" i="25"/>
  <c r="D52" i="25"/>
  <c r="F52" i="25"/>
  <c r="G52" i="25"/>
  <c r="H52" i="25"/>
  <c r="I52" i="25"/>
  <c r="J52" i="25"/>
  <c r="K52" i="25"/>
  <c r="L52" i="25"/>
  <c r="M52" i="25"/>
  <c r="N52" i="25"/>
  <c r="O52" i="25"/>
  <c r="P52" i="25"/>
  <c r="Q52" i="25"/>
  <c r="T52" i="25"/>
  <c r="C62" i="25"/>
  <c r="D62" i="25"/>
  <c r="F62" i="25"/>
  <c r="G62" i="25"/>
  <c r="H62" i="25"/>
  <c r="I62" i="25"/>
  <c r="J62" i="25"/>
  <c r="K62" i="25"/>
  <c r="L62" i="25"/>
  <c r="M62" i="25"/>
  <c r="N62" i="25"/>
  <c r="O62" i="25"/>
  <c r="P62" i="25"/>
  <c r="Q62" i="25"/>
  <c r="T62" i="25"/>
  <c r="C81" i="8"/>
  <c r="D81" i="8"/>
  <c r="G81" i="8"/>
  <c r="H81" i="8"/>
  <c r="I81" i="8"/>
  <c r="J81" i="8"/>
  <c r="M81" i="8"/>
  <c r="N81" i="8"/>
  <c r="O81" i="8"/>
  <c r="P81" i="8"/>
  <c r="Q81" i="8"/>
  <c r="T81" i="8"/>
  <c r="U73" i="8"/>
  <c r="AE73" i="8"/>
  <c r="AF73" i="8"/>
  <c r="C45" i="8"/>
  <c r="D45" i="8"/>
  <c r="H45" i="8"/>
  <c r="J45" i="8"/>
  <c r="K45" i="8"/>
  <c r="M45" i="8"/>
  <c r="N45" i="8"/>
  <c r="P45" i="8"/>
  <c r="Q45" i="8"/>
  <c r="T45" i="8"/>
  <c r="U41" i="8"/>
  <c r="AE41" i="8"/>
  <c r="C114" i="8"/>
  <c r="D114" i="8"/>
  <c r="F114" i="8"/>
  <c r="G114" i="8"/>
  <c r="H114" i="8"/>
  <c r="I114" i="8"/>
  <c r="J114" i="8"/>
  <c r="K114" i="8"/>
  <c r="L114" i="8"/>
  <c r="M114" i="8"/>
  <c r="N114" i="8"/>
  <c r="O114" i="8"/>
  <c r="P114" i="8"/>
  <c r="Q114" i="8"/>
  <c r="T114" i="8"/>
  <c r="U114" i="8"/>
  <c r="AE114" i="8"/>
  <c r="C82" i="8"/>
  <c r="D82" i="8"/>
  <c r="G82" i="8"/>
  <c r="H82" i="8"/>
  <c r="I82" i="8"/>
  <c r="J82" i="8"/>
  <c r="K82" i="8"/>
  <c r="L82" i="8"/>
  <c r="M82" i="8"/>
  <c r="N82" i="8"/>
  <c r="O82" i="8"/>
  <c r="P82" i="8"/>
  <c r="Q82" i="8"/>
  <c r="T82" i="8"/>
  <c r="U86" i="8"/>
  <c r="AE86" i="8"/>
  <c r="C95" i="8"/>
  <c r="D95" i="8"/>
  <c r="F95" i="8"/>
  <c r="G95" i="8"/>
  <c r="J95" i="8"/>
  <c r="K95" i="8"/>
  <c r="L95" i="8"/>
  <c r="M95" i="8"/>
  <c r="N95" i="8"/>
  <c r="O95" i="8"/>
  <c r="P95" i="8"/>
  <c r="Q95" i="8"/>
  <c r="T95" i="8"/>
  <c r="U95" i="8"/>
  <c r="AE95" i="8"/>
  <c r="AF95" i="8"/>
  <c r="C102" i="8"/>
  <c r="D102" i="8"/>
  <c r="F102" i="8"/>
  <c r="G102" i="8"/>
  <c r="H102" i="8"/>
  <c r="I102" i="8"/>
  <c r="J102" i="8"/>
  <c r="K102" i="8"/>
  <c r="L102" i="8"/>
  <c r="M102" i="8"/>
  <c r="N102" i="8"/>
  <c r="O102" i="8"/>
  <c r="P102" i="8"/>
  <c r="Q102" i="8"/>
  <c r="T102" i="8"/>
  <c r="U101" i="8"/>
  <c r="AE101" i="8"/>
  <c r="C115" i="8"/>
  <c r="D115" i="8"/>
  <c r="F115" i="8"/>
  <c r="G115" i="8"/>
  <c r="H115" i="8"/>
  <c r="I115" i="8"/>
  <c r="J115" i="8"/>
  <c r="K115" i="8"/>
  <c r="L115" i="8"/>
  <c r="M115" i="8"/>
  <c r="N115" i="8"/>
  <c r="O115" i="8"/>
  <c r="P115" i="8"/>
  <c r="Q115" i="8"/>
  <c r="T115" i="8"/>
  <c r="U115" i="8"/>
  <c r="AE115" i="8"/>
  <c r="U376" i="4" l="1"/>
  <c r="Z361" i="4"/>
  <c r="Z373" i="4"/>
  <c r="Z364" i="4"/>
  <c r="Z376" i="4"/>
  <c r="Z367" i="4"/>
  <c r="Z370" i="4"/>
  <c r="Z371" i="4"/>
  <c r="Z365" i="4"/>
  <c r="Z368" i="4"/>
  <c r="U373" i="4"/>
  <c r="U364" i="4"/>
  <c r="G75" i="8" s="1"/>
  <c r="U371" i="4"/>
  <c r="U367" i="4"/>
  <c r="G16" i="25" s="1"/>
  <c r="U370" i="4"/>
  <c r="U361" i="4"/>
  <c r="U359" i="4"/>
  <c r="Z377" i="4"/>
  <c r="Z374" i="4"/>
  <c r="Z362" i="4"/>
  <c r="Z358" i="4"/>
  <c r="Z357" i="4"/>
  <c r="Z359" i="4"/>
  <c r="U355" i="4"/>
  <c r="Z281" i="4"/>
  <c r="U349" i="4"/>
  <c r="E28" i="26" s="1"/>
  <c r="Z343" i="4"/>
  <c r="Z327" i="4"/>
  <c r="Z339" i="4"/>
  <c r="Z340" i="4"/>
  <c r="Z323" i="4"/>
  <c r="Z298" i="4"/>
  <c r="Z354" i="4"/>
  <c r="Z314" i="4"/>
  <c r="Z283" i="4"/>
  <c r="Z331" i="4"/>
  <c r="Z295" i="4"/>
  <c r="Z313" i="4"/>
  <c r="Z330" i="4"/>
  <c r="Z342" i="4"/>
  <c r="Z355" i="4"/>
  <c r="Z287" i="4"/>
  <c r="Z279" i="4"/>
  <c r="Z329" i="4"/>
  <c r="Z292" i="4"/>
  <c r="Z337" i="4"/>
  <c r="Z332" i="4"/>
  <c r="Z296" i="4"/>
  <c r="Z308" i="4"/>
  <c r="Z326" i="4"/>
  <c r="Z301" i="4"/>
  <c r="Z341" i="4"/>
  <c r="Z350" i="4"/>
  <c r="Z316" i="4"/>
  <c r="Z345" i="4"/>
  <c r="Z305" i="4"/>
  <c r="Z293" i="4"/>
  <c r="Z290" i="4"/>
  <c r="U336" i="4"/>
  <c r="Z310" i="4"/>
  <c r="Z278" i="4"/>
  <c r="Z333" i="4"/>
  <c r="Z346" i="4"/>
  <c r="Z302" i="4"/>
  <c r="Z299" i="4"/>
  <c r="Z356" i="4"/>
  <c r="Z319" i="4"/>
  <c r="Z320" i="4"/>
  <c r="Z317" i="4"/>
  <c r="Z344" i="4"/>
  <c r="Z280" i="4"/>
  <c r="Z347" i="4"/>
  <c r="Z321" i="4"/>
  <c r="Z348" i="4"/>
  <c r="Z277" i="4"/>
  <c r="Z334" i="4"/>
  <c r="Z352" i="4"/>
  <c r="Z286" i="4"/>
  <c r="Z304" i="4"/>
  <c r="Z322" i="4"/>
  <c r="Z336" i="4"/>
  <c r="Z349" i="4"/>
  <c r="Z282" i="4"/>
  <c r="Z353" i="4"/>
  <c r="Z338" i="4"/>
  <c r="Z328" i="4"/>
  <c r="Z335" i="4"/>
  <c r="Z289" i="4"/>
  <c r="Z307" i="4"/>
  <c r="Z351" i="4"/>
  <c r="Z276" i="4"/>
  <c r="Z311" i="4"/>
  <c r="Z284" i="4"/>
  <c r="U348" i="4"/>
  <c r="U346" i="4"/>
  <c r="U351" i="4"/>
  <c r="U327" i="4"/>
  <c r="U321" i="4"/>
  <c r="U345" i="4"/>
  <c r="E32" i="26" s="1"/>
  <c r="U322" i="4"/>
  <c r="F25" i="25" s="1"/>
  <c r="U319" i="4"/>
  <c r="U316" i="4"/>
  <c r="U342" i="4"/>
  <c r="F75" i="8" s="1"/>
  <c r="U286" i="4"/>
  <c r="U307" i="4"/>
  <c r="U289" i="4"/>
  <c r="U323" i="4"/>
  <c r="U343" i="4"/>
  <c r="U267" i="4"/>
  <c r="Z267" i="4"/>
  <c r="U362" i="4"/>
  <c r="U338" i="4"/>
  <c r="U352" i="4"/>
  <c r="F48" i="25" s="1"/>
  <c r="U335" i="4"/>
  <c r="U280" i="4"/>
  <c r="U310" i="4"/>
  <c r="F47" i="25" s="1"/>
  <c r="U365" i="4"/>
  <c r="U283" i="4"/>
  <c r="U331" i="4"/>
  <c r="U341" i="4"/>
  <c r="U292" i="4"/>
  <c r="U350" i="4"/>
  <c r="U301" i="4"/>
  <c r="U337" i="4"/>
  <c r="F16" i="25" s="1"/>
  <c r="U326" i="4"/>
  <c r="U340" i="4"/>
  <c r="U305" i="4"/>
  <c r="U296" i="4"/>
  <c r="F41" i="25" s="1"/>
  <c r="U329" i="4"/>
  <c r="U276" i="4"/>
  <c r="K288" i="4"/>
  <c r="K363" i="4"/>
  <c r="U347" i="4"/>
  <c r="K366" i="4"/>
  <c r="K291" i="4"/>
  <c r="K372" i="4"/>
  <c r="K294" i="4"/>
  <c r="U302" i="4"/>
  <c r="F14" i="25" s="1"/>
  <c r="U279" i="4"/>
  <c r="U299" i="4"/>
  <c r="U277" i="4"/>
  <c r="K378" i="4"/>
  <c r="K297" i="4"/>
  <c r="U281" i="4"/>
  <c r="K300" i="4"/>
  <c r="U311" i="4"/>
  <c r="U308" i="4"/>
  <c r="U314" i="4"/>
  <c r="K303" i="4"/>
  <c r="K306" i="4"/>
  <c r="K309" i="4"/>
  <c r="K369" i="4"/>
  <c r="U368" i="4"/>
  <c r="K312" i="4"/>
  <c r="Z312" i="4" s="1"/>
  <c r="K315" i="4"/>
  <c r="U287" i="4"/>
  <c r="F28" i="25" s="1"/>
  <c r="K375" i="4"/>
  <c r="U374" i="4"/>
  <c r="G28" i="25" s="1"/>
  <c r="K318" i="4"/>
  <c r="U332" i="4"/>
  <c r="U358" i="4"/>
  <c r="K285" i="4"/>
  <c r="K360" i="4"/>
  <c r="R80" i="31"/>
  <c r="R57" i="31"/>
  <c r="R47" i="31"/>
  <c r="R117" i="31"/>
  <c r="R110" i="31"/>
  <c r="R96" i="31"/>
  <c r="R93" i="31"/>
  <c r="U117" i="22"/>
  <c r="U95" i="22"/>
  <c r="U52" i="22" l="1"/>
  <c r="Z309" i="4"/>
  <c r="Z360" i="4"/>
  <c r="G51" i="13"/>
  <c r="G69" i="8"/>
  <c r="G31" i="25"/>
  <c r="G98" i="8"/>
  <c r="G49" i="25"/>
  <c r="G69" i="13"/>
  <c r="Z378" i="4"/>
  <c r="Z375" i="4"/>
  <c r="Z372" i="4"/>
  <c r="Z369" i="4"/>
  <c r="Z366" i="4"/>
  <c r="Z363" i="4"/>
  <c r="Z303" i="4"/>
  <c r="F40" i="25"/>
  <c r="F58" i="13"/>
  <c r="F84" i="8"/>
  <c r="F80" i="8"/>
  <c r="F37" i="25"/>
  <c r="F26" i="12"/>
  <c r="S26" i="12" s="1"/>
  <c r="F56" i="13"/>
  <c r="F81" i="8"/>
  <c r="Z318" i="4"/>
  <c r="Z315" i="4"/>
  <c r="Z306" i="4"/>
  <c r="Z300" i="4"/>
  <c r="Z297" i="4"/>
  <c r="Z294" i="4"/>
  <c r="Z291" i="4"/>
  <c r="Z288" i="4"/>
  <c r="Z285" i="4"/>
  <c r="E92" i="8"/>
  <c r="E43" i="25"/>
  <c r="E28" i="12"/>
  <c r="U315" i="4"/>
  <c r="U366" i="4"/>
  <c r="U378" i="4"/>
  <c r="U309" i="4"/>
  <c r="E27" i="26" s="1"/>
  <c r="U372" i="4"/>
  <c r="U375" i="4"/>
  <c r="U297" i="4"/>
  <c r="U360" i="4"/>
  <c r="U303" i="4"/>
  <c r="U285" i="4"/>
  <c r="U312" i="4"/>
  <c r="U369" i="4"/>
  <c r="U288" i="4"/>
  <c r="B271" i="4"/>
  <c r="G271" i="4"/>
  <c r="I271" i="4" s="1"/>
  <c r="N271" i="4"/>
  <c r="O271" i="4"/>
  <c r="P271" i="4"/>
  <c r="Q271" i="4"/>
  <c r="T271" i="4"/>
  <c r="W271" i="4"/>
  <c r="X271" i="4"/>
  <c r="B272" i="4"/>
  <c r="G272" i="4"/>
  <c r="I272" i="4" s="1"/>
  <c r="N272" i="4"/>
  <c r="O272" i="4"/>
  <c r="P272" i="4"/>
  <c r="Q272" i="4"/>
  <c r="R272" i="4"/>
  <c r="T272" i="4"/>
  <c r="W272" i="4"/>
  <c r="B273" i="4"/>
  <c r="G273" i="4"/>
  <c r="I273" i="4" s="1"/>
  <c r="N273" i="4"/>
  <c r="O273" i="4"/>
  <c r="P273" i="4"/>
  <c r="Q273" i="4"/>
  <c r="R273" i="4"/>
  <c r="T273" i="4"/>
  <c r="W273" i="4"/>
  <c r="B274" i="4"/>
  <c r="G274" i="4"/>
  <c r="I274" i="4" s="1"/>
  <c r="N274" i="4"/>
  <c r="O274" i="4"/>
  <c r="P274" i="4"/>
  <c r="Q274" i="4"/>
  <c r="R274" i="4"/>
  <c r="T274" i="4"/>
  <c r="W274" i="4"/>
  <c r="B275" i="4"/>
  <c r="G275" i="4"/>
  <c r="I275" i="4" s="1"/>
  <c r="N275" i="4"/>
  <c r="O275" i="4"/>
  <c r="P275" i="4"/>
  <c r="Q275" i="4"/>
  <c r="R275" i="4"/>
  <c r="T275" i="4"/>
  <c r="W275" i="4"/>
  <c r="S273" i="4" l="1"/>
  <c r="S275" i="4"/>
  <c r="S271" i="4"/>
  <c r="S274" i="4"/>
  <c r="S272" i="4"/>
  <c r="J271" i="4"/>
  <c r="K271" i="4" s="1"/>
  <c r="G32" i="25"/>
  <c r="G70" i="8"/>
  <c r="G20" i="12"/>
  <c r="S20" i="12" s="1"/>
  <c r="G23" i="25"/>
  <c r="G9" i="12"/>
  <c r="G45" i="8"/>
  <c r="F64" i="13"/>
  <c r="F90" i="8"/>
  <c r="F43" i="25"/>
  <c r="F28" i="12"/>
  <c r="S28" i="12" s="1"/>
  <c r="F92" i="8"/>
  <c r="F45" i="8"/>
  <c r="F9" i="12"/>
  <c r="F23" i="25"/>
  <c r="J275" i="4"/>
  <c r="K275" i="4" s="1"/>
  <c r="J273" i="4"/>
  <c r="K273" i="4" s="1"/>
  <c r="J274" i="4"/>
  <c r="J272" i="4"/>
  <c r="D24" i="26"/>
  <c r="D31" i="26"/>
  <c r="D34" i="26"/>
  <c r="B263" i="4"/>
  <c r="G263" i="4"/>
  <c r="I263" i="4" s="1"/>
  <c r="N263" i="4"/>
  <c r="O263" i="4"/>
  <c r="P263" i="4"/>
  <c r="Q263" i="4"/>
  <c r="R263" i="4"/>
  <c r="T263" i="4"/>
  <c r="W263" i="4"/>
  <c r="X263" i="4"/>
  <c r="B264" i="4"/>
  <c r="G264" i="4"/>
  <c r="I264" i="4" s="1"/>
  <c r="N264" i="4"/>
  <c r="O264" i="4"/>
  <c r="P264" i="4"/>
  <c r="Q264" i="4"/>
  <c r="R264" i="4"/>
  <c r="T264" i="4"/>
  <c r="W264" i="4"/>
  <c r="X264" i="4"/>
  <c r="B265" i="4"/>
  <c r="G265" i="4"/>
  <c r="I265" i="4" s="1"/>
  <c r="N265" i="4"/>
  <c r="O265" i="4"/>
  <c r="P265" i="4"/>
  <c r="Q265" i="4"/>
  <c r="T265" i="4"/>
  <c r="W265" i="4"/>
  <c r="B266" i="4"/>
  <c r="G266" i="4"/>
  <c r="I266" i="4" s="1"/>
  <c r="N266" i="4"/>
  <c r="O266" i="4"/>
  <c r="P266" i="4"/>
  <c r="Q266" i="4"/>
  <c r="T266" i="4"/>
  <c r="W266" i="4"/>
  <c r="B268" i="4"/>
  <c r="G268" i="4"/>
  <c r="I268" i="4" s="1"/>
  <c r="N268" i="4"/>
  <c r="O268" i="4"/>
  <c r="P268" i="4"/>
  <c r="Q268" i="4"/>
  <c r="R268" i="4"/>
  <c r="T268" i="4"/>
  <c r="W268" i="4"/>
  <c r="B269" i="4"/>
  <c r="G269" i="4"/>
  <c r="I269" i="4" s="1"/>
  <c r="N269" i="4"/>
  <c r="O269" i="4"/>
  <c r="P269" i="4"/>
  <c r="Q269" i="4"/>
  <c r="R269" i="4"/>
  <c r="T269" i="4"/>
  <c r="W269" i="4"/>
  <c r="B270" i="4"/>
  <c r="G270" i="4"/>
  <c r="I270" i="4" s="1"/>
  <c r="N270" i="4"/>
  <c r="O270" i="4"/>
  <c r="P270" i="4"/>
  <c r="Q270" i="4"/>
  <c r="T270" i="4"/>
  <c r="W270" i="4"/>
  <c r="X270" i="4"/>
  <c r="B258" i="4"/>
  <c r="G258" i="4"/>
  <c r="I258" i="4" s="1"/>
  <c r="N258" i="4"/>
  <c r="O258" i="4"/>
  <c r="P258" i="4"/>
  <c r="Q258" i="4"/>
  <c r="T258" i="4"/>
  <c r="W258" i="4"/>
  <c r="B259" i="4"/>
  <c r="G259" i="4"/>
  <c r="I259" i="4" s="1"/>
  <c r="N259" i="4"/>
  <c r="O259" i="4"/>
  <c r="P259" i="4"/>
  <c r="Q259" i="4"/>
  <c r="R259" i="4"/>
  <c r="T259" i="4"/>
  <c r="W259" i="4"/>
  <c r="B260" i="4"/>
  <c r="G260" i="4"/>
  <c r="I260" i="4" s="1"/>
  <c r="N260" i="4"/>
  <c r="O260" i="4"/>
  <c r="P260" i="4"/>
  <c r="Q260" i="4"/>
  <c r="R260" i="4"/>
  <c r="T260" i="4"/>
  <c r="W260" i="4"/>
  <c r="B261" i="4"/>
  <c r="G261" i="4"/>
  <c r="I261" i="4" s="1"/>
  <c r="N261" i="4"/>
  <c r="O261" i="4"/>
  <c r="P261" i="4"/>
  <c r="Q261" i="4"/>
  <c r="R261" i="4"/>
  <c r="T261" i="4"/>
  <c r="W261" i="4"/>
  <c r="X261" i="4"/>
  <c r="B262" i="4"/>
  <c r="G262" i="4"/>
  <c r="I262" i="4" s="1"/>
  <c r="N262" i="4"/>
  <c r="O262" i="4"/>
  <c r="P262" i="4"/>
  <c r="Q262" i="4"/>
  <c r="R262" i="4"/>
  <c r="T262" i="4"/>
  <c r="W262" i="4"/>
  <c r="S258" i="4" l="1"/>
  <c r="S268" i="4"/>
  <c r="S270" i="4"/>
  <c r="S260" i="4"/>
  <c r="S261" i="4"/>
  <c r="S269" i="4"/>
  <c r="S263" i="4"/>
  <c r="S264" i="4"/>
  <c r="S262" i="4"/>
  <c r="S265" i="4"/>
  <c r="S259" i="4"/>
  <c r="S266" i="4"/>
  <c r="J261" i="4"/>
  <c r="K261" i="4" s="1"/>
  <c r="J259" i="4"/>
  <c r="K259" i="4" s="1"/>
  <c r="J258" i="4"/>
  <c r="K258" i="4" s="1"/>
  <c r="J269" i="4"/>
  <c r="K269" i="4" s="1"/>
  <c r="J268" i="4"/>
  <c r="K268" i="4" s="1"/>
  <c r="J265" i="4"/>
  <c r="K265" i="4" s="1"/>
  <c r="J264" i="4"/>
  <c r="K264" i="4" s="1"/>
  <c r="J263" i="4"/>
  <c r="K263" i="4" s="1"/>
  <c r="Z275" i="4"/>
  <c r="Z273" i="4"/>
  <c r="Z271" i="4"/>
  <c r="U275" i="4"/>
  <c r="U273" i="4"/>
  <c r="K272" i="4"/>
  <c r="K274" i="4"/>
  <c r="J270" i="4"/>
  <c r="K270" i="4" s="1"/>
  <c r="J266" i="4"/>
  <c r="K266" i="4" s="1"/>
  <c r="J262" i="4"/>
  <c r="J260" i="4"/>
  <c r="B231" i="4"/>
  <c r="G231" i="4"/>
  <c r="I231" i="4" s="1"/>
  <c r="N231" i="4"/>
  <c r="O231" i="4"/>
  <c r="P231" i="4"/>
  <c r="Q231" i="4"/>
  <c r="T231" i="4"/>
  <c r="W231" i="4"/>
  <c r="B232" i="4"/>
  <c r="G232" i="4"/>
  <c r="I232" i="4" s="1"/>
  <c r="N232" i="4"/>
  <c r="O232" i="4"/>
  <c r="P232" i="4"/>
  <c r="Q232" i="4"/>
  <c r="R232" i="4"/>
  <c r="T232" i="4"/>
  <c r="W232" i="4"/>
  <c r="B233" i="4"/>
  <c r="G233" i="4"/>
  <c r="I233" i="4" s="1"/>
  <c r="N233" i="4"/>
  <c r="O233" i="4"/>
  <c r="P233" i="4"/>
  <c r="Q233" i="4"/>
  <c r="R233" i="4"/>
  <c r="T233" i="4"/>
  <c r="W233" i="4"/>
  <c r="X233" i="4"/>
  <c r="B234" i="4"/>
  <c r="G234" i="4"/>
  <c r="I234" i="4" s="1"/>
  <c r="N234" i="4"/>
  <c r="O234" i="4"/>
  <c r="P234" i="4"/>
  <c r="Q234" i="4"/>
  <c r="R234" i="4"/>
  <c r="T234" i="4"/>
  <c r="W234" i="4"/>
  <c r="X234" i="4"/>
  <c r="B235" i="4"/>
  <c r="G235" i="4"/>
  <c r="I235" i="4" s="1"/>
  <c r="N235" i="4"/>
  <c r="O235" i="4"/>
  <c r="P235" i="4"/>
  <c r="Q235" i="4"/>
  <c r="R235" i="4"/>
  <c r="T235" i="4"/>
  <c r="W235" i="4"/>
  <c r="B236" i="4"/>
  <c r="G236" i="4"/>
  <c r="I236" i="4" s="1"/>
  <c r="N236" i="4"/>
  <c r="O236" i="4"/>
  <c r="P236" i="4"/>
  <c r="Q236" i="4"/>
  <c r="R236" i="4"/>
  <c r="T236" i="4"/>
  <c r="W236" i="4"/>
  <c r="X236" i="4"/>
  <c r="B237" i="4"/>
  <c r="G237" i="4"/>
  <c r="I237" i="4" s="1"/>
  <c r="N237" i="4"/>
  <c r="O237" i="4"/>
  <c r="P237" i="4"/>
  <c r="Q237" i="4"/>
  <c r="R237" i="4"/>
  <c r="T237" i="4"/>
  <c r="W237" i="4"/>
  <c r="B238" i="4"/>
  <c r="G238" i="4"/>
  <c r="I238" i="4" s="1"/>
  <c r="N238" i="4"/>
  <c r="O238" i="4"/>
  <c r="P238" i="4"/>
  <c r="Q238" i="4"/>
  <c r="T238" i="4"/>
  <c r="W238" i="4"/>
  <c r="B239" i="4"/>
  <c r="G239" i="4"/>
  <c r="I239" i="4" s="1"/>
  <c r="N239" i="4"/>
  <c r="O239" i="4"/>
  <c r="P239" i="4"/>
  <c r="Q239" i="4"/>
  <c r="T239" i="4"/>
  <c r="W239" i="4"/>
  <c r="B240" i="4"/>
  <c r="G240" i="4"/>
  <c r="I240" i="4" s="1"/>
  <c r="N240" i="4"/>
  <c r="O240" i="4"/>
  <c r="P240" i="4"/>
  <c r="Q240" i="4"/>
  <c r="R240" i="4"/>
  <c r="T240" i="4"/>
  <c r="W240" i="4"/>
  <c r="X240" i="4"/>
  <c r="B241" i="4"/>
  <c r="G241" i="4"/>
  <c r="I241" i="4" s="1"/>
  <c r="N241" i="4"/>
  <c r="O241" i="4"/>
  <c r="P241" i="4"/>
  <c r="Q241" i="4"/>
  <c r="T241" i="4"/>
  <c r="W241" i="4"/>
  <c r="B242" i="4"/>
  <c r="G242" i="4"/>
  <c r="I242" i="4" s="1"/>
  <c r="N242" i="4"/>
  <c r="O242" i="4"/>
  <c r="P242" i="4"/>
  <c r="Q242" i="4"/>
  <c r="T242" i="4"/>
  <c r="W242" i="4"/>
  <c r="B243" i="4"/>
  <c r="G243" i="4"/>
  <c r="I243" i="4" s="1"/>
  <c r="N243" i="4"/>
  <c r="O243" i="4"/>
  <c r="P243" i="4"/>
  <c r="Q243" i="4"/>
  <c r="R243" i="4"/>
  <c r="T243" i="4"/>
  <c r="W243" i="4"/>
  <c r="B244" i="4"/>
  <c r="G244" i="4"/>
  <c r="I244" i="4" s="1"/>
  <c r="N244" i="4"/>
  <c r="O244" i="4"/>
  <c r="P244" i="4"/>
  <c r="Q244" i="4"/>
  <c r="R244" i="4"/>
  <c r="T244" i="4"/>
  <c r="W244" i="4"/>
  <c r="B245" i="4"/>
  <c r="G245" i="4"/>
  <c r="I245" i="4" s="1"/>
  <c r="N245" i="4"/>
  <c r="O245" i="4"/>
  <c r="P245" i="4"/>
  <c r="Q245" i="4"/>
  <c r="R245" i="4"/>
  <c r="T245" i="4"/>
  <c r="W245" i="4"/>
  <c r="B246" i="4"/>
  <c r="G246" i="4"/>
  <c r="I246" i="4" s="1"/>
  <c r="N246" i="4"/>
  <c r="O246" i="4"/>
  <c r="P246" i="4"/>
  <c r="Q246" i="4"/>
  <c r="R246" i="4"/>
  <c r="T246" i="4"/>
  <c r="W246" i="4"/>
  <c r="B247" i="4"/>
  <c r="G247" i="4"/>
  <c r="I247" i="4" s="1"/>
  <c r="N247" i="4"/>
  <c r="O247" i="4"/>
  <c r="P247" i="4"/>
  <c r="Q247" i="4"/>
  <c r="R247" i="4"/>
  <c r="T247" i="4"/>
  <c r="W247" i="4"/>
  <c r="B248" i="4"/>
  <c r="G248" i="4"/>
  <c r="I248" i="4" s="1"/>
  <c r="N248" i="4"/>
  <c r="O248" i="4"/>
  <c r="P248" i="4"/>
  <c r="Q248" i="4"/>
  <c r="R248" i="4"/>
  <c r="T248" i="4"/>
  <c r="W248" i="4"/>
  <c r="B249" i="4"/>
  <c r="G249" i="4"/>
  <c r="I249" i="4" s="1"/>
  <c r="N249" i="4"/>
  <c r="O249" i="4"/>
  <c r="P249" i="4"/>
  <c r="Q249" i="4"/>
  <c r="R249" i="4"/>
  <c r="T249" i="4"/>
  <c r="W249" i="4"/>
  <c r="B250" i="4"/>
  <c r="G250" i="4"/>
  <c r="I250" i="4" s="1"/>
  <c r="N250" i="4"/>
  <c r="O250" i="4"/>
  <c r="P250" i="4"/>
  <c r="Q250" i="4"/>
  <c r="R250" i="4"/>
  <c r="T250" i="4"/>
  <c r="W250" i="4"/>
  <c r="X250" i="4"/>
  <c r="B251" i="4"/>
  <c r="G251" i="4"/>
  <c r="I251" i="4" s="1"/>
  <c r="N251" i="4"/>
  <c r="O251" i="4"/>
  <c r="P251" i="4"/>
  <c r="Q251" i="4"/>
  <c r="R251" i="4"/>
  <c r="T251" i="4"/>
  <c r="W251" i="4"/>
  <c r="B252" i="4"/>
  <c r="G252" i="4"/>
  <c r="I252" i="4" s="1"/>
  <c r="N252" i="4"/>
  <c r="O252" i="4"/>
  <c r="P252" i="4"/>
  <c r="Q252" i="4"/>
  <c r="R252" i="4"/>
  <c r="T252" i="4"/>
  <c r="W252" i="4"/>
  <c r="X252" i="4"/>
  <c r="B253" i="4"/>
  <c r="J253" i="4" s="1"/>
  <c r="G253" i="4"/>
  <c r="N253" i="4"/>
  <c r="O253" i="4"/>
  <c r="P253" i="4"/>
  <c r="Q253" i="4"/>
  <c r="R253" i="4"/>
  <c r="T253" i="4"/>
  <c r="W253" i="4"/>
  <c r="B254" i="4"/>
  <c r="G254" i="4"/>
  <c r="I254" i="4" s="1"/>
  <c r="N254" i="4"/>
  <c r="O254" i="4"/>
  <c r="P254" i="4"/>
  <c r="Q254" i="4"/>
  <c r="T254" i="4"/>
  <c r="W254" i="4"/>
  <c r="B255" i="4"/>
  <c r="J255" i="4" s="1"/>
  <c r="G255" i="4"/>
  <c r="N255" i="4"/>
  <c r="O255" i="4"/>
  <c r="P255" i="4"/>
  <c r="Q255" i="4"/>
  <c r="R255" i="4"/>
  <c r="T255" i="4"/>
  <c r="W255" i="4"/>
  <c r="B256" i="4"/>
  <c r="G256" i="4"/>
  <c r="I256" i="4" s="1"/>
  <c r="N256" i="4"/>
  <c r="O256" i="4"/>
  <c r="P256" i="4"/>
  <c r="Q256" i="4"/>
  <c r="R256" i="4"/>
  <c r="T256" i="4"/>
  <c r="W256" i="4"/>
  <c r="X256" i="4"/>
  <c r="B257" i="4"/>
  <c r="G257" i="4"/>
  <c r="I257" i="4" s="1"/>
  <c r="N257" i="4"/>
  <c r="O257" i="4"/>
  <c r="P257" i="4"/>
  <c r="Q257" i="4"/>
  <c r="T257" i="4"/>
  <c r="W257" i="4"/>
  <c r="S240" i="4" l="1"/>
  <c r="S254" i="4"/>
  <c r="S235" i="4"/>
  <c r="S256" i="4"/>
  <c r="S234" i="4"/>
  <c r="S232" i="4"/>
  <c r="S251" i="4"/>
  <c r="S247" i="4"/>
  <c r="S243" i="4"/>
  <c r="S239" i="4"/>
  <c r="S252" i="4"/>
  <c r="S257" i="4"/>
  <c r="S248" i="4"/>
  <c r="S244" i="4"/>
  <c r="S231" i="4"/>
  <c r="S236" i="4"/>
  <c r="S249" i="4"/>
  <c r="S245" i="4"/>
  <c r="S241" i="4"/>
  <c r="S237" i="4"/>
  <c r="S250" i="4"/>
  <c r="S246" i="4"/>
  <c r="S242" i="4"/>
  <c r="S238" i="4"/>
  <c r="S233" i="4"/>
  <c r="J256" i="4"/>
  <c r="K256" i="4" s="1"/>
  <c r="J252" i="4"/>
  <c r="K252" i="4" s="1"/>
  <c r="J250" i="4"/>
  <c r="K250" i="4" s="1"/>
  <c r="J247" i="4"/>
  <c r="K247" i="4" s="1"/>
  <c r="J232" i="4"/>
  <c r="K232" i="4" s="1"/>
  <c r="J231" i="4"/>
  <c r="K231" i="4" s="1"/>
  <c r="Z268" i="4"/>
  <c r="F38" i="25"/>
  <c r="F82" i="8"/>
  <c r="F27" i="12"/>
  <c r="Z274" i="4"/>
  <c r="Z272" i="4"/>
  <c r="Z270" i="4"/>
  <c r="Z269" i="4"/>
  <c r="Z264" i="4"/>
  <c r="Z265" i="4"/>
  <c r="Z261" i="4"/>
  <c r="Z263" i="4"/>
  <c r="Z258" i="4"/>
  <c r="Z259" i="4"/>
  <c r="Z266" i="4"/>
  <c r="U274" i="4"/>
  <c r="U272" i="4"/>
  <c r="U263" i="4"/>
  <c r="K262" i="4"/>
  <c r="U268" i="4"/>
  <c r="E33" i="26" s="1"/>
  <c r="U269" i="4"/>
  <c r="U264" i="4"/>
  <c r="K260" i="4"/>
  <c r="U259" i="4"/>
  <c r="U261" i="4"/>
  <c r="E48" i="25" s="1"/>
  <c r="J234" i="4"/>
  <c r="K234" i="4" s="1"/>
  <c r="J248" i="4"/>
  <c r="K248" i="4" s="1"/>
  <c r="J249" i="4"/>
  <c r="K249" i="4" s="1"/>
  <c r="J243" i="4"/>
  <c r="K243" i="4" s="1"/>
  <c r="J257" i="4"/>
  <c r="K257" i="4" s="1"/>
  <c r="J251" i="4"/>
  <c r="K251" i="4" s="1"/>
  <c r="J235" i="4"/>
  <c r="K235" i="4" s="1"/>
  <c r="J245" i="4"/>
  <c r="K245" i="4" s="1"/>
  <c r="J244" i="4"/>
  <c r="K244" i="4" s="1"/>
  <c r="J236" i="4"/>
  <c r="K236" i="4" s="1"/>
  <c r="J246" i="4"/>
  <c r="K246" i="4" s="1"/>
  <c r="J238" i="4"/>
  <c r="K238" i="4" s="1"/>
  <c r="J237" i="4"/>
  <c r="K237" i="4" s="1"/>
  <c r="J239" i="4"/>
  <c r="K239" i="4" s="1"/>
  <c r="J240" i="4"/>
  <c r="K240" i="4" s="1"/>
  <c r="J254" i="4"/>
  <c r="K254" i="4" s="1"/>
  <c r="J242" i="4"/>
  <c r="K242" i="4" s="1"/>
  <c r="J241" i="4"/>
  <c r="K241" i="4" s="1"/>
  <c r="J233" i="4"/>
  <c r="K233" i="4" s="1"/>
  <c r="K253" i="4"/>
  <c r="K255" i="4"/>
  <c r="C55" i="31"/>
  <c r="D55" i="31"/>
  <c r="E55" i="31"/>
  <c r="F55" i="31"/>
  <c r="G55" i="31"/>
  <c r="H55" i="31"/>
  <c r="I55" i="31"/>
  <c r="J55" i="31"/>
  <c r="K55" i="31"/>
  <c r="L55" i="31"/>
  <c r="M55" i="31"/>
  <c r="N55" i="31"/>
  <c r="O55" i="31"/>
  <c r="P55" i="31"/>
  <c r="Q55" i="31"/>
  <c r="C19" i="31"/>
  <c r="D19" i="31"/>
  <c r="E19" i="31"/>
  <c r="F19" i="31"/>
  <c r="G19" i="31"/>
  <c r="H19" i="31"/>
  <c r="I19" i="31"/>
  <c r="J19" i="31"/>
  <c r="K19" i="31"/>
  <c r="L19" i="31"/>
  <c r="M19" i="31"/>
  <c r="N19" i="31"/>
  <c r="O19" i="31"/>
  <c r="P19" i="31"/>
  <c r="Q19" i="31"/>
  <c r="C9" i="31"/>
  <c r="D9" i="31"/>
  <c r="E9" i="31"/>
  <c r="F9" i="31"/>
  <c r="G9" i="31"/>
  <c r="H9" i="31"/>
  <c r="I9" i="31"/>
  <c r="J9" i="31"/>
  <c r="K9" i="31"/>
  <c r="L9" i="31"/>
  <c r="M9" i="31"/>
  <c r="N9" i="31"/>
  <c r="O9" i="31"/>
  <c r="P9" i="31"/>
  <c r="Q9" i="31"/>
  <c r="C5" i="31"/>
  <c r="D5" i="31"/>
  <c r="E5" i="31"/>
  <c r="F5" i="31"/>
  <c r="G5" i="31"/>
  <c r="H5" i="31"/>
  <c r="I5" i="31"/>
  <c r="J5" i="31"/>
  <c r="K5" i="31"/>
  <c r="L5" i="31"/>
  <c r="M5" i="31"/>
  <c r="N5" i="31"/>
  <c r="O5" i="31"/>
  <c r="P5" i="31"/>
  <c r="Q5" i="31"/>
  <c r="C28" i="31"/>
  <c r="D28" i="31"/>
  <c r="E28" i="31"/>
  <c r="F28" i="31"/>
  <c r="G28" i="31"/>
  <c r="H28" i="31"/>
  <c r="I28" i="31"/>
  <c r="J28" i="31"/>
  <c r="K28" i="31"/>
  <c r="L28" i="31"/>
  <c r="M28" i="31"/>
  <c r="N28" i="31"/>
  <c r="O28" i="31"/>
  <c r="P28" i="31"/>
  <c r="Q28" i="31"/>
  <c r="C4" i="31"/>
  <c r="D4" i="31"/>
  <c r="E4" i="31"/>
  <c r="F4" i="31"/>
  <c r="G4" i="31"/>
  <c r="H4" i="31"/>
  <c r="I4" i="31"/>
  <c r="J4" i="31"/>
  <c r="K4" i="31"/>
  <c r="L4" i="31"/>
  <c r="M4" i="31"/>
  <c r="N4" i="31"/>
  <c r="O4" i="31"/>
  <c r="P4" i="31"/>
  <c r="Q4" i="31"/>
  <c r="C15" i="31"/>
  <c r="D15" i="31"/>
  <c r="E15" i="31"/>
  <c r="F15" i="31"/>
  <c r="G15" i="31"/>
  <c r="H15" i="31"/>
  <c r="I15" i="31"/>
  <c r="J15" i="31"/>
  <c r="K15" i="31"/>
  <c r="L15" i="31"/>
  <c r="M15" i="31"/>
  <c r="N15" i="31"/>
  <c r="O15" i="31"/>
  <c r="P15" i="31"/>
  <c r="Q15" i="31"/>
  <c r="C2" i="31"/>
  <c r="D2" i="31"/>
  <c r="E2" i="31"/>
  <c r="F2" i="31"/>
  <c r="G2" i="31"/>
  <c r="H2" i="31"/>
  <c r="I2" i="31"/>
  <c r="J2" i="31"/>
  <c r="K2" i="31"/>
  <c r="L2" i="31"/>
  <c r="M2" i="31"/>
  <c r="N2" i="31"/>
  <c r="O2" i="31"/>
  <c r="P2" i="31"/>
  <c r="Q2" i="31"/>
  <c r="C94" i="31"/>
  <c r="D94" i="31"/>
  <c r="E94" i="31"/>
  <c r="F94" i="31"/>
  <c r="G94" i="31"/>
  <c r="H94" i="31"/>
  <c r="I94" i="31"/>
  <c r="J94" i="31"/>
  <c r="K94" i="31"/>
  <c r="L94" i="31"/>
  <c r="M94" i="31"/>
  <c r="N94" i="31"/>
  <c r="O94" i="31"/>
  <c r="P94" i="31"/>
  <c r="Q94" i="31"/>
  <c r="C6" i="31"/>
  <c r="D6" i="31"/>
  <c r="E6" i="31"/>
  <c r="F6" i="31"/>
  <c r="G6" i="31"/>
  <c r="H6" i="31"/>
  <c r="I6" i="31"/>
  <c r="J6" i="31"/>
  <c r="K6" i="31"/>
  <c r="L6" i="31"/>
  <c r="M6" i="31"/>
  <c r="N6" i="31"/>
  <c r="O6" i="31"/>
  <c r="P6" i="31"/>
  <c r="Q6" i="31"/>
  <c r="C7" i="31"/>
  <c r="D7" i="31"/>
  <c r="E7" i="31"/>
  <c r="F7" i="31"/>
  <c r="G7" i="31"/>
  <c r="H7" i="31"/>
  <c r="I7" i="31"/>
  <c r="J7" i="31"/>
  <c r="K7" i="31"/>
  <c r="L7" i="31"/>
  <c r="M7" i="31"/>
  <c r="N7" i="31"/>
  <c r="O7" i="31"/>
  <c r="P7" i="31"/>
  <c r="Q7" i="31"/>
  <c r="C14" i="31"/>
  <c r="D14" i="31"/>
  <c r="E14" i="31"/>
  <c r="F14" i="31"/>
  <c r="G14" i="31"/>
  <c r="H14" i="31"/>
  <c r="I14" i="31"/>
  <c r="J14" i="31"/>
  <c r="K14" i="31"/>
  <c r="L14" i="31"/>
  <c r="M14" i="31"/>
  <c r="N14" i="31"/>
  <c r="O14" i="31"/>
  <c r="P14" i="31"/>
  <c r="Q14" i="31"/>
  <c r="C97" i="31"/>
  <c r="D97" i="31"/>
  <c r="E97" i="31"/>
  <c r="F97" i="31"/>
  <c r="G97" i="31"/>
  <c r="H97" i="31"/>
  <c r="I97" i="31"/>
  <c r="J97" i="31"/>
  <c r="K97" i="31"/>
  <c r="L97" i="31"/>
  <c r="M97" i="31"/>
  <c r="N97" i="31"/>
  <c r="O97" i="31"/>
  <c r="P97" i="31"/>
  <c r="Q97" i="31"/>
  <c r="C24" i="31"/>
  <c r="D24" i="31"/>
  <c r="E24" i="31"/>
  <c r="F24" i="31"/>
  <c r="G24" i="31"/>
  <c r="H24" i="31"/>
  <c r="I24" i="31"/>
  <c r="J24" i="31"/>
  <c r="K24" i="31"/>
  <c r="L24" i="31"/>
  <c r="M24" i="31"/>
  <c r="N24" i="31"/>
  <c r="O24" i="31"/>
  <c r="P24" i="31"/>
  <c r="Q24" i="31"/>
  <c r="C8" i="31"/>
  <c r="D8" i="31"/>
  <c r="E8" i="31"/>
  <c r="F8" i="31"/>
  <c r="G8" i="31"/>
  <c r="H8" i="31"/>
  <c r="I8" i="31"/>
  <c r="J8" i="31"/>
  <c r="K8" i="31"/>
  <c r="L8" i="31"/>
  <c r="M8" i="31"/>
  <c r="N8" i="31"/>
  <c r="O8" i="31"/>
  <c r="P8" i="31"/>
  <c r="Q8" i="31"/>
  <c r="C12" i="31"/>
  <c r="D12" i="31"/>
  <c r="E12" i="31"/>
  <c r="F12" i="31"/>
  <c r="G12" i="31"/>
  <c r="H12" i="31"/>
  <c r="I12" i="31"/>
  <c r="J12" i="31"/>
  <c r="K12" i="31"/>
  <c r="L12" i="31"/>
  <c r="M12" i="31"/>
  <c r="N12" i="31"/>
  <c r="O12" i="31"/>
  <c r="P12" i="31"/>
  <c r="Q12" i="31"/>
  <c r="C10" i="31"/>
  <c r="D10" i="31"/>
  <c r="E10" i="31"/>
  <c r="F10" i="31"/>
  <c r="G10" i="31"/>
  <c r="H10" i="31"/>
  <c r="I10" i="31"/>
  <c r="J10" i="31"/>
  <c r="K10" i="31"/>
  <c r="L10" i="31"/>
  <c r="M10" i="31"/>
  <c r="N10" i="31"/>
  <c r="O10" i="31"/>
  <c r="P10" i="31"/>
  <c r="Q10" i="31"/>
  <c r="C27" i="31"/>
  <c r="D27" i="31"/>
  <c r="E27" i="31"/>
  <c r="F27" i="31"/>
  <c r="G27" i="31"/>
  <c r="H27" i="31"/>
  <c r="I27" i="31"/>
  <c r="J27" i="31"/>
  <c r="K27" i="31"/>
  <c r="L27" i="31"/>
  <c r="M27" i="31"/>
  <c r="N27" i="31"/>
  <c r="O27" i="31"/>
  <c r="P27" i="31"/>
  <c r="Q27" i="31"/>
  <c r="C53" i="31"/>
  <c r="D53" i="31"/>
  <c r="E53" i="31"/>
  <c r="F53" i="31"/>
  <c r="G53" i="31"/>
  <c r="H53" i="31"/>
  <c r="I53" i="31"/>
  <c r="J53" i="31"/>
  <c r="K53" i="31"/>
  <c r="L53" i="31"/>
  <c r="M53" i="31"/>
  <c r="N53" i="31"/>
  <c r="O53" i="31"/>
  <c r="P53" i="31"/>
  <c r="Q53" i="31"/>
  <c r="C89" i="31"/>
  <c r="D89" i="31"/>
  <c r="E89" i="31"/>
  <c r="F89" i="31"/>
  <c r="G89" i="31"/>
  <c r="H89" i="31"/>
  <c r="I89" i="31"/>
  <c r="J89" i="31"/>
  <c r="K89" i="31"/>
  <c r="L89" i="31"/>
  <c r="M89" i="31"/>
  <c r="N89" i="31"/>
  <c r="O89" i="31"/>
  <c r="P89" i="31"/>
  <c r="Q89" i="31"/>
  <c r="C51" i="31"/>
  <c r="D51" i="31"/>
  <c r="E51" i="31"/>
  <c r="F51" i="31"/>
  <c r="G51" i="31"/>
  <c r="H51" i="31"/>
  <c r="I51" i="31"/>
  <c r="J51" i="31"/>
  <c r="K51" i="31"/>
  <c r="L51" i="31"/>
  <c r="M51" i="31"/>
  <c r="N51" i="31"/>
  <c r="O51" i="31"/>
  <c r="P51" i="31"/>
  <c r="Q51" i="31"/>
  <c r="C13" i="31"/>
  <c r="D13" i="31"/>
  <c r="E13" i="31"/>
  <c r="F13" i="31"/>
  <c r="G13" i="31"/>
  <c r="H13" i="31"/>
  <c r="I13" i="31"/>
  <c r="J13" i="31"/>
  <c r="K13" i="31"/>
  <c r="L13" i="31"/>
  <c r="M13" i="31"/>
  <c r="N13" i="31"/>
  <c r="O13" i="31"/>
  <c r="P13" i="31"/>
  <c r="Q13" i="31"/>
  <c r="C60" i="31"/>
  <c r="D60" i="31"/>
  <c r="E60" i="31"/>
  <c r="F60" i="31"/>
  <c r="G60" i="31"/>
  <c r="H60" i="31"/>
  <c r="I60" i="31"/>
  <c r="J60" i="31"/>
  <c r="K60" i="31"/>
  <c r="L60" i="31"/>
  <c r="M60" i="31"/>
  <c r="N60" i="31"/>
  <c r="O60" i="31"/>
  <c r="P60" i="31"/>
  <c r="Q60" i="31"/>
  <c r="C16" i="31"/>
  <c r="D16" i="31"/>
  <c r="E16" i="31"/>
  <c r="F16" i="31"/>
  <c r="G16" i="31"/>
  <c r="H16" i="31"/>
  <c r="I16" i="31"/>
  <c r="J16" i="31"/>
  <c r="K16" i="31"/>
  <c r="L16" i="31"/>
  <c r="M16" i="31"/>
  <c r="N16" i="31"/>
  <c r="O16" i="31"/>
  <c r="P16" i="31"/>
  <c r="Q16" i="31"/>
  <c r="C62" i="31"/>
  <c r="D62" i="31"/>
  <c r="E62" i="31"/>
  <c r="F62" i="31"/>
  <c r="G62" i="31"/>
  <c r="H62" i="31"/>
  <c r="I62" i="31"/>
  <c r="J62" i="31"/>
  <c r="K62" i="31"/>
  <c r="L62" i="31"/>
  <c r="M62" i="31"/>
  <c r="N62" i="31"/>
  <c r="O62" i="31"/>
  <c r="P62" i="31"/>
  <c r="Q62" i="31"/>
  <c r="C103" i="31"/>
  <c r="D103" i="31"/>
  <c r="E103" i="31"/>
  <c r="F103" i="31"/>
  <c r="G103" i="31"/>
  <c r="H103" i="31"/>
  <c r="I103" i="31"/>
  <c r="J103" i="31"/>
  <c r="K103" i="31"/>
  <c r="L103" i="31"/>
  <c r="M103" i="31"/>
  <c r="N103" i="31"/>
  <c r="O103" i="31"/>
  <c r="P103" i="31"/>
  <c r="Q103" i="31"/>
  <c r="C76" i="31"/>
  <c r="D76" i="31"/>
  <c r="E76" i="31"/>
  <c r="F76" i="31"/>
  <c r="G76" i="31"/>
  <c r="H76" i="31"/>
  <c r="I76" i="31"/>
  <c r="J76" i="31"/>
  <c r="K76" i="31"/>
  <c r="L76" i="31"/>
  <c r="M76" i="31"/>
  <c r="N76" i="31"/>
  <c r="O76" i="31"/>
  <c r="P76" i="31"/>
  <c r="Q76" i="31"/>
  <c r="C22" i="31"/>
  <c r="D22" i="31"/>
  <c r="E22" i="31"/>
  <c r="F22" i="31"/>
  <c r="G22" i="31"/>
  <c r="H22" i="31"/>
  <c r="I22" i="31"/>
  <c r="J22" i="31"/>
  <c r="K22" i="31"/>
  <c r="L22" i="31"/>
  <c r="M22" i="31"/>
  <c r="N22" i="31"/>
  <c r="O22" i="31"/>
  <c r="P22" i="31"/>
  <c r="Q22" i="31"/>
  <c r="C25" i="31"/>
  <c r="D25" i="31"/>
  <c r="E25" i="31"/>
  <c r="F25" i="31"/>
  <c r="G25" i="31"/>
  <c r="H25" i="31"/>
  <c r="I25" i="31"/>
  <c r="J25" i="31"/>
  <c r="K25" i="31"/>
  <c r="L25" i="31"/>
  <c r="M25" i="31"/>
  <c r="N25" i="31"/>
  <c r="O25" i="31"/>
  <c r="P25" i="31"/>
  <c r="Q25" i="31"/>
  <c r="C18" i="31"/>
  <c r="D18" i="31"/>
  <c r="E18" i="31"/>
  <c r="F18" i="31"/>
  <c r="G18" i="31"/>
  <c r="H18" i="31"/>
  <c r="I18" i="31"/>
  <c r="J18" i="31"/>
  <c r="K18" i="31"/>
  <c r="L18" i="31"/>
  <c r="M18" i="31"/>
  <c r="N18" i="31"/>
  <c r="O18" i="31"/>
  <c r="P18" i="31"/>
  <c r="Q18" i="31"/>
  <c r="C29" i="31"/>
  <c r="D29" i="31"/>
  <c r="E29" i="31"/>
  <c r="F29" i="31"/>
  <c r="G29" i="31"/>
  <c r="H29" i="31"/>
  <c r="I29" i="31"/>
  <c r="J29" i="31"/>
  <c r="K29" i="31"/>
  <c r="L29" i="31"/>
  <c r="M29" i="31"/>
  <c r="N29" i="31"/>
  <c r="O29" i="31"/>
  <c r="P29" i="31"/>
  <c r="Q29" i="31"/>
  <c r="C26" i="31"/>
  <c r="D26" i="31"/>
  <c r="E26" i="31"/>
  <c r="F26" i="31"/>
  <c r="G26" i="31"/>
  <c r="H26" i="31"/>
  <c r="I26" i="31"/>
  <c r="J26" i="31"/>
  <c r="K26" i="31"/>
  <c r="L26" i="31"/>
  <c r="M26" i="31"/>
  <c r="N26" i="31"/>
  <c r="O26" i="31"/>
  <c r="P26" i="31"/>
  <c r="Q26" i="31"/>
  <c r="C61" i="31"/>
  <c r="D61" i="31"/>
  <c r="E61" i="31"/>
  <c r="F61" i="31"/>
  <c r="G61" i="31"/>
  <c r="H61" i="31"/>
  <c r="I61" i="31"/>
  <c r="J61" i="31"/>
  <c r="K61" i="31"/>
  <c r="L61" i="31"/>
  <c r="M61" i="31"/>
  <c r="N61" i="31"/>
  <c r="O61" i="31"/>
  <c r="P61" i="31"/>
  <c r="Q61" i="31"/>
  <c r="C45" i="31"/>
  <c r="D45" i="31"/>
  <c r="E45" i="31"/>
  <c r="F45" i="31"/>
  <c r="G45" i="31"/>
  <c r="H45" i="31"/>
  <c r="I45" i="31"/>
  <c r="J45" i="31"/>
  <c r="K45" i="31"/>
  <c r="L45" i="31"/>
  <c r="M45" i="31"/>
  <c r="N45" i="31"/>
  <c r="O45" i="31"/>
  <c r="P45" i="31"/>
  <c r="Q45" i="31"/>
  <c r="C30" i="31"/>
  <c r="D30" i="31"/>
  <c r="E30" i="31"/>
  <c r="F30" i="31"/>
  <c r="G30" i="31"/>
  <c r="H30" i="31"/>
  <c r="I30" i="31"/>
  <c r="J30" i="31"/>
  <c r="K30" i="31"/>
  <c r="L30" i="31"/>
  <c r="M30" i="31"/>
  <c r="N30" i="31"/>
  <c r="O30" i="31"/>
  <c r="P30" i="31"/>
  <c r="Q30" i="31"/>
  <c r="C44" i="31"/>
  <c r="D44" i="31"/>
  <c r="E44" i="31"/>
  <c r="F44" i="31"/>
  <c r="G44" i="31"/>
  <c r="H44" i="31"/>
  <c r="I44" i="31"/>
  <c r="J44" i="31"/>
  <c r="K44" i="31"/>
  <c r="L44" i="31"/>
  <c r="M44" i="31"/>
  <c r="N44" i="31"/>
  <c r="O44" i="31"/>
  <c r="P44" i="31"/>
  <c r="Q44" i="31"/>
  <c r="C20" i="31"/>
  <c r="D20" i="31"/>
  <c r="E20" i="31"/>
  <c r="F20" i="31"/>
  <c r="G20" i="31"/>
  <c r="H20" i="31"/>
  <c r="I20" i="31"/>
  <c r="J20" i="31"/>
  <c r="K20" i="31"/>
  <c r="L20" i="31"/>
  <c r="M20" i="31"/>
  <c r="N20" i="31"/>
  <c r="O20" i="31"/>
  <c r="P20" i="31"/>
  <c r="Q20" i="31"/>
  <c r="C73" i="31"/>
  <c r="D73" i="31"/>
  <c r="E73" i="31"/>
  <c r="F73" i="31"/>
  <c r="G73" i="31"/>
  <c r="H73" i="31"/>
  <c r="I73" i="31"/>
  <c r="J73" i="31"/>
  <c r="K73" i="31"/>
  <c r="L73" i="31"/>
  <c r="M73" i="31"/>
  <c r="N73" i="31"/>
  <c r="O73" i="31"/>
  <c r="P73" i="31"/>
  <c r="Q73" i="31"/>
  <c r="C17" i="31"/>
  <c r="D17" i="31"/>
  <c r="E17" i="31"/>
  <c r="F17" i="31"/>
  <c r="G17" i="31"/>
  <c r="H17" i="31"/>
  <c r="I17" i="31"/>
  <c r="J17" i="31"/>
  <c r="K17" i="31"/>
  <c r="L17" i="31"/>
  <c r="M17" i="31"/>
  <c r="N17" i="31"/>
  <c r="O17" i="31"/>
  <c r="P17" i="31"/>
  <c r="Q17" i="31"/>
  <c r="C35" i="31"/>
  <c r="D35" i="31"/>
  <c r="E35" i="31"/>
  <c r="F35" i="31"/>
  <c r="G35" i="31"/>
  <c r="H35" i="31"/>
  <c r="I35" i="31"/>
  <c r="J35" i="31"/>
  <c r="K35" i="31"/>
  <c r="L35" i="31"/>
  <c r="M35" i="31"/>
  <c r="N35" i="31"/>
  <c r="O35" i="31"/>
  <c r="P35" i="31"/>
  <c r="Q35" i="31"/>
  <c r="C48" i="31"/>
  <c r="D48" i="31"/>
  <c r="E48" i="31"/>
  <c r="F48" i="31"/>
  <c r="G48" i="31"/>
  <c r="H48" i="31"/>
  <c r="I48" i="31"/>
  <c r="J48" i="31"/>
  <c r="K48" i="31"/>
  <c r="L48" i="31"/>
  <c r="M48" i="31"/>
  <c r="N48" i="31"/>
  <c r="O48" i="31"/>
  <c r="P48" i="31"/>
  <c r="Q48" i="31"/>
  <c r="C31" i="31"/>
  <c r="D31" i="31"/>
  <c r="E31" i="31"/>
  <c r="F31" i="31"/>
  <c r="G31" i="31"/>
  <c r="H31" i="31"/>
  <c r="I31" i="31"/>
  <c r="J31" i="31"/>
  <c r="K31" i="31"/>
  <c r="L31" i="31"/>
  <c r="M31" i="31"/>
  <c r="N31" i="31"/>
  <c r="O31" i="31"/>
  <c r="P31" i="31"/>
  <c r="Q31" i="31"/>
  <c r="C52" i="31"/>
  <c r="D52" i="31"/>
  <c r="E52" i="31"/>
  <c r="F52" i="31"/>
  <c r="G52" i="31"/>
  <c r="H52" i="31"/>
  <c r="I52" i="31"/>
  <c r="J52" i="31"/>
  <c r="K52" i="31"/>
  <c r="L52" i="31"/>
  <c r="M52" i="31"/>
  <c r="N52" i="31"/>
  <c r="O52" i="31"/>
  <c r="P52" i="31"/>
  <c r="Q52" i="31"/>
  <c r="C46" i="31"/>
  <c r="D46" i="31"/>
  <c r="E46" i="31"/>
  <c r="F46" i="31"/>
  <c r="G46" i="31"/>
  <c r="H46" i="31"/>
  <c r="I46" i="31"/>
  <c r="J46" i="31"/>
  <c r="K46" i="31"/>
  <c r="L46" i="31"/>
  <c r="M46" i="31"/>
  <c r="N46" i="31"/>
  <c r="O46" i="31"/>
  <c r="P46" i="31"/>
  <c r="Q46" i="31"/>
  <c r="C21" i="31"/>
  <c r="D21" i="31"/>
  <c r="E21" i="31"/>
  <c r="F21" i="31"/>
  <c r="G21" i="31"/>
  <c r="H21" i="31"/>
  <c r="I21" i="31"/>
  <c r="J21" i="31"/>
  <c r="K21" i="31"/>
  <c r="L21" i="31"/>
  <c r="M21" i="31"/>
  <c r="N21" i="31"/>
  <c r="O21" i="31"/>
  <c r="P21" i="31"/>
  <c r="Q21" i="31"/>
  <c r="C32" i="31"/>
  <c r="D32" i="31"/>
  <c r="E32" i="31"/>
  <c r="F32" i="31"/>
  <c r="G32" i="31"/>
  <c r="H32" i="31"/>
  <c r="I32" i="31"/>
  <c r="J32" i="31"/>
  <c r="K32" i="31"/>
  <c r="L32" i="31"/>
  <c r="M32" i="31"/>
  <c r="N32" i="31"/>
  <c r="O32" i="31"/>
  <c r="P32" i="31"/>
  <c r="Q32" i="31"/>
  <c r="C50" i="31"/>
  <c r="D50" i="31"/>
  <c r="E50" i="31"/>
  <c r="F50" i="31"/>
  <c r="G50" i="31"/>
  <c r="H50" i="31"/>
  <c r="I50" i="31"/>
  <c r="J50" i="31"/>
  <c r="K50" i="31"/>
  <c r="L50" i="31"/>
  <c r="M50" i="31"/>
  <c r="N50" i="31"/>
  <c r="O50" i="31"/>
  <c r="P50" i="31"/>
  <c r="Q50" i="31"/>
  <c r="C33" i="31"/>
  <c r="D33" i="31"/>
  <c r="E33" i="31"/>
  <c r="F33" i="31"/>
  <c r="G33" i="31"/>
  <c r="H33" i="31"/>
  <c r="I33" i="31"/>
  <c r="J33" i="31"/>
  <c r="K33" i="31"/>
  <c r="L33" i="31"/>
  <c r="M33" i="31"/>
  <c r="N33" i="31"/>
  <c r="O33" i="31"/>
  <c r="P33" i="31"/>
  <c r="Q33" i="31"/>
  <c r="C39" i="31"/>
  <c r="D39" i="31"/>
  <c r="E39" i="31"/>
  <c r="F39" i="31"/>
  <c r="G39" i="31"/>
  <c r="H39" i="31"/>
  <c r="I39" i="31"/>
  <c r="J39" i="31"/>
  <c r="K39" i="31"/>
  <c r="L39" i="31"/>
  <c r="M39" i="31"/>
  <c r="N39" i="31"/>
  <c r="O39" i="31"/>
  <c r="P39" i="31"/>
  <c r="Q39" i="31"/>
  <c r="C83" i="31"/>
  <c r="D83" i="31"/>
  <c r="E83" i="31"/>
  <c r="F83" i="31"/>
  <c r="G83" i="31"/>
  <c r="H83" i="31"/>
  <c r="I83" i="31"/>
  <c r="J83" i="31"/>
  <c r="K83" i="31"/>
  <c r="L83" i="31"/>
  <c r="M83" i="31"/>
  <c r="N83" i="31"/>
  <c r="O83" i="31"/>
  <c r="P83" i="31"/>
  <c r="Q83" i="31"/>
  <c r="C43" i="31"/>
  <c r="D43" i="31"/>
  <c r="E43" i="31"/>
  <c r="F43" i="31"/>
  <c r="G43" i="31"/>
  <c r="H43" i="31"/>
  <c r="I43" i="31"/>
  <c r="J43" i="31"/>
  <c r="K43" i="31"/>
  <c r="L43" i="31"/>
  <c r="M43" i="31"/>
  <c r="N43" i="31"/>
  <c r="O43" i="31"/>
  <c r="P43" i="31"/>
  <c r="Q43" i="31"/>
  <c r="C40" i="31"/>
  <c r="D40" i="31"/>
  <c r="E40" i="31"/>
  <c r="F40" i="31"/>
  <c r="G40" i="31"/>
  <c r="H40" i="31"/>
  <c r="I40" i="31"/>
  <c r="J40" i="31"/>
  <c r="K40" i="31"/>
  <c r="L40" i="31"/>
  <c r="M40" i="31"/>
  <c r="N40" i="31"/>
  <c r="O40" i="31"/>
  <c r="P40" i="31"/>
  <c r="Q40" i="31"/>
  <c r="C66" i="31"/>
  <c r="D66" i="31"/>
  <c r="E66" i="31"/>
  <c r="F66" i="31"/>
  <c r="G66" i="31"/>
  <c r="H66" i="31"/>
  <c r="I66" i="31"/>
  <c r="J66" i="31"/>
  <c r="K66" i="31"/>
  <c r="L66" i="31"/>
  <c r="M66" i="31"/>
  <c r="N66" i="31"/>
  <c r="O66" i="31"/>
  <c r="P66" i="31"/>
  <c r="Q66" i="31"/>
  <c r="C77" i="31"/>
  <c r="D77" i="31"/>
  <c r="E77" i="31"/>
  <c r="F77" i="31"/>
  <c r="G77" i="31"/>
  <c r="H77" i="31"/>
  <c r="I77" i="31"/>
  <c r="J77" i="31"/>
  <c r="K77" i="31"/>
  <c r="L77" i="31"/>
  <c r="M77" i="31"/>
  <c r="N77" i="31"/>
  <c r="O77" i="31"/>
  <c r="P77" i="31"/>
  <c r="Q77" i="31"/>
  <c r="C69" i="31"/>
  <c r="D69" i="31"/>
  <c r="E69" i="31"/>
  <c r="F69" i="31"/>
  <c r="G69" i="31"/>
  <c r="H69" i="31"/>
  <c r="I69" i="31"/>
  <c r="J69" i="31"/>
  <c r="K69" i="31"/>
  <c r="L69" i="31"/>
  <c r="M69" i="31"/>
  <c r="N69" i="31"/>
  <c r="O69" i="31"/>
  <c r="P69" i="31"/>
  <c r="Q69" i="31"/>
  <c r="C58" i="31"/>
  <c r="D58" i="31"/>
  <c r="E58" i="31"/>
  <c r="F58" i="31"/>
  <c r="G58" i="31"/>
  <c r="H58" i="31"/>
  <c r="I58" i="31"/>
  <c r="J58" i="31"/>
  <c r="K58" i="31"/>
  <c r="L58" i="31"/>
  <c r="M58" i="31"/>
  <c r="N58" i="31"/>
  <c r="O58" i="31"/>
  <c r="P58" i="31"/>
  <c r="Q58" i="31"/>
  <c r="C42" i="31"/>
  <c r="D42" i="31"/>
  <c r="E42" i="31"/>
  <c r="F42" i="31"/>
  <c r="G42" i="31"/>
  <c r="H42" i="31"/>
  <c r="I42" i="31"/>
  <c r="J42" i="31"/>
  <c r="K42" i="31"/>
  <c r="L42" i="31"/>
  <c r="M42" i="31"/>
  <c r="N42" i="31"/>
  <c r="O42" i="31"/>
  <c r="P42" i="31"/>
  <c r="Q42" i="31"/>
  <c r="C78" i="31"/>
  <c r="D78" i="31"/>
  <c r="E78" i="31"/>
  <c r="F78" i="31"/>
  <c r="G78" i="31"/>
  <c r="H78" i="31"/>
  <c r="I78" i="31"/>
  <c r="J78" i="31"/>
  <c r="K78" i="31"/>
  <c r="L78" i="31"/>
  <c r="M78" i="31"/>
  <c r="N78" i="31"/>
  <c r="O78" i="31"/>
  <c r="P78" i="31"/>
  <c r="Q78" i="31"/>
  <c r="C56" i="31"/>
  <c r="D56" i="31"/>
  <c r="E56" i="31"/>
  <c r="F56" i="31"/>
  <c r="G56" i="31"/>
  <c r="H56" i="31"/>
  <c r="I56" i="31"/>
  <c r="J56" i="31"/>
  <c r="K56" i="31"/>
  <c r="L56" i="31"/>
  <c r="M56" i="31"/>
  <c r="N56" i="31"/>
  <c r="O56" i="31"/>
  <c r="P56" i="31"/>
  <c r="Q56" i="31"/>
  <c r="C11" i="31"/>
  <c r="D11" i="31"/>
  <c r="E11" i="31"/>
  <c r="F11" i="31"/>
  <c r="G11" i="31"/>
  <c r="H11" i="31"/>
  <c r="I11" i="31"/>
  <c r="J11" i="31"/>
  <c r="K11" i="31"/>
  <c r="L11" i="31"/>
  <c r="M11" i="31"/>
  <c r="N11" i="31"/>
  <c r="O11" i="31"/>
  <c r="P11" i="31"/>
  <c r="Q11" i="31"/>
  <c r="C107" i="31"/>
  <c r="D107" i="31"/>
  <c r="E107" i="31"/>
  <c r="F107" i="31"/>
  <c r="G107" i="31"/>
  <c r="H107" i="31"/>
  <c r="I107" i="31"/>
  <c r="J107" i="31"/>
  <c r="K107" i="31"/>
  <c r="L107" i="31"/>
  <c r="M107" i="31"/>
  <c r="N107" i="31"/>
  <c r="O107" i="31"/>
  <c r="P107" i="31"/>
  <c r="Q107" i="31"/>
  <c r="C82" i="31"/>
  <c r="D82" i="31"/>
  <c r="E82" i="31"/>
  <c r="F82" i="31"/>
  <c r="G82" i="31"/>
  <c r="H82" i="31"/>
  <c r="I82" i="31"/>
  <c r="J82" i="31"/>
  <c r="K82" i="31"/>
  <c r="L82" i="31"/>
  <c r="M82" i="31"/>
  <c r="N82" i="31"/>
  <c r="O82" i="31"/>
  <c r="P82" i="31"/>
  <c r="Q82" i="31"/>
  <c r="C34" i="31"/>
  <c r="D34" i="31"/>
  <c r="E34" i="31"/>
  <c r="F34" i="31"/>
  <c r="G34" i="31"/>
  <c r="H34" i="31"/>
  <c r="I34" i="31"/>
  <c r="J34" i="31"/>
  <c r="K34" i="31"/>
  <c r="L34" i="31"/>
  <c r="M34" i="31"/>
  <c r="N34" i="31"/>
  <c r="O34" i="31"/>
  <c r="P34" i="31"/>
  <c r="Q34" i="31"/>
  <c r="C36" i="31"/>
  <c r="D36" i="31"/>
  <c r="E36" i="31"/>
  <c r="F36" i="31"/>
  <c r="G36" i="31"/>
  <c r="H36" i="31"/>
  <c r="I36" i="31"/>
  <c r="J36" i="31"/>
  <c r="K36" i="31"/>
  <c r="L36" i="31"/>
  <c r="M36" i="31"/>
  <c r="N36" i="31"/>
  <c r="O36" i="31"/>
  <c r="P36" i="31"/>
  <c r="Q36" i="31"/>
  <c r="C70" i="31"/>
  <c r="D70" i="31"/>
  <c r="E70" i="31"/>
  <c r="F70" i="31"/>
  <c r="G70" i="31"/>
  <c r="H70" i="31"/>
  <c r="I70" i="31"/>
  <c r="J70" i="31"/>
  <c r="K70" i="31"/>
  <c r="L70" i="31"/>
  <c r="M70" i="31"/>
  <c r="N70" i="31"/>
  <c r="O70" i="31"/>
  <c r="P70" i="31"/>
  <c r="Q70" i="31"/>
  <c r="C23" i="31"/>
  <c r="D23" i="31"/>
  <c r="E23" i="31"/>
  <c r="F23" i="31"/>
  <c r="G23" i="31"/>
  <c r="H23" i="31"/>
  <c r="I23" i="31"/>
  <c r="J23" i="31"/>
  <c r="K23" i="31"/>
  <c r="L23" i="31"/>
  <c r="M23" i="31"/>
  <c r="N23" i="31"/>
  <c r="O23" i="31"/>
  <c r="P23" i="31"/>
  <c r="Q23" i="31"/>
  <c r="C79" i="31"/>
  <c r="D79" i="31"/>
  <c r="E79" i="31"/>
  <c r="F79" i="31"/>
  <c r="G79" i="31"/>
  <c r="H79" i="31"/>
  <c r="I79" i="31"/>
  <c r="J79" i="31"/>
  <c r="K79" i="31"/>
  <c r="L79" i="31"/>
  <c r="M79" i="31"/>
  <c r="N79" i="31"/>
  <c r="O79" i="31"/>
  <c r="P79" i="31"/>
  <c r="Q79" i="31"/>
  <c r="C63" i="31"/>
  <c r="D63" i="31"/>
  <c r="E63" i="31"/>
  <c r="F63" i="31"/>
  <c r="G63" i="31"/>
  <c r="H63" i="31"/>
  <c r="I63" i="31"/>
  <c r="J63" i="31"/>
  <c r="K63" i="31"/>
  <c r="L63" i="31"/>
  <c r="M63" i="31"/>
  <c r="N63" i="31"/>
  <c r="O63" i="31"/>
  <c r="P63" i="31"/>
  <c r="Q63" i="31"/>
  <c r="C99" i="31"/>
  <c r="D99" i="31"/>
  <c r="E99" i="31"/>
  <c r="F99" i="31"/>
  <c r="G99" i="31"/>
  <c r="H99" i="31"/>
  <c r="I99" i="31"/>
  <c r="J99" i="31"/>
  <c r="K99" i="31"/>
  <c r="L99" i="31"/>
  <c r="M99" i="31"/>
  <c r="N99" i="31"/>
  <c r="O99" i="31"/>
  <c r="P99" i="31"/>
  <c r="Q99" i="31"/>
  <c r="C64" i="31"/>
  <c r="D64" i="31"/>
  <c r="E64" i="31"/>
  <c r="F64" i="31"/>
  <c r="G64" i="31"/>
  <c r="H64" i="31"/>
  <c r="I64" i="31"/>
  <c r="J64" i="31"/>
  <c r="K64" i="31"/>
  <c r="L64" i="31"/>
  <c r="M64" i="31"/>
  <c r="N64" i="31"/>
  <c r="O64" i="31"/>
  <c r="P64" i="31"/>
  <c r="Q64" i="31"/>
  <c r="C59" i="31"/>
  <c r="D59" i="31"/>
  <c r="E59" i="31"/>
  <c r="F59" i="31"/>
  <c r="G59" i="31"/>
  <c r="H59" i="31"/>
  <c r="I59" i="31"/>
  <c r="J59" i="31"/>
  <c r="K59" i="31"/>
  <c r="L59" i="31"/>
  <c r="M59" i="31"/>
  <c r="N59" i="31"/>
  <c r="O59" i="31"/>
  <c r="P59" i="31"/>
  <c r="Q59" i="31"/>
  <c r="C100" i="31"/>
  <c r="D100" i="31"/>
  <c r="E100" i="31"/>
  <c r="F100" i="31"/>
  <c r="G100" i="31"/>
  <c r="H100" i="31"/>
  <c r="I100" i="31"/>
  <c r="J100" i="31"/>
  <c r="K100" i="31"/>
  <c r="L100" i="31"/>
  <c r="M100" i="31"/>
  <c r="N100" i="31"/>
  <c r="O100" i="31"/>
  <c r="P100" i="31"/>
  <c r="Q100" i="31"/>
  <c r="C108" i="31"/>
  <c r="D108" i="31"/>
  <c r="E108" i="31"/>
  <c r="F108" i="31"/>
  <c r="G108" i="31"/>
  <c r="H108" i="31"/>
  <c r="I108" i="31"/>
  <c r="J108" i="31"/>
  <c r="K108" i="31"/>
  <c r="L108" i="31"/>
  <c r="M108" i="31"/>
  <c r="N108" i="31"/>
  <c r="O108" i="31"/>
  <c r="P108" i="31"/>
  <c r="Q108" i="31"/>
  <c r="C65" i="31"/>
  <c r="D65" i="31"/>
  <c r="E65" i="31"/>
  <c r="F65" i="31"/>
  <c r="G65" i="31"/>
  <c r="H65" i="31"/>
  <c r="I65" i="31"/>
  <c r="J65" i="31"/>
  <c r="K65" i="31"/>
  <c r="L65" i="31"/>
  <c r="M65" i="31"/>
  <c r="N65" i="31"/>
  <c r="O65" i="31"/>
  <c r="P65" i="31"/>
  <c r="Q65" i="31"/>
  <c r="C87" i="31"/>
  <c r="D87" i="31"/>
  <c r="E87" i="31"/>
  <c r="F87" i="31"/>
  <c r="G87" i="31"/>
  <c r="H87" i="31"/>
  <c r="I87" i="31"/>
  <c r="J87" i="31"/>
  <c r="K87" i="31"/>
  <c r="L87" i="31"/>
  <c r="M87" i="31"/>
  <c r="N87" i="31"/>
  <c r="O87" i="31"/>
  <c r="P87" i="31"/>
  <c r="Q87" i="31"/>
  <c r="C104" i="31"/>
  <c r="D104" i="31"/>
  <c r="E104" i="31"/>
  <c r="F104" i="31"/>
  <c r="G104" i="31"/>
  <c r="H104" i="31"/>
  <c r="I104" i="31"/>
  <c r="J104" i="31"/>
  <c r="K104" i="31"/>
  <c r="L104" i="31"/>
  <c r="M104" i="31"/>
  <c r="N104" i="31"/>
  <c r="O104" i="31"/>
  <c r="P104" i="31"/>
  <c r="Q104" i="31"/>
  <c r="C102" i="31"/>
  <c r="D102" i="31"/>
  <c r="E102" i="31"/>
  <c r="F102" i="31"/>
  <c r="G102" i="31"/>
  <c r="H102" i="31"/>
  <c r="I102" i="31"/>
  <c r="J102" i="31"/>
  <c r="K102" i="31"/>
  <c r="L102" i="31"/>
  <c r="M102" i="31"/>
  <c r="N102" i="31"/>
  <c r="O102" i="31"/>
  <c r="P102" i="31"/>
  <c r="Q102" i="31"/>
  <c r="C105" i="31"/>
  <c r="D105" i="31"/>
  <c r="E105" i="31"/>
  <c r="F105" i="31"/>
  <c r="G105" i="31"/>
  <c r="H105" i="31"/>
  <c r="I105" i="31"/>
  <c r="J105" i="31"/>
  <c r="K105" i="31"/>
  <c r="L105" i="31"/>
  <c r="M105" i="31"/>
  <c r="N105" i="31"/>
  <c r="O105" i="31"/>
  <c r="P105" i="31"/>
  <c r="Q105" i="31"/>
  <c r="C95" i="31"/>
  <c r="D95" i="31"/>
  <c r="E95" i="31"/>
  <c r="F95" i="31"/>
  <c r="G95" i="31"/>
  <c r="H95" i="31"/>
  <c r="I95" i="31"/>
  <c r="J95" i="31"/>
  <c r="K95" i="31"/>
  <c r="L95" i="31"/>
  <c r="M95" i="31"/>
  <c r="N95" i="31"/>
  <c r="O95" i="31"/>
  <c r="P95" i="31"/>
  <c r="Q95" i="31"/>
  <c r="C111" i="31"/>
  <c r="D111" i="31"/>
  <c r="E111" i="31"/>
  <c r="F111" i="31"/>
  <c r="G111" i="31"/>
  <c r="H111" i="31"/>
  <c r="I111" i="31"/>
  <c r="J111" i="31"/>
  <c r="K111" i="31"/>
  <c r="L111" i="31"/>
  <c r="M111" i="31"/>
  <c r="N111" i="31"/>
  <c r="O111" i="31"/>
  <c r="P111" i="31"/>
  <c r="Q111" i="31"/>
  <c r="C112" i="31"/>
  <c r="D112" i="31"/>
  <c r="E112" i="31"/>
  <c r="F112" i="31"/>
  <c r="G112" i="31"/>
  <c r="H112" i="31"/>
  <c r="I112" i="31"/>
  <c r="J112" i="31"/>
  <c r="K112" i="31"/>
  <c r="L112" i="31"/>
  <c r="M112" i="31"/>
  <c r="N112" i="31"/>
  <c r="O112" i="31"/>
  <c r="P112" i="31"/>
  <c r="Q112" i="31"/>
  <c r="C67" i="31"/>
  <c r="D67" i="31"/>
  <c r="E67" i="31"/>
  <c r="F67" i="31"/>
  <c r="G67" i="31"/>
  <c r="H67" i="31"/>
  <c r="I67" i="31"/>
  <c r="J67" i="31"/>
  <c r="K67" i="31"/>
  <c r="L67" i="31"/>
  <c r="M67" i="31"/>
  <c r="N67" i="31"/>
  <c r="O67" i="31"/>
  <c r="P67" i="31"/>
  <c r="Q67" i="31"/>
  <c r="C113" i="31"/>
  <c r="D113" i="31"/>
  <c r="E113" i="31"/>
  <c r="F113" i="31"/>
  <c r="G113" i="31"/>
  <c r="H113" i="31"/>
  <c r="I113" i="31"/>
  <c r="J113" i="31"/>
  <c r="K113" i="31"/>
  <c r="L113" i="31"/>
  <c r="M113" i="31"/>
  <c r="N113" i="31"/>
  <c r="O113" i="31"/>
  <c r="P113" i="31"/>
  <c r="Q113" i="31"/>
  <c r="C114" i="31"/>
  <c r="D114" i="31"/>
  <c r="E114" i="31"/>
  <c r="F114" i="31"/>
  <c r="G114" i="31"/>
  <c r="H114" i="31"/>
  <c r="I114" i="31"/>
  <c r="J114" i="31"/>
  <c r="K114" i="31"/>
  <c r="L114" i="31"/>
  <c r="M114" i="31"/>
  <c r="N114" i="31"/>
  <c r="O114" i="31"/>
  <c r="P114" i="31"/>
  <c r="Q114" i="31"/>
  <c r="C71" i="31"/>
  <c r="D71" i="31"/>
  <c r="E71" i="31"/>
  <c r="F71" i="31"/>
  <c r="G71" i="31"/>
  <c r="H71" i="31"/>
  <c r="I71" i="31"/>
  <c r="J71" i="31"/>
  <c r="K71" i="31"/>
  <c r="L71" i="31"/>
  <c r="M71" i="31"/>
  <c r="N71" i="31"/>
  <c r="O71" i="31"/>
  <c r="P71" i="31"/>
  <c r="Q71" i="31"/>
  <c r="C84" i="31"/>
  <c r="D84" i="31"/>
  <c r="E84" i="31"/>
  <c r="F84" i="31"/>
  <c r="G84" i="31"/>
  <c r="H84" i="31"/>
  <c r="I84" i="31"/>
  <c r="J84" i="31"/>
  <c r="K84" i="31"/>
  <c r="L84" i="31"/>
  <c r="M84" i="31"/>
  <c r="N84" i="31"/>
  <c r="O84" i="31"/>
  <c r="P84" i="31"/>
  <c r="Q84" i="31"/>
  <c r="C41" i="31"/>
  <c r="D41" i="31"/>
  <c r="E41" i="31"/>
  <c r="F41" i="31"/>
  <c r="G41" i="31"/>
  <c r="H41" i="31"/>
  <c r="I41" i="31"/>
  <c r="J41" i="31"/>
  <c r="K41" i="31"/>
  <c r="L41" i="31"/>
  <c r="M41" i="31"/>
  <c r="N41" i="31"/>
  <c r="O41" i="31"/>
  <c r="P41" i="31"/>
  <c r="Q41" i="31"/>
  <c r="C68" i="31"/>
  <c r="D68" i="31"/>
  <c r="E68" i="31"/>
  <c r="F68" i="31"/>
  <c r="G68" i="31"/>
  <c r="H68" i="31"/>
  <c r="I68" i="31"/>
  <c r="J68" i="31"/>
  <c r="K68" i="31"/>
  <c r="L68" i="31"/>
  <c r="M68" i="31"/>
  <c r="N68" i="31"/>
  <c r="O68" i="31"/>
  <c r="P68" i="31"/>
  <c r="Q68" i="31"/>
  <c r="C74" i="31"/>
  <c r="D74" i="31"/>
  <c r="E74" i="31"/>
  <c r="F74" i="31"/>
  <c r="G74" i="31"/>
  <c r="H74" i="31"/>
  <c r="I74" i="31"/>
  <c r="J74" i="31"/>
  <c r="K74" i="31"/>
  <c r="L74" i="31"/>
  <c r="M74" i="31"/>
  <c r="N74" i="31"/>
  <c r="O74" i="31"/>
  <c r="P74" i="31"/>
  <c r="Q74" i="31"/>
  <c r="C86" i="31"/>
  <c r="D86" i="31"/>
  <c r="E86" i="31"/>
  <c r="F86" i="31"/>
  <c r="G86" i="31"/>
  <c r="H86" i="31"/>
  <c r="I86" i="31"/>
  <c r="J86" i="31"/>
  <c r="K86" i="31"/>
  <c r="L86" i="31"/>
  <c r="M86" i="31"/>
  <c r="N86" i="31"/>
  <c r="O86" i="31"/>
  <c r="P86" i="31"/>
  <c r="Q86" i="31"/>
  <c r="C109" i="31"/>
  <c r="D109" i="31"/>
  <c r="E109" i="31"/>
  <c r="F109" i="31"/>
  <c r="G109" i="31"/>
  <c r="H109" i="31"/>
  <c r="I109" i="31"/>
  <c r="J109" i="31"/>
  <c r="K109" i="31"/>
  <c r="L109" i="31"/>
  <c r="M109" i="31"/>
  <c r="N109" i="31"/>
  <c r="O109" i="31"/>
  <c r="P109" i="31"/>
  <c r="Q109" i="31"/>
  <c r="C116" i="31"/>
  <c r="D116" i="31"/>
  <c r="E116" i="31"/>
  <c r="F116" i="31"/>
  <c r="G116" i="31"/>
  <c r="H116" i="31"/>
  <c r="I116" i="31"/>
  <c r="J116" i="31"/>
  <c r="K116" i="31"/>
  <c r="L116" i="31"/>
  <c r="M116" i="31"/>
  <c r="N116" i="31"/>
  <c r="O116" i="31"/>
  <c r="P116" i="31"/>
  <c r="Q116" i="31"/>
  <c r="C54" i="31"/>
  <c r="D54" i="31"/>
  <c r="E54" i="31"/>
  <c r="F54" i="31"/>
  <c r="G54" i="31"/>
  <c r="H54" i="31"/>
  <c r="I54" i="31"/>
  <c r="J54" i="31"/>
  <c r="K54" i="31"/>
  <c r="L54" i="31"/>
  <c r="M54" i="31"/>
  <c r="N54" i="31"/>
  <c r="O54" i="31"/>
  <c r="P54" i="31"/>
  <c r="Q54" i="31"/>
  <c r="C72" i="31"/>
  <c r="D72" i="31"/>
  <c r="E72" i="31"/>
  <c r="F72" i="31"/>
  <c r="G72" i="31"/>
  <c r="H72" i="31"/>
  <c r="I72" i="31"/>
  <c r="J72" i="31"/>
  <c r="K72" i="31"/>
  <c r="L72" i="31"/>
  <c r="M72" i="31"/>
  <c r="N72" i="31"/>
  <c r="O72" i="31"/>
  <c r="P72" i="31"/>
  <c r="Q72" i="31"/>
  <c r="C118" i="31"/>
  <c r="D118" i="31"/>
  <c r="E118" i="31"/>
  <c r="F118" i="31"/>
  <c r="G118" i="31"/>
  <c r="H118" i="31"/>
  <c r="I118" i="31"/>
  <c r="J118" i="31"/>
  <c r="K118" i="31"/>
  <c r="L118" i="31"/>
  <c r="M118" i="31"/>
  <c r="N118" i="31"/>
  <c r="O118" i="31"/>
  <c r="P118" i="31"/>
  <c r="Q118" i="31"/>
  <c r="C106" i="31"/>
  <c r="D106" i="31"/>
  <c r="E106" i="31"/>
  <c r="F106" i="31"/>
  <c r="G106" i="31"/>
  <c r="H106" i="31"/>
  <c r="I106" i="31"/>
  <c r="J106" i="31"/>
  <c r="K106" i="31"/>
  <c r="L106" i="31"/>
  <c r="M106" i="31"/>
  <c r="N106" i="31"/>
  <c r="O106" i="31"/>
  <c r="P106" i="31"/>
  <c r="Q106" i="31"/>
  <c r="D3" i="31"/>
  <c r="E3" i="31"/>
  <c r="F3" i="31"/>
  <c r="G3" i="31"/>
  <c r="H3" i="31"/>
  <c r="I3" i="31"/>
  <c r="J3" i="31"/>
  <c r="K3" i="31"/>
  <c r="L3" i="31"/>
  <c r="M3" i="31"/>
  <c r="N3" i="31"/>
  <c r="O3" i="31"/>
  <c r="P3" i="31"/>
  <c r="Q3" i="31"/>
  <c r="D33" i="26" l="1"/>
  <c r="F47" i="13"/>
  <c r="F61" i="8"/>
  <c r="Z238" i="4"/>
  <c r="Z252" i="4"/>
  <c r="Z246" i="4"/>
  <c r="Z255" i="4"/>
  <c r="Z241" i="4"/>
  <c r="Z236" i="4"/>
  <c r="Z234" i="4"/>
  <c r="Z242" i="4"/>
  <c r="Z244" i="4"/>
  <c r="Z262" i="4"/>
  <c r="Z231" i="4"/>
  <c r="Z254" i="4"/>
  <c r="Z245" i="4"/>
  <c r="Z256" i="4"/>
  <c r="Z240" i="4"/>
  <c r="Z235" i="4"/>
  <c r="Z253" i="4"/>
  <c r="Z239" i="4"/>
  <c r="Z251" i="4"/>
  <c r="Z250" i="4"/>
  <c r="Z257" i="4"/>
  <c r="Z260" i="4"/>
  <c r="Z247" i="4"/>
  <c r="Z243" i="4"/>
  <c r="Z232" i="4"/>
  <c r="Z237" i="4"/>
  <c r="Z249" i="4"/>
  <c r="Z233" i="4"/>
  <c r="Z248" i="4"/>
  <c r="E56" i="13"/>
  <c r="E81" i="8"/>
  <c r="R109" i="31"/>
  <c r="R59" i="31"/>
  <c r="R69" i="31"/>
  <c r="R72" i="31"/>
  <c r="R86" i="31"/>
  <c r="R84" i="31"/>
  <c r="R67" i="31"/>
  <c r="R105" i="31"/>
  <c r="R65" i="31"/>
  <c r="R64" i="31"/>
  <c r="R23" i="31"/>
  <c r="R82" i="31"/>
  <c r="R78" i="31"/>
  <c r="R77" i="31"/>
  <c r="R83" i="31"/>
  <c r="R32" i="31"/>
  <c r="R31" i="31"/>
  <c r="R73" i="31"/>
  <c r="R45" i="31"/>
  <c r="R18" i="31"/>
  <c r="R103" i="31"/>
  <c r="R13" i="31"/>
  <c r="R27" i="31"/>
  <c r="R24" i="31"/>
  <c r="R6" i="31"/>
  <c r="R4" i="31"/>
  <c r="R19" i="31"/>
  <c r="R54" i="31"/>
  <c r="R71" i="31"/>
  <c r="R102" i="31"/>
  <c r="R99" i="31"/>
  <c r="R107" i="31"/>
  <c r="R42" i="31"/>
  <c r="R66" i="31"/>
  <c r="R39" i="31"/>
  <c r="R21" i="31"/>
  <c r="R48" i="31"/>
  <c r="R20" i="31"/>
  <c r="R61" i="31"/>
  <c r="R25" i="31"/>
  <c r="R62" i="31"/>
  <c r="R51" i="31"/>
  <c r="R10" i="31"/>
  <c r="R97" i="31"/>
  <c r="R94" i="31"/>
  <c r="R28" i="31"/>
  <c r="R55" i="31"/>
  <c r="R74" i="31"/>
  <c r="R112" i="31"/>
  <c r="R108" i="31"/>
  <c r="R70" i="31"/>
  <c r="R106" i="31"/>
  <c r="R116" i="31"/>
  <c r="R68" i="31"/>
  <c r="R114" i="31"/>
  <c r="R111" i="31"/>
  <c r="R104" i="31"/>
  <c r="R100" i="31"/>
  <c r="R63" i="31"/>
  <c r="R36" i="31"/>
  <c r="R11" i="31"/>
  <c r="R58" i="31"/>
  <c r="R40" i="31"/>
  <c r="R33" i="31"/>
  <c r="R46" i="31"/>
  <c r="R35" i="31"/>
  <c r="R44" i="31"/>
  <c r="R26" i="31"/>
  <c r="R22" i="31"/>
  <c r="R16" i="31"/>
  <c r="R89" i="31"/>
  <c r="R12" i="31"/>
  <c r="R14" i="31"/>
  <c r="R2" i="31"/>
  <c r="R5" i="31"/>
  <c r="R52" i="31"/>
  <c r="R17" i="31"/>
  <c r="R30" i="31"/>
  <c r="R29" i="31"/>
  <c r="R76" i="31"/>
  <c r="R60" i="31"/>
  <c r="R53" i="31"/>
  <c r="R8" i="31"/>
  <c r="R7" i="31"/>
  <c r="R15" i="31"/>
  <c r="R9" i="31"/>
  <c r="R118" i="31"/>
  <c r="R87" i="31"/>
  <c r="R34" i="31"/>
  <c r="R41" i="31"/>
  <c r="R113" i="31"/>
  <c r="R95" i="31"/>
  <c r="R79" i="31"/>
  <c r="R56" i="31"/>
  <c r="R43" i="31"/>
  <c r="R50" i="31"/>
  <c r="U262" i="4"/>
  <c r="U260" i="4"/>
  <c r="D23" i="26" s="1"/>
  <c r="U248" i="4"/>
  <c r="U244" i="4"/>
  <c r="U245" i="4"/>
  <c r="D30" i="26" s="1"/>
  <c r="U251" i="4"/>
  <c r="U236" i="4"/>
  <c r="U233" i="4"/>
  <c r="E19" i="25" s="1"/>
  <c r="U237" i="4"/>
  <c r="U250" i="4"/>
  <c r="E35" i="25" s="1"/>
  <c r="U249" i="4"/>
  <c r="U247" i="4"/>
  <c r="U246" i="4"/>
  <c r="U240" i="4"/>
  <c r="U243" i="4"/>
  <c r="U256" i="4"/>
  <c r="U232" i="4"/>
  <c r="U234" i="4"/>
  <c r="U252" i="4"/>
  <c r="U235" i="4"/>
  <c r="C78" i="26"/>
  <c r="B193" i="4"/>
  <c r="G193" i="4"/>
  <c r="I193" i="4" s="1"/>
  <c r="N193" i="4"/>
  <c r="O193" i="4"/>
  <c r="P193" i="4"/>
  <c r="Q193" i="4"/>
  <c r="R193" i="4"/>
  <c r="T193" i="4"/>
  <c r="W193" i="4"/>
  <c r="X193" i="4"/>
  <c r="B194" i="4"/>
  <c r="G194" i="4"/>
  <c r="I194" i="4" s="1"/>
  <c r="N194" i="4"/>
  <c r="O194" i="4"/>
  <c r="P194" i="4"/>
  <c r="Q194" i="4"/>
  <c r="T194" i="4"/>
  <c r="W194" i="4"/>
  <c r="B195" i="4"/>
  <c r="G195" i="4"/>
  <c r="I195" i="4" s="1"/>
  <c r="N195" i="4"/>
  <c r="O195" i="4"/>
  <c r="P195" i="4"/>
  <c r="Q195" i="4"/>
  <c r="R195" i="4"/>
  <c r="T195" i="4"/>
  <c r="W195" i="4"/>
  <c r="B196" i="4"/>
  <c r="G196" i="4"/>
  <c r="I196" i="4" s="1"/>
  <c r="N196" i="4"/>
  <c r="O196" i="4"/>
  <c r="P196" i="4"/>
  <c r="Q196" i="4"/>
  <c r="R196" i="4"/>
  <c r="T196" i="4"/>
  <c r="W196" i="4"/>
  <c r="B197" i="4"/>
  <c r="G197" i="4"/>
  <c r="I197" i="4" s="1"/>
  <c r="N197" i="4"/>
  <c r="O197" i="4"/>
  <c r="P197" i="4"/>
  <c r="Q197" i="4"/>
  <c r="R197" i="4"/>
  <c r="T197" i="4"/>
  <c r="W197" i="4"/>
  <c r="X197" i="4"/>
  <c r="B198" i="4"/>
  <c r="G198" i="4"/>
  <c r="I198" i="4" s="1"/>
  <c r="N198" i="4"/>
  <c r="O198" i="4"/>
  <c r="P198" i="4"/>
  <c r="Q198" i="4"/>
  <c r="R198" i="4"/>
  <c r="T198" i="4"/>
  <c r="W198" i="4"/>
  <c r="B199" i="4"/>
  <c r="G199" i="4"/>
  <c r="I199" i="4" s="1"/>
  <c r="N199" i="4"/>
  <c r="O199" i="4"/>
  <c r="P199" i="4"/>
  <c r="Q199" i="4"/>
  <c r="T199" i="4"/>
  <c r="W199" i="4"/>
  <c r="B200" i="4"/>
  <c r="G200" i="4"/>
  <c r="I200" i="4" s="1"/>
  <c r="N200" i="4"/>
  <c r="O200" i="4"/>
  <c r="P200" i="4"/>
  <c r="Q200" i="4"/>
  <c r="R200" i="4"/>
  <c r="T200" i="4"/>
  <c r="W200" i="4"/>
  <c r="B201" i="4"/>
  <c r="G201" i="4"/>
  <c r="I201" i="4" s="1"/>
  <c r="N201" i="4"/>
  <c r="O201" i="4"/>
  <c r="P201" i="4"/>
  <c r="Q201" i="4"/>
  <c r="R201" i="4"/>
  <c r="T201" i="4"/>
  <c r="W201" i="4"/>
  <c r="B202" i="4"/>
  <c r="G202" i="4"/>
  <c r="I202" i="4" s="1"/>
  <c r="N202" i="4"/>
  <c r="O202" i="4"/>
  <c r="P202" i="4"/>
  <c r="Q202" i="4"/>
  <c r="R202" i="4"/>
  <c r="T202" i="4"/>
  <c r="W202" i="4"/>
  <c r="B203" i="4"/>
  <c r="G203" i="4"/>
  <c r="I203" i="4" s="1"/>
  <c r="N203" i="4"/>
  <c r="O203" i="4"/>
  <c r="P203" i="4"/>
  <c r="Q203" i="4"/>
  <c r="R203" i="4"/>
  <c r="T203" i="4"/>
  <c r="W203" i="4"/>
  <c r="B204" i="4"/>
  <c r="G204" i="4"/>
  <c r="I204" i="4" s="1"/>
  <c r="N204" i="4"/>
  <c r="O204" i="4"/>
  <c r="P204" i="4"/>
  <c r="Q204" i="4"/>
  <c r="R204" i="4"/>
  <c r="T204" i="4"/>
  <c r="W204" i="4"/>
  <c r="X204" i="4"/>
  <c r="B205" i="4"/>
  <c r="G205" i="4"/>
  <c r="I205" i="4" s="1"/>
  <c r="N205" i="4"/>
  <c r="O205" i="4"/>
  <c r="P205" i="4"/>
  <c r="Q205" i="4"/>
  <c r="T205" i="4"/>
  <c r="W205" i="4"/>
  <c r="B206" i="4"/>
  <c r="G206" i="4"/>
  <c r="I206" i="4" s="1"/>
  <c r="N206" i="4"/>
  <c r="O206" i="4"/>
  <c r="P206" i="4"/>
  <c r="Q206" i="4"/>
  <c r="R206" i="4"/>
  <c r="T206" i="4"/>
  <c r="W206" i="4"/>
  <c r="X206" i="4"/>
  <c r="B207" i="4"/>
  <c r="G207" i="4"/>
  <c r="I207" i="4" s="1"/>
  <c r="N207" i="4"/>
  <c r="O207" i="4"/>
  <c r="P207" i="4"/>
  <c r="Q207" i="4"/>
  <c r="R207" i="4"/>
  <c r="T207" i="4"/>
  <c r="W207" i="4"/>
  <c r="B208" i="4"/>
  <c r="G208" i="4"/>
  <c r="I208" i="4" s="1"/>
  <c r="N208" i="4"/>
  <c r="O208" i="4"/>
  <c r="P208" i="4"/>
  <c r="Q208" i="4"/>
  <c r="R208" i="4"/>
  <c r="T208" i="4"/>
  <c r="W208" i="4"/>
  <c r="X208" i="4"/>
  <c r="B209" i="4"/>
  <c r="G209" i="4"/>
  <c r="I209" i="4" s="1"/>
  <c r="N209" i="4"/>
  <c r="O209" i="4"/>
  <c r="P209" i="4"/>
  <c r="Q209" i="4"/>
  <c r="R209" i="4"/>
  <c r="T209" i="4"/>
  <c r="W209" i="4"/>
  <c r="X209" i="4"/>
  <c r="B210" i="4"/>
  <c r="G210" i="4"/>
  <c r="I210" i="4" s="1"/>
  <c r="N210" i="4"/>
  <c r="O210" i="4"/>
  <c r="P210" i="4"/>
  <c r="Q210" i="4"/>
  <c r="R210" i="4"/>
  <c r="T210" i="4"/>
  <c r="W210" i="4"/>
  <c r="X210" i="4"/>
  <c r="B211" i="4"/>
  <c r="G211" i="4"/>
  <c r="I211" i="4" s="1"/>
  <c r="N211" i="4"/>
  <c r="O211" i="4"/>
  <c r="P211" i="4"/>
  <c r="Q211" i="4"/>
  <c r="T211" i="4"/>
  <c r="W211" i="4"/>
  <c r="X211" i="4"/>
  <c r="B212" i="4"/>
  <c r="G212" i="4"/>
  <c r="I212" i="4" s="1"/>
  <c r="N212" i="4"/>
  <c r="O212" i="4"/>
  <c r="P212" i="4"/>
  <c r="Q212" i="4"/>
  <c r="R212" i="4"/>
  <c r="T212" i="4"/>
  <c r="W212" i="4"/>
  <c r="B213" i="4"/>
  <c r="G213" i="4"/>
  <c r="I213" i="4" s="1"/>
  <c r="N213" i="4"/>
  <c r="O213" i="4"/>
  <c r="P213" i="4"/>
  <c r="Q213" i="4"/>
  <c r="R213" i="4"/>
  <c r="T213" i="4"/>
  <c r="W213" i="4"/>
  <c r="B214" i="4"/>
  <c r="G214" i="4"/>
  <c r="I214" i="4" s="1"/>
  <c r="N214" i="4"/>
  <c r="O214" i="4"/>
  <c r="P214" i="4"/>
  <c r="Q214" i="4"/>
  <c r="R214" i="4"/>
  <c r="T214" i="4"/>
  <c r="W214" i="4"/>
  <c r="B215" i="4"/>
  <c r="G215" i="4"/>
  <c r="I215" i="4" s="1"/>
  <c r="N215" i="4"/>
  <c r="O215" i="4"/>
  <c r="P215" i="4"/>
  <c r="Q215" i="4"/>
  <c r="R215" i="4"/>
  <c r="T215" i="4"/>
  <c r="W215" i="4"/>
  <c r="B216" i="4"/>
  <c r="G216" i="4"/>
  <c r="I216" i="4" s="1"/>
  <c r="N216" i="4"/>
  <c r="O216" i="4"/>
  <c r="P216" i="4"/>
  <c r="Q216" i="4"/>
  <c r="T216" i="4"/>
  <c r="W216" i="4"/>
  <c r="B217" i="4"/>
  <c r="G217" i="4"/>
  <c r="I217" i="4" s="1"/>
  <c r="N217" i="4"/>
  <c r="O217" i="4"/>
  <c r="P217" i="4"/>
  <c r="Q217" i="4"/>
  <c r="R217" i="4"/>
  <c r="T217" i="4"/>
  <c r="W217" i="4"/>
  <c r="B218" i="4"/>
  <c r="G218" i="4"/>
  <c r="I218" i="4" s="1"/>
  <c r="N218" i="4"/>
  <c r="O218" i="4"/>
  <c r="P218" i="4"/>
  <c r="Q218" i="4"/>
  <c r="R218" i="4"/>
  <c r="T218" i="4"/>
  <c r="W218" i="4"/>
  <c r="X218" i="4"/>
  <c r="B219" i="4"/>
  <c r="G219" i="4"/>
  <c r="I219" i="4" s="1"/>
  <c r="N219" i="4"/>
  <c r="O219" i="4"/>
  <c r="P219" i="4"/>
  <c r="Q219" i="4"/>
  <c r="R219" i="4"/>
  <c r="T219" i="4"/>
  <c r="W219" i="4"/>
  <c r="B220" i="4"/>
  <c r="G220" i="4"/>
  <c r="I220" i="4" s="1"/>
  <c r="N220" i="4"/>
  <c r="O220" i="4"/>
  <c r="P220" i="4"/>
  <c r="Q220" i="4"/>
  <c r="R220" i="4"/>
  <c r="T220" i="4"/>
  <c r="W220" i="4"/>
  <c r="X220" i="4"/>
  <c r="B221" i="4"/>
  <c r="G221" i="4"/>
  <c r="I221" i="4" s="1"/>
  <c r="N221" i="4"/>
  <c r="O221" i="4"/>
  <c r="P221" i="4"/>
  <c r="Q221" i="4"/>
  <c r="T221" i="4"/>
  <c r="W221" i="4"/>
  <c r="X221" i="4"/>
  <c r="B222" i="4"/>
  <c r="G222" i="4"/>
  <c r="I222" i="4" s="1"/>
  <c r="N222" i="4"/>
  <c r="O222" i="4"/>
  <c r="P222" i="4"/>
  <c r="Q222" i="4"/>
  <c r="T222" i="4"/>
  <c r="W222" i="4"/>
  <c r="B223" i="4"/>
  <c r="G223" i="4"/>
  <c r="I223" i="4" s="1"/>
  <c r="N223" i="4"/>
  <c r="O223" i="4"/>
  <c r="P223" i="4"/>
  <c r="Q223" i="4"/>
  <c r="R223" i="4"/>
  <c r="T223" i="4"/>
  <c r="W223" i="4"/>
  <c r="X223" i="4"/>
  <c r="B224" i="4"/>
  <c r="G224" i="4"/>
  <c r="I224" i="4" s="1"/>
  <c r="N224" i="4"/>
  <c r="O224" i="4"/>
  <c r="P224" i="4"/>
  <c r="Q224" i="4"/>
  <c r="R224" i="4"/>
  <c r="T224" i="4"/>
  <c r="W224" i="4"/>
  <c r="X224" i="4"/>
  <c r="B225" i="4"/>
  <c r="G225" i="4"/>
  <c r="I225" i="4" s="1"/>
  <c r="N225" i="4"/>
  <c r="O225" i="4"/>
  <c r="P225" i="4"/>
  <c r="Q225" i="4"/>
  <c r="R225" i="4"/>
  <c r="T225" i="4"/>
  <c r="W225" i="4"/>
  <c r="X225" i="4"/>
  <c r="B226" i="4"/>
  <c r="G226" i="4"/>
  <c r="I226" i="4" s="1"/>
  <c r="N226" i="4"/>
  <c r="O226" i="4"/>
  <c r="P226" i="4"/>
  <c r="Q226" i="4"/>
  <c r="R226" i="4"/>
  <c r="T226" i="4"/>
  <c r="W226" i="4"/>
  <c r="B227" i="4"/>
  <c r="G227" i="4"/>
  <c r="I227" i="4" s="1"/>
  <c r="N227" i="4"/>
  <c r="O227" i="4"/>
  <c r="P227" i="4"/>
  <c r="Q227" i="4"/>
  <c r="R227" i="4"/>
  <c r="T227" i="4"/>
  <c r="W227" i="4"/>
  <c r="B228" i="4"/>
  <c r="G228" i="4"/>
  <c r="I228" i="4" s="1"/>
  <c r="N228" i="4"/>
  <c r="O228" i="4"/>
  <c r="P228" i="4"/>
  <c r="Q228" i="4"/>
  <c r="R228" i="4"/>
  <c r="T228" i="4"/>
  <c r="W228" i="4"/>
  <c r="X228" i="4"/>
  <c r="B229" i="4"/>
  <c r="G229" i="4"/>
  <c r="I229" i="4" s="1"/>
  <c r="N229" i="4"/>
  <c r="O229" i="4"/>
  <c r="P229" i="4"/>
  <c r="Q229" i="4"/>
  <c r="T229" i="4"/>
  <c r="W229" i="4"/>
  <c r="B230" i="4"/>
  <c r="G230" i="4"/>
  <c r="I230" i="4" s="1"/>
  <c r="N230" i="4"/>
  <c r="O230" i="4"/>
  <c r="P230" i="4"/>
  <c r="Q230" i="4"/>
  <c r="R230" i="4"/>
  <c r="T230" i="4"/>
  <c r="W230" i="4"/>
  <c r="S199" i="4" l="1"/>
  <c r="S210" i="4"/>
  <c r="S222" i="4"/>
  <c r="S213" i="4"/>
  <c r="S227" i="4"/>
  <c r="S217" i="4"/>
  <c r="S201" i="4"/>
  <c r="S225" i="4"/>
  <c r="S226" i="4"/>
  <c r="S193" i="4"/>
  <c r="S211" i="4"/>
  <c r="S197" i="4"/>
  <c r="S205" i="4"/>
  <c r="S196" i="4"/>
  <c r="S195" i="4"/>
  <c r="S228" i="4"/>
  <c r="S223" i="4"/>
  <c r="S218" i="4"/>
  <c r="S214" i="4"/>
  <c r="S209" i="4"/>
  <c r="S204" i="4"/>
  <c r="S200" i="4"/>
  <c r="S208" i="4"/>
  <c r="S229" i="4"/>
  <c r="S224" i="4"/>
  <c r="S219" i="4"/>
  <c r="S215" i="4"/>
  <c r="S230" i="4"/>
  <c r="S220" i="4"/>
  <c r="S206" i="4"/>
  <c r="S202" i="4"/>
  <c r="S207" i="4"/>
  <c r="S198" i="4"/>
  <c r="S221" i="4"/>
  <c r="S194" i="4"/>
  <c r="S216" i="4"/>
  <c r="S212" i="4"/>
  <c r="S203" i="4"/>
  <c r="J229" i="4"/>
  <c r="K229" i="4" s="1"/>
  <c r="J226" i="4"/>
  <c r="K226" i="4" s="1"/>
  <c r="J223" i="4"/>
  <c r="K223" i="4" s="1"/>
  <c r="J220" i="4"/>
  <c r="K220" i="4" s="1"/>
  <c r="J217" i="4"/>
  <c r="K217" i="4" s="1"/>
  <c r="J214" i="4"/>
  <c r="K214" i="4" s="1"/>
  <c r="J211" i="4"/>
  <c r="K211" i="4" s="1"/>
  <c r="J208" i="4"/>
  <c r="K208" i="4" s="1"/>
  <c r="J205" i="4"/>
  <c r="K205" i="4" s="1"/>
  <c r="J202" i="4"/>
  <c r="K202" i="4" s="1"/>
  <c r="J199" i="4"/>
  <c r="K199" i="4" s="1"/>
  <c r="J196" i="4"/>
  <c r="K196" i="4" s="1"/>
  <c r="J193" i="4"/>
  <c r="K193" i="4" s="1"/>
  <c r="E81" i="13"/>
  <c r="E62" i="25"/>
  <c r="E115" i="8"/>
  <c r="J216" i="4"/>
  <c r="J222" i="4"/>
  <c r="J204" i="4"/>
  <c r="K204" i="4" s="1"/>
  <c r="J225" i="4"/>
  <c r="J213" i="4"/>
  <c r="K213" i="4" s="1"/>
  <c r="J198" i="4"/>
  <c r="K198" i="4" s="1"/>
  <c r="J207" i="4"/>
  <c r="K207" i="4" s="1"/>
  <c r="J228" i="4"/>
  <c r="J219" i="4"/>
  <c r="J210" i="4"/>
  <c r="K210" i="4" s="1"/>
  <c r="J201" i="4"/>
  <c r="K201" i="4" s="1"/>
  <c r="J195" i="4"/>
  <c r="J230" i="4"/>
  <c r="J218" i="4"/>
  <c r="J209" i="4"/>
  <c r="K209" i="4" s="1"/>
  <c r="J206" i="4"/>
  <c r="J203" i="4"/>
  <c r="J200" i="4"/>
  <c r="J197" i="4"/>
  <c r="J194" i="4"/>
  <c r="J227" i="4"/>
  <c r="J224" i="4"/>
  <c r="J221" i="4"/>
  <c r="J215" i="4"/>
  <c r="J212" i="4"/>
  <c r="C3" i="31"/>
  <c r="C41" i="8"/>
  <c r="C113" i="8"/>
  <c r="C65" i="8"/>
  <c r="C99" i="8"/>
  <c r="C71" i="8"/>
  <c r="C109" i="8"/>
  <c r="C91" i="8"/>
  <c r="C110" i="8"/>
  <c r="C103" i="8"/>
  <c r="D96" i="8"/>
  <c r="D72" i="8"/>
  <c r="D68" i="8"/>
  <c r="D112" i="8"/>
  <c r="D38" i="8"/>
  <c r="D107" i="8"/>
  <c r="D116" i="8"/>
  <c r="D117" i="8"/>
  <c r="D118" i="8"/>
  <c r="Z208" i="4" l="1"/>
  <c r="Z205" i="4"/>
  <c r="Z217" i="4"/>
  <c r="Z204" i="4"/>
  <c r="Z226" i="4"/>
  <c r="Z207" i="4"/>
  <c r="Z196" i="4"/>
  <c r="Z193" i="4"/>
  <c r="Z214" i="4"/>
  <c r="Z202" i="4"/>
  <c r="Z201" i="4"/>
  <c r="Z211" i="4"/>
  <c r="Z220" i="4"/>
  <c r="Z210" i="4"/>
  <c r="Z198" i="4"/>
  <c r="Z229" i="4"/>
  <c r="Z213" i="4"/>
  <c r="Z199" i="4"/>
  <c r="Z223" i="4"/>
  <c r="K222" i="4"/>
  <c r="U217" i="4"/>
  <c r="E16" i="25" s="1"/>
  <c r="U223" i="4"/>
  <c r="E75" i="8" s="1"/>
  <c r="K219" i="4"/>
  <c r="U220" i="4"/>
  <c r="K225" i="4"/>
  <c r="K228" i="4"/>
  <c r="U226" i="4"/>
  <c r="K216" i="4"/>
  <c r="U214" i="4"/>
  <c r="U204" i="4"/>
  <c r="U207" i="4"/>
  <c r="U201" i="4"/>
  <c r="E25" i="25" s="1"/>
  <c r="U213" i="4"/>
  <c r="U210" i="4"/>
  <c r="U198" i="4"/>
  <c r="K227" i="4"/>
  <c r="K230" i="4"/>
  <c r="U202" i="4"/>
  <c r="E47" i="25" s="1"/>
  <c r="U208" i="4"/>
  <c r="K194" i="4"/>
  <c r="K197" i="4"/>
  <c r="K200" i="4"/>
  <c r="K212" i="4"/>
  <c r="K203" i="4"/>
  <c r="K215" i="4"/>
  <c r="K206" i="4"/>
  <c r="K195" i="4"/>
  <c r="U196" i="4"/>
  <c r="K221" i="4"/>
  <c r="Z209" i="4"/>
  <c r="K224" i="4"/>
  <c r="K218" i="4"/>
  <c r="U193" i="4"/>
  <c r="R3" i="31"/>
  <c r="X3" i="4"/>
  <c r="X8" i="4"/>
  <c r="X10" i="4"/>
  <c r="X12" i="4"/>
  <c r="X13" i="4"/>
  <c r="X17" i="4"/>
  <c r="X19" i="4"/>
  <c r="X21" i="4"/>
  <c r="X26" i="4"/>
  <c r="X27" i="4"/>
  <c r="X28" i="4"/>
  <c r="X31" i="4"/>
  <c r="X33" i="4"/>
  <c r="X34" i="4"/>
  <c r="X36" i="4"/>
  <c r="X39" i="4"/>
  <c r="X47" i="4"/>
  <c r="X49" i="4"/>
  <c r="X54" i="4"/>
  <c r="X57" i="4"/>
  <c r="X58" i="4"/>
  <c r="X63" i="4"/>
  <c r="X64" i="4"/>
  <c r="X67" i="4"/>
  <c r="X68" i="4"/>
  <c r="X72" i="4"/>
  <c r="X74" i="4"/>
  <c r="X75" i="4"/>
  <c r="X78" i="4"/>
  <c r="X81" i="4"/>
  <c r="X83" i="4"/>
  <c r="X85" i="4"/>
  <c r="X89" i="4"/>
  <c r="X91" i="4"/>
  <c r="X94" i="4"/>
  <c r="X95" i="4"/>
  <c r="X98" i="4"/>
  <c r="X99" i="4"/>
  <c r="X102" i="4"/>
  <c r="X107" i="4"/>
  <c r="X109" i="4"/>
  <c r="X113" i="4"/>
  <c r="X117" i="4"/>
  <c r="X119" i="4"/>
  <c r="X121" i="4"/>
  <c r="X122" i="4"/>
  <c r="X131" i="4"/>
  <c r="X132" i="4"/>
  <c r="X135" i="4"/>
  <c r="X137" i="4"/>
  <c r="X138" i="4"/>
  <c r="X139" i="4"/>
  <c r="X141" i="4"/>
  <c r="X142" i="4"/>
  <c r="X143" i="4"/>
  <c r="X145" i="4"/>
  <c r="X150" i="4"/>
  <c r="X157" i="4"/>
  <c r="X158" i="4"/>
  <c r="X160" i="4"/>
  <c r="X163" i="4"/>
  <c r="X166" i="4"/>
  <c r="X168" i="4"/>
  <c r="X169" i="4"/>
  <c r="X170" i="4"/>
  <c r="X179" i="4"/>
  <c r="X181" i="4"/>
  <c r="X182" i="4"/>
  <c r="X184" i="4"/>
  <c r="X187" i="4"/>
  <c r="X188" i="4"/>
  <c r="S2" i="22"/>
  <c r="T2" i="8"/>
  <c r="T7" i="8"/>
  <c r="T8" i="8"/>
  <c r="T13" i="8"/>
  <c r="T42" i="8"/>
  <c r="T11" i="8"/>
  <c r="T3" i="8"/>
  <c r="T9" i="8"/>
  <c r="T15" i="8"/>
  <c r="T79" i="8"/>
  <c r="T4" i="8"/>
  <c r="T30" i="8"/>
  <c r="T20" i="8"/>
  <c r="T14" i="8"/>
  <c r="T101" i="8"/>
  <c r="T12" i="8"/>
  <c r="T16" i="8"/>
  <c r="T10" i="8"/>
  <c r="T63" i="8"/>
  <c r="T88" i="8"/>
  <c r="T39" i="8"/>
  <c r="T19" i="8"/>
  <c r="T78" i="8"/>
  <c r="T21" i="8"/>
  <c r="T22" i="8"/>
  <c r="T27" i="8"/>
  <c r="T34" i="8"/>
  <c r="T18" i="8"/>
  <c r="T5" i="8"/>
  <c r="T36" i="8"/>
  <c r="T104" i="8"/>
  <c r="T24" i="8"/>
  <c r="T17" i="8"/>
  <c r="T105" i="8"/>
  <c r="T28" i="8"/>
  <c r="T44" i="8"/>
  <c r="T67" i="8"/>
  <c r="T51" i="8"/>
  <c r="T26" i="8"/>
  <c r="T85" i="8"/>
  <c r="T52" i="8"/>
  <c r="T87" i="8"/>
  <c r="T29" i="8"/>
  <c r="T62" i="8"/>
  <c r="T54" i="8"/>
  <c r="T31" i="8"/>
  <c r="T55" i="8"/>
  <c r="T40" i="8"/>
  <c r="T25" i="8"/>
  <c r="T47" i="8"/>
  <c r="T77" i="8"/>
  <c r="T37" i="8"/>
  <c r="T53" i="8"/>
  <c r="T33" i="8"/>
  <c r="T96" i="8"/>
  <c r="T97" i="8"/>
  <c r="T35" i="8"/>
  <c r="T48" i="8"/>
  <c r="T50" i="8"/>
  <c r="T56" i="8"/>
  <c r="T72" i="8"/>
  <c r="T49" i="8"/>
  <c r="T83" i="8"/>
  <c r="T32" i="8"/>
  <c r="T58" i="8"/>
  <c r="T59" i="8"/>
  <c r="T64" i="8"/>
  <c r="T76" i="8"/>
  <c r="T46" i="8"/>
  <c r="T57" i="8"/>
  <c r="T68" i="8"/>
  <c r="T86" i="8"/>
  <c r="T60" i="8"/>
  <c r="T94" i="8"/>
  <c r="T23" i="8"/>
  <c r="T111" i="8"/>
  <c r="T75" i="8"/>
  <c r="T100" i="8"/>
  <c r="T41" i="8"/>
  <c r="T112" i="8"/>
  <c r="T113" i="8"/>
  <c r="T108" i="8"/>
  <c r="T38" i="8"/>
  <c r="T107" i="8"/>
  <c r="T66" i="8"/>
  <c r="T65" i="8"/>
  <c r="T99" i="8"/>
  <c r="T71" i="8"/>
  <c r="T74" i="8"/>
  <c r="T116" i="8"/>
  <c r="T109" i="8"/>
  <c r="T91" i="8"/>
  <c r="T117" i="8"/>
  <c r="T118" i="8"/>
  <c r="T110" i="8"/>
  <c r="T103" i="8"/>
  <c r="T6" i="8"/>
  <c r="AF68" i="8"/>
  <c r="AF7" i="8"/>
  <c r="AF100" i="8"/>
  <c r="AF25" i="8"/>
  <c r="AF27" i="8"/>
  <c r="AF31" i="8"/>
  <c r="AF104" i="8"/>
  <c r="AF17" i="8"/>
  <c r="AF20" i="8"/>
  <c r="AF49" i="8"/>
  <c r="AF76" i="8"/>
  <c r="AF52" i="8"/>
  <c r="AF28" i="8"/>
  <c r="AF70" i="8"/>
  <c r="AF97" i="8"/>
  <c r="AF47" i="8"/>
  <c r="AF77" i="8"/>
  <c r="AF84" i="8"/>
  <c r="AF37" i="8"/>
  <c r="AF87" i="8"/>
  <c r="AF62" i="8"/>
  <c r="AF94" i="8"/>
  <c r="AF22" i="8"/>
  <c r="AF69" i="8"/>
  <c r="AF99" i="8"/>
  <c r="AF40" i="8"/>
  <c r="AF74" i="8"/>
  <c r="AF65" i="8"/>
  <c r="Z216" i="4" l="1"/>
  <c r="Z221" i="4"/>
  <c r="Z228" i="4"/>
  <c r="Z195" i="4"/>
  <c r="Z230" i="4"/>
  <c r="Z206" i="4"/>
  <c r="Z227" i="4"/>
  <c r="Z225" i="4"/>
  <c r="Z215" i="4"/>
  <c r="Z203" i="4"/>
  <c r="E68" i="13"/>
  <c r="E46" i="25"/>
  <c r="E95" i="8"/>
  <c r="Z219" i="4"/>
  <c r="Z212" i="4"/>
  <c r="Z200" i="4"/>
  <c r="Z197" i="4"/>
  <c r="Z222" i="4"/>
  <c r="Z218" i="4"/>
  <c r="Z224" i="4"/>
  <c r="Z194" i="4"/>
  <c r="U228" i="4"/>
  <c r="U219" i="4"/>
  <c r="U227" i="4"/>
  <c r="U224" i="4"/>
  <c r="E41" i="25" s="1"/>
  <c r="U218" i="4"/>
  <c r="U225" i="4"/>
  <c r="U230" i="4"/>
  <c r="D32" i="26" s="1"/>
  <c r="U215" i="4"/>
  <c r="D22" i="26" s="1"/>
  <c r="U195" i="4"/>
  <c r="U209" i="4"/>
  <c r="U203" i="4"/>
  <c r="E14" i="25" s="1"/>
  <c r="U212" i="4"/>
  <c r="U200" i="4"/>
  <c r="U206" i="4"/>
  <c r="U197" i="4"/>
  <c r="M74" i="26"/>
  <c r="N74" i="26"/>
  <c r="O74" i="26"/>
  <c r="P74" i="26"/>
  <c r="M75" i="26"/>
  <c r="N75" i="26"/>
  <c r="O75" i="26"/>
  <c r="P75" i="26"/>
  <c r="M76" i="26"/>
  <c r="N76" i="26"/>
  <c r="O76" i="26"/>
  <c r="P76" i="26"/>
  <c r="M77" i="26"/>
  <c r="N77" i="26"/>
  <c r="O77" i="26"/>
  <c r="M78" i="26"/>
  <c r="N78" i="26"/>
  <c r="O78" i="26"/>
  <c r="P78" i="26"/>
  <c r="M79" i="26"/>
  <c r="N79" i="26"/>
  <c r="O79" i="26"/>
  <c r="P79" i="26"/>
  <c r="M80" i="26"/>
  <c r="N80" i="26"/>
  <c r="O80" i="26"/>
  <c r="P80" i="26"/>
  <c r="O81" i="26"/>
  <c r="M82" i="26"/>
  <c r="N82" i="26"/>
  <c r="O82" i="26"/>
  <c r="P82" i="26"/>
  <c r="M83" i="26"/>
  <c r="N83" i="26"/>
  <c r="O83" i="26"/>
  <c r="P83" i="26"/>
  <c r="M84" i="26"/>
  <c r="N84" i="26"/>
  <c r="O84" i="26"/>
  <c r="P84" i="26"/>
  <c r="M85" i="26"/>
  <c r="O85" i="26"/>
  <c r="P85" i="26"/>
  <c r="M86" i="26"/>
  <c r="N86" i="26"/>
  <c r="O86" i="26"/>
  <c r="P86" i="26"/>
  <c r="N73" i="26"/>
  <c r="O73" i="26"/>
  <c r="P73" i="26"/>
  <c r="M57" i="26"/>
  <c r="O57" i="26"/>
  <c r="P57" i="26"/>
  <c r="M58" i="26"/>
  <c r="O58" i="26"/>
  <c r="P58" i="26"/>
  <c r="O59" i="26"/>
  <c r="P59" i="26"/>
  <c r="M60" i="26"/>
  <c r="N60" i="26"/>
  <c r="O60" i="26"/>
  <c r="P60" i="26"/>
  <c r="M61" i="26"/>
  <c r="N61" i="26"/>
  <c r="O61" i="26"/>
  <c r="P61" i="26"/>
  <c r="M62" i="26"/>
  <c r="O62" i="26"/>
  <c r="P62" i="26"/>
  <c r="M63" i="26"/>
  <c r="N63" i="26"/>
  <c r="O63" i="26"/>
  <c r="P63" i="26"/>
  <c r="N64" i="26"/>
  <c r="O64" i="26"/>
  <c r="M65" i="26"/>
  <c r="N65" i="26"/>
  <c r="O65" i="26"/>
  <c r="P65" i="26"/>
  <c r="M66" i="26"/>
  <c r="N66" i="26"/>
  <c r="O66" i="26"/>
  <c r="P66" i="26"/>
  <c r="M67" i="26"/>
  <c r="N67" i="26"/>
  <c r="O67" i="26"/>
  <c r="P67" i="26"/>
  <c r="M68" i="26"/>
  <c r="N68" i="26"/>
  <c r="O68" i="26"/>
  <c r="P68" i="26"/>
  <c r="M69" i="26"/>
  <c r="N69" i="26"/>
  <c r="O69" i="26"/>
  <c r="P69" i="26"/>
  <c r="O56" i="26"/>
  <c r="P56" i="26"/>
  <c r="N39" i="26"/>
  <c r="O39" i="26"/>
  <c r="P39" i="26"/>
  <c r="N40" i="26"/>
  <c r="P40" i="26"/>
  <c r="N41" i="26"/>
  <c r="O41" i="26"/>
  <c r="P41" i="26"/>
  <c r="N42" i="26"/>
  <c r="O42" i="26"/>
  <c r="P42" i="26"/>
  <c r="N43" i="26"/>
  <c r="O43" i="26"/>
  <c r="P43" i="26"/>
  <c r="N44" i="26"/>
  <c r="P44" i="26"/>
  <c r="N45" i="26"/>
  <c r="O45" i="26"/>
  <c r="P45" i="26"/>
  <c r="P46" i="26"/>
  <c r="O47" i="26"/>
  <c r="P47" i="26"/>
  <c r="N48" i="26"/>
  <c r="O48" i="26"/>
  <c r="N49" i="26"/>
  <c r="O49" i="26"/>
  <c r="P49" i="26"/>
  <c r="N50" i="26"/>
  <c r="O50" i="26"/>
  <c r="P50" i="26"/>
  <c r="N51" i="26"/>
  <c r="O51" i="26"/>
  <c r="P51" i="26"/>
  <c r="N52" i="26"/>
  <c r="O52" i="26"/>
  <c r="P52" i="26"/>
  <c r="M40" i="26"/>
  <c r="M41" i="26"/>
  <c r="M42" i="26"/>
  <c r="M43" i="26"/>
  <c r="M48" i="26"/>
  <c r="M49" i="26"/>
  <c r="M51" i="26"/>
  <c r="M52" i="26"/>
  <c r="P22" i="26"/>
  <c r="M23" i="26"/>
  <c r="P23" i="26"/>
  <c r="M24" i="26"/>
  <c r="N24" i="26"/>
  <c r="O24" i="26"/>
  <c r="P24" i="26"/>
  <c r="M25" i="26"/>
  <c r="N25" i="26"/>
  <c r="O25" i="26"/>
  <c r="P25" i="26"/>
  <c r="N26" i="26"/>
  <c r="M27" i="26"/>
  <c r="N27" i="26"/>
  <c r="O27" i="26"/>
  <c r="M28" i="26"/>
  <c r="N28" i="26"/>
  <c r="O28" i="26"/>
  <c r="P28" i="26"/>
  <c r="N29" i="26"/>
  <c r="P29" i="26"/>
  <c r="N30" i="26"/>
  <c r="O30" i="26"/>
  <c r="P30" i="26"/>
  <c r="M32" i="26"/>
  <c r="N32" i="26"/>
  <c r="O32" i="26"/>
  <c r="P32" i="26"/>
  <c r="M33" i="26"/>
  <c r="N33" i="26"/>
  <c r="O33" i="26"/>
  <c r="P33" i="26"/>
  <c r="M34" i="26"/>
  <c r="N34" i="26"/>
  <c r="P34" i="26"/>
  <c r="N21" i="26"/>
  <c r="O21" i="26"/>
  <c r="P21" i="26"/>
  <c r="M4" i="26"/>
  <c r="O4" i="26"/>
  <c r="P4" i="26"/>
  <c r="M5" i="26"/>
  <c r="N5" i="26"/>
  <c r="O5" i="26"/>
  <c r="P5" i="26"/>
  <c r="M7" i="26"/>
  <c r="N7" i="26"/>
  <c r="O7" i="26"/>
  <c r="P7" i="26"/>
  <c r="M8" i="26"/>
  <c r="N8" i="26"/>
  <c r="O8" i="26"/>
  <c r="P8" i="26"/>
  <c r="M9" i="26"/>
  <c r="O9" i="26"/>
  <c r="M10" i="26"/>
  <c r="N10" i="26"/>
  <c r="O10" i="26"/>
  <c r="P10" i="26"/>
  <c r="M11" i="26"/>
  <c r="N11" i="26"/>
  <c r="O11" i="26"/>
  <c r="M13" i="26"/>
  <c r="O13" i="26"/>
  <c r="P13" i="26"/>
  <c r="M14" i="26"/>
  <c r="N14" i="26"/>
  <c r="O14" i="26"/>
  <c r="P14" i="26"/>
  <c r="M15" i="26"/>
  <c r="N15" i="26"/>
  <c r="O15" i="26"/>
  <c r="P15" i="26"/>
  <c r="M16" i="26"/>
  <c r="N16" i="26"/>
  <c r="O16" i="26"/>
  <c r="P16" i="26"/>
  <c r="N3" i="26"/>
  <c r="O3" i="26"/>
  <c r="P3" i="26"/>
  <c r="F3" i="26"/>
  <c r="I3" i="26"/>
  <c r="J3" i="26"/>
  <c r="K3" i="26"/>
  <c r="L3" i="26"/>
  <c r="M3" i="26"/>
  <c r="E4" i="26"/>
  <c r="F4" i="26"/>
  <c r="G4" i="26"/>
  <c r="I4" i="26"/>
  <c r="L4" i="26"/>
  <c r="G5" i="26"/>
  <c r="H5" i="26"/>
  <c r="I5" i="26"/>
  <c r="J5" i="26"/>
  <c r="K5" i="26"/>
  <c r="L5" i="26"/>
  <c r="D6" i="26"/>
  <c r="E6" i="26"/>
  <c r="F6" i="26"/>
  <c r="J6" i="26"/>
  <c r="K6" i="26"/>
  <c r="L6" i="26"/>
  <c r="D7" i="26"/>
  <c r="L7" i="26"/>
  <c r="D8" i="26"/>
  <c r="E8" i="26"/>
  <c r="F8" i="26"/>
  <c r="G8" i="26"/>
  <c r="H8" i="26"/>
  <c r="I8" i="26"/>
  <c r="J8" i="26"/>
  <c r="K8" i="26"/>
  <c r="L8" i="26"/>
  <c r="D9" i="26"/>
  <c r="E9" i="26"/>
  <c r="G9" i="26"/>
  <c r="L9" i="26"/>
  <c r="E10" i="26"/>
  <c r="F10" i="26"/>
  <c r="G10" i="26"/>
  <c r="J10" i="26"/>
  <c r="K10" i="26"/>
  <c r="G11" i="26"/>
  <c r="H11" i="26"/>
  <c r="J11" i="26"/>
  <c r="D13" i="26"/>
  <c r="E13" i="26"/>
  <c r="F13" i="26"/>
  <c r="H13" i="26"/>
  <c r="I13" i="26"/>
  <c r="J13" i="26"/>
  <c r="K13" i="26"/>
  <c r="L13" i="26"/>
  <c r="D14" i="26"/>
  <c r="E14" i="26"/>
  <c r="F14" i="26"/>
  <c r="G14" i="26"/>
  <c r="H14" i="26"/>
  <c r="I14" i="26"/>
  <c r="J14" i="26"/>
  <c r="K14" i="26"/>
  <c r="L14" i="26"/>
  <c r="D15" i="26"/>
  <c r="E15" i="26"/>
  <c r="F15" i="26"/>
  <c r="G15" i="26"/>
  <c r="H15" i="26"/>
  <c r="I15" i="26"/>
  <c r="J15" i="26"/>
  <c r="K15" i="26"/>
  <c r="L15" i="26"/>
  <c r="D16" i="26"/>
  <c r="E16" i="26"/>
  <c r="F16" i="26"/>
  <c r="G16" i="26"/>
  <c r="H16" i="26"/>
  <c r="I16" i="26"/>
  <c r="J16" i="26"/>
  <c r="K16" i="26"/>
  <c r="L16" i="26"/>
  <c r="P55" i="26" l="1"/>
  <c r="O55" i="26"/>
  <c r="O72" i="26"/>
  <c r="E38" i="25"/>
  <c r="E82" i="8"/>
  <c r="E27" i="12"/>
  <c r="S27" i="12" s="1"/>
  <c r="E72" i="13"/>
  <c r="E52" i="25"/>
  <c r="E102" i="8"/>
  <c r="N5" i="25"/>
  <c r="O5" i="25"/>
  <c r="P5" i="25"/>
  <c r="N4" i="25"/>
  <c r="O4" i="25"/>
  <c r="P4" i="25"/>
  <c r="Q4" i="25"/>
  <c r="N36" i="25"/>
  <c r="O36" i="25"/>
  <c r="P36" i="25"/>
  <c r="Q36" i="25"/>
  <c r="O2" i="25"/>
  <c r="Q2" i="25"/>
  <c r="O6" i="25"/>
  <c r="P6" i="25"/>
  <c r="Q6" i="25"/>
  <c r="N29" i="25"/>
  <c r="O29" i="25"/>
  <c r="P29" i="25"/>
  <c r="Q29" i="25"/>
  <c r="N20" i="25"/>
  <c r="O20" i="25"/>
  <c r="P20" i="25"/>
  <c r="Q20" i="25"/>
  <c r="P10" i="25"/>
  <c r="Q10" i="25"/>
  <c r="N13" i="25"/>
  <c r="O13" i="25"/>
  <c r="N8" i="25"/>
  <c r="P8" i="25"/>
  <c r="Q8" i="25"/>
  <c r="O17" i="25"/>
  <c r="P17" i="25"/>
  <c r="Q17" i="25"/>
  <c r="N53" i="25"/>
  <c r="O53" i="25"/>
  <c r="P53" i="25"/>
  <c r="Q53" i="25"/>
  <c r="N22" i="25"/>
  <c r="O22" i="25"/>
  <c r="P22" i="25"/>
  <c r="Q22" i="25"/>
  <c r="O30" i="25"/>
  <c r="P30" i="25"/>
  <c r="P27" i="25"/>
  <c r="N12" i="25"/>
  <c r="P12" i="25"/>
  <c r="Q12" i="25"/>
  <c r="N26" i="25"/>
  <c r="O26" i="25"/>
  <c r="P26" i="25"/>
  <c r="N39" i="25"/>
  <c r="O39" i="25"/>
  <c r="P39" i="25"/>
  <c r="Q39" i="25"/>
  <c r="N15" i="25"/>
  <c r="P15" i="25"/>
  <c r="Q15" i="25"/>
  <c r="N24" i="25"/>
  <c r="O24" i="25"/>
  <c r="P24" i="25"/>
  <c r="Q24" i="25"/>
  <c r="N45" i="25"/>
  <c r="O45" i="25"/>
  <c r="P45" i="25"/>
  <c r="Q45" i="25"/>
  <c r="N58" i="25"/>
  <c r="O58" i="25"/>
  <c r="P58" i="25"/>
  <c r="Q58" i="25"/>
  <c r="N60" i="25"/>
  <c r="O60" i="25"/>
  <c r="P60" i="25"/>
  <c r="Q60" i="25"/>
  <c r="N56" i="25"/>
  <c r="O56" i="25"/>
  <c r="P56" i="25"/>
  <c r="Q56" i="25"/>
  <c r="O50" i="25"/>
  <c r="P50" i="25"/>
  <c r="Q50" i="25"/>
  <c r="N33" i="25"/>
  <c r="O33" i="25"/>
  <c r="P33" i="25"/>
  <c r="Q33" i="25"/>
  <c r="N57" i="25"/>
  <c r="O57" i="25"/>
  <c r="P57" i="25"/>
  <c r="Q57" i="25"/>
  <c r="N64" i="25"/>
  <c r="O64" i="25"/>
  <c r="P64" i="25"/>
  <c r="Q64" i="25"/>
  <c r="N66" i="25"/>
  <c r="O66" i="25"/>
  <c r="P66" i="25"/>
  <c r="Q66" i="25"/>
  <c r="Q3" i="25"/>
  <c r="P2" i="13"/>
  <c r="Q7" i="13"/>
  <c r="N13" i="13"/>
  <c r="O13" i="13"/>
  <c r="P13" i="13"/>
  <c r="N35" i="13"/>
  <c r="O35" i="13"/>
  <c r="P35" i="13"/>
  <c r="Q35" i="13"/>
  <c r="N11" i="13"/>
  <c r="O11" i="13"/>
  <c r="P11" i="13"/>
  <c r="Q11" i="13"/>
  <c r="N9" i="13"/>
  <c r="Q9" i="13"/>
  <c r="N55" i="13"/>
  <c r="O55" i="13"/>
  <c r="P55" i="13"/>
  <c r="Q55" i="13"/>
  <c r="O4" i="13"/>
  <c r="Q4" i="13"/>
  <c r="N27" i="13"/>
  <c r="O27" i="13"/>
  <c r="P27" i="13"/>
  <c r="Q27" i="13"/>
  <c r="O19" i="13"/>
  <c r="Q19" i="13"/>
  <c r="O14" i="13"/>
  <c r="P14" i="13"/>
  <c r="Q14" i="13"/>
  <c r="O12" i="13"/>
  <c r="Q12" i="13"/>
  <c r="N15" i="13"/>
  <c r="O15" i="13"/>
  <c r="P15" i="13"/>
  <c r="Q15" i="13"/>
  <c r="O10" i="13"/>
  <c r="P10" i="13"/>
  <c r="Q10" i="13"/>
  <c r="N48" i="13"/>
  <c r="O48" i="13"/>
  <c r="P48" i="13"/>
  <c r="Q48" i="13"/>
  <c r="N62" i="13"/>
  <c r="O62" i="13"/>
  <c r="P62" i="13"/>
  <c r="Q62" i="13"/>
  <c r="N32" i="13"/>
  <c r="O32" i="13"/>
  <c r="P32" i="13"/>
  <c r="Q32" i="13"/>
  <c r="P18" i="13"/>
  <c r="Q18" i="13"/>
  <c r="N54" i="13"/>
  <c r="O54" i="13"/>
  <c r="P54" i="13"/>
  <c r="Q54" i="13"/>
  <c r="P20" i="13"/>
  <c r="Q20" i="13"/>
  <c r="O21" i="13"/>
  <c r="P21" i="13"/>
  <c r="Q21" i="13"/>
  <c r="N25" i="13"/>
  <c r="O25" i="13"/>
  <c r="N29" i="13"/>
  <c r="O29" i="13"/>
  <c r="P29" i="13"/>
  <c r="N17" i="13"/>
  <c r="P17" i="13"/>
  <c r="Q17" i="13"/>
  <c r="O5" i="13"/>
  <c r="O31" i="13"/>
  <c r="P31" i="13"/>
  <c r="Q31" i="13"/>
  <c r="N74" i="13"/>
  <c r="O74" i="13"/>
  <c r="P74" i="13"/>
  <c r="Q74" i="13"/>
  <c r="P22" i="13"/>
  <c r="Q22" i="13"/>
  <c r="N75" i="13"/>
  <c r="O75" i="13"/>
  <c r="P75" i="13"/>
  <c r="Q75" i="13"/>
  <c r="N26" i="13"/>
  <c r="P26" i="13"/>
  <c r="Q26" i="13"/>
  <c r="N37" i="13"/>
  <c r="O37" i="13"/>
  <c r="P37" i="13"/>
  <c r="Q37" i="13"/>
  <c r="O49" i="13"/>
  <c r="P49" i="13"/>
  <c r="N42" i="13"/>
  <c r="O42" i="13"/>
  <c r="P42" i="13"/>
  <c r="Q42" i="13"/>
  <c r="N24" i="13"/>
  <c r="O24" i="13"/>
  <c r="Q24" i="13"/>
  <c r="N59" i="13"/>
  <c r="O59" i="13"/>
  <c r="P59" i="13"/>
  <c r="Q59" i="13"/>
  <c r="N43" i="13"/>
  <c r="O43" i="13"/>
  <c r="P43" i="13"/>
  <c r="Q43" i="13"/>
  <c r="N61" i="13"/>
  <c r="O61" i="13"/>
  <c r="P61" i="13"/>
  <c r="Q61" i="13"/>
  <c r="P45" i="13"/>
  <c r="N33" i="13"/>
  <c r="O33" i="13"/>
  <c r="P33" i="13"/>
  <c r="Q33" i="13"/>
  <c r="N23" i="13"/>
  <c r="P23" i="13"/>
  <c r="Q23" i="13"/>
  <c r="N39" i="13"/>
  <c r="O39" i="13"/>
  <c r="P39" i="13"/>
  <c r="Q39" i="13"/>
  <c r="N44" i="13"/>
  <c r="O44" i="13"/>
  <c r="P44" i="13"/>
  <c r="Q44" i="13"/>
  <c r="N30" i="13"/>
  <c r="P30" i="13"/>
  <c r="O40" i="13"/>
  <c r="P40" i="13"/>
  <c r="N41" i="13"/>
  <c r="O41" i="13"/>
  <c r="P41" i="13"/>
  <c r="N57" i="13"/>
  <c r="O57" i="13"/>
  <c r="P57" i="13"/>
  <c r="Q57" i="13"/>
  <c r="N28" i="13"/>
  <c r="P28" i="13"/>
  <c r="Q28" i="13"/>
  <c r="N38" i="13"/>
  <c r="O38" i="13"/>
  <c r="P38" i="13"/>
  <c r="Q38" i="13"/>
  <c r="N50" i="13"/>
  <c r="O50" i="13"/>
  <c r="P50" i="13"/>
  <c r="Q50" i="13"/>
  <c r="N60" i="13"/>
  <c r="O60" i="13"/>
  <c r="P60" i="13"/>
  <c r="Q60" i="13"/>
  <c r="N46" i="13"/>
  <c r="O46" i="13"/>
  <c r="P46" i="13"/>
  <c r="Q46" i="13"/>
  <c r="N67" i="13"/>
  <c r="O67" i="13"/>
  <c r="P67" i="13"/>
  <c r="Q67" i="13"/>
  <c r="N80" i="13"/>
  <c r="O80" i="13"/>
  <c r="P80" i="13"/>
  <c r="Q80" i="13"/>
  <c r="N71" i="13"/>
  <c r="O71" i="13"/>
  <c r="P71" i="13"/>
  <c r="Q71" i="13"/>
  <c r="N34" i="13"/>
  <c r="O34" i="13"/>
  <c r="P34" i="13"/>
  <c r="Q34" i="13"/>
  <c r="N77" i="13"/>
  <c r="O77" i="13"/>
  <c r="P77" i="13"/>
  <c r="Q77" i="13"/>
  <c r="O70" i="13"/>
  <c r="P70" i="13"/>
  <c r="Q70" i="13"/>
  <c r="N53" i="13"/>
  <c r="O53" i="13"/>
  <c r="P53" i="13"/>
  <c r="Q53" i="13"/>
  <c r="N78" i="13"/>
  <c r="O78" i="13"/>
  <c r="P78" i="13"/>
  <c r="Q78" i="13"/>
  <c r="N65" i="13"/>
  <c r="O65" i="13"/>
  <c r="P65" i="13"/>
  <c r="Q65" i="13"/>
  <c r="N82" i="13"/>
  <c r="O82" i="13"/>
  <c r="P82" i="13"/>
  <c r="Q82" i="13"/>
  <c r="N83" i="13"/>
  <c r="O83" i="13"/>
  <c r="P83" i="13"/>
  <c r="Q83" i="13"/>
  <c r="N73" i="13"/>
  <c r="O73" i="13"/>
  <c r="P73" i="13"/>
  <c r="Q73" i="13"/>
  <c r="Q6" i="13"/>
  <c r="N37" i="12"/>
  <c r="O37" i="12"/>
  <c r="P37" i="12"/>
  <c r="Q37" i="12"/>
  <c r="N31" i="12"/>
  <c r="O31" i="12"/>
  <c r="P31" i="12"/>
  <c r="Q31" i="12"/>
  <c r="N4" i="12"/>
  <c r="P4" i="12"/>
  <c r="Q4" i="12"/>
  <c r="O16" i="12"/>
  <c r="P16" i="12"/>
  <c r="Q16" i="12"/>
  <c r="N5" i="12"/>
  <c r="P5" i="12"/>
  <c r="Q5" i="12"/>
  <c r="N11" i="12"/>
  <c r="O11" i="12"/>
  <c r="P11" i="12"/>
  <c r="Q11" i="12"/>
  <c r="N25" i="12"/>
  <c r="O25" i="12"/>
  <c r="P25" i="12"/>
  <c r="Q25" i="12"/>
  <c r="N7" i="12"/>
  <c r="O7" i="12"/>
  <c r="P7" i="12"/>
  <c r="Q7" i="12"/>
  <c r="N6" i="12"/>
  <c r="O6" i="12"/>
  <c r="P6" i="12"/>
  <c r="Q6" i="12"/>
  <c r="N29" i="12"/>
  <c r="O29" i="12"/>
  <c r="P29" i="12"/>
  <c r="Q29" i="12"/>
  <c r="N30" i="12"/>
  <c r="O30" i="12"/>
  <c r="P30" i="12"/>
  <c r="Q30" i="12"/>
  <c r="N12" i="12"/>
  <c r="O12" i="12"/>
  <c r="P12" i="12"/>
  <c r="Q12" i="12"/>
  <c r="N22" i="12"/>
  <c r="O22" i="12"/>
  <c r="P22" i="12"/>
  <c r="Q22" i="12"/>
  <c r="N10" i="12"/>
  <c r="O10" i="12"/>
  <c r="P10" i="12"/>
  <c r="Q10" i="12"/>
  <c r="N14" i="12"/>
  <c r="P14" i="12"/>
  <c r="Q14" i="12"/>
  <c r="N15" i="12"/>
  <c r="O15" i="12"/>
  <c r="P15" i="12"/>
  <c r="N17" i="12"/>
  <c r="O17" i="12"/>
  <c r="P17" i="12"/>
  <c r="Q17" i="12"/>
  <c r="N24" i="12"/>
  <c r="O24" i="12"/>
  <c r="P24" i="12"/>
  <c r="Q24" i="12"/>
  <c r="N13" i="12"/>
  <c r="O13" i="12"/>
  <c r="P13" i="12"/>
  <c r="Q13" i="12"/>
  <c r="O3" i="12"/>
  <c r="P3" i="12"/>
  <c r="Q3" i="12"/>
  <c r="N23" i="12"/>
  <c r="O23" i="12"/>
  <c r="P23" i="12"/>
  <c r="Q23" i="12"/>
  <c r="N33" i="12"/>
  <c r="O33" i="12"/>
  <c r="P33" i="12"/>
  <c r="Q33" i="12"/>
  <c r="N34" i="12"/>
  <c r="O34" i="12"/>
  <c r="P34" i="12"/>
  <c r="Q34" i="12"/>
  <c r="N8" i="12"/>
  <c r="O8" i="12"/>
  <c r="Q8" i="12"/>
  <c r="N32" i="12"/>
  <c r="O32" i="12"/>
  <c r="P32" i="12"/>
  <c r="Q32" i="12"/>
  <c r="N19" i="12"/>
  <c r="O19" i="12"/>
  <c r="P19" i="12"/>
  <c r="Q19" i="12"/>
  <c r="O18" i="12"/>
  <c r="P18" i="12"/>
  <c r="Q18" i="12"/>
  <c r="N21" i="12"/>
  <c r="O21" i="12"/>
  <c r="P21" i="12"/>
  <c r="Q21" i="12"/>
  <c r="N36" i="12"/>
  <c r="O36" i="12"/>
  <c r="P36" i="12"/>
  <c r="Q36" i="12"/>
  <c r="O2" i="12"/>
  <c r="P2" i="12"/>
  <c r="Q2" i="12"/>
  <c r="M2" i="8"/>
  <c r="P2" i="8"/>
  <c r="M7" i="8"/>
  <c r="Q7" i="8"/>
  <c r="M8" i="8"/>
  <c r="N13" i="8"/>
  <c r="O13" i="8"/>
  <c r="P13" i="8"/>
  <c r="M42" i="8"/>
  <c r="N42" i="8"/>
  <c r="O42" i="8"/>
  <c r="P42" i="8"/>
  <c r="Q42" i="8"/>
  <c r="M11" i="8"/>
  <c r="N11" i="8"/>
  <c r="O11" i="8"/>
  <c r="P11" i="8"/>
  <c r="Q11" i="8"/>
  <c r="N9" i="8"/>
  <c r="Q9" i="8"/>
  <c r="N15" i="8"/>
  <c r="O15" i="8"/>
  <c r="P15" i="8"/>
  <c r="Q15" i="8"/>
  <c r="M79" i="8"/>
  <c r="N79" i="8"/>
  <c r="O79" i="8"/>
  <c r="P79" i="8"/>
  <c r="Q79" i="8"/>
  <c r="O4" i="8"/>
  <c r="M30" i="8"/>
  <c r="N30" i="8"/>
  <c r="O30" i="8"/>
  <c r="P30" i="8"/>
  <c r="Q30" i="8"/>
  <c r="O20" i="8"/>
  <c r="Q20" i="8"/>
  <c r="O14" i="8"/>
  <c r="P14" i="8"/>
  <c r="Q14" i="8"/>
  <c r="M101" i="8"/>
  <c r="N101" i="8"/>
  <c r="O101" i="8"/>
  <c r="P101" i="8"/>
  <c r="Q101" i="8"/>
  <c r="O12" i="8"/>
  <c r="Q12" i="8"/>
  <c r="M16" i="8"/>
  <c r="N16" i="8"/>
  <c r="O16" i="8"/>
  <c r="P16" i="8"/>
  <c r="Q16" i="8"/>
  <c r="O10" i="8"/>
  <c r="P10" i="8"/>
  <c r="Q10" i="8"/>
  <c r="M63" i="8"/>
  <c r="N63" i="8"/>
  <c r="O63" i="8"/>
  <c r="P63" i="8"/>
  <c r="Q63" i="8"/>
  <c r="M88" i="8"/>
  <c r="N88" i="8"/>
  <c r="O88" i="8"/>
  <c r="P88" i="8"/>
  <c r="Q88" i="8"/>
  <c r="M39" i="8"/>
  <c r="N39" i="8"/>
  <c r="O39" i="8"/>
  <c r="P39" i="8"/>
  <c r="Q39" i="8"/>
  <c r="M19" i="8"/>
  <c r="P19" i="8"/>
  <c r="Q19" i="8"/>
  <c r="M78" i="8"/>
  <c r="N78" i="8"/>
  <c r="O78" i="8"/>
  <c r="P78" i="8"/>
  <c r="Q78" i="8"/>
  <c r="P21" i="8"/>
  <c r="Q21" i="8"/>
  <c r="M22" i="8"/>
  <c r="O22" i="8"/>
  <c r="P22" i="8"/>
  <c r="Q22" i="8"/>
  <c r="N27" i="8"/>
  <c r="O27" i="8"/>
  <c r="M34" i="8"/>
  <c r="N34" i="8"/>
  <c r="O34" i="8"/>
  <c r="P34" i="8"/>
  <c r="M18" i="8"/>
  <c r="N18" i="8"/>
  <c r="P18" i="8"/>
  <c r="Q18" i="8"/>
  <c r="O5" i="8"/>
  <c r="M36" i="8"/>
  <c r="O36" i="8"/>
  <c r="P36" i="8"/>
  <c r="Q36" i="8"/>
  <c r="M104" i="8"/>
  <c r="N104" i="8"/>
  <c r="O104" i="8"/>
  <c r="P104" i="8"/>
  <c r="Q104" i="8"/>
  <c r="M24" i="8"/>
  <c r="P24" i="8"/>
  <c r="Q24" i="8"/>
  <c r="M105" i="8"/>
  <c r="N105" i="8"/>
  <c r="O105" i="8"/>
  <c r="P105" i="8"/>
  <c r="Q105" i="8"/>
  <c r="M28" i="8"/>
  <c r="N28" i="8"/>
  <c r="P28" i="8"/>
  <c r="Q28" i="8"/>
  <c r="N44" i="8"/>
  <c r="O44" i="8"/>
  <c r="P44" i="8"/>
  <c r="Q44" i="8"/>
  <c r="M67" i="8"/>
  <c r="O67" i="8"/>
  <c r="P67" i="8"/>
  <c r="M51" i="8"/>
  <c r="N51" i="8"/>
  <c r="O51" i="8"/>
  <c r="P51" i="8"/>
  <c r="Q51" i="8"/>
  <c r="M26" i="8"/>
  <c r="N26" i="8"/>
  <c r="O26" i="8"/>
  <c r="Q26" i="8"/>
  <c r="M85" i="8"/>
  <c r="N85" i="8"/>
  <c r="O85" i="8"/>
  <c r="P85" i="8"/>
  <c r="Q85" i="8"/>
  <c r="M52" i="8"/>
  <c r="N52" i="8"/>
  <c r="O52" i="8"/>
  <c r="P52" i="8"/>
  <c r="Q52" i="8"/>
  <c r="M87" i="8"/>
  <c r="N87" i="8"/>
  <c r="O87" i="8"/>
  <c r="P87" i="8"/>
  <c r="Q87" i="8"/>
  <c r="N29" i="8"/>
  <c r="P29" i="8"/>
  <c r="Q29" i="8"/>
  <c r="M62" i="8"/>
  <c r="O62" i="8"/>
  <c r="P62" i="8"/>
  <c r="Q62" i="8"/>
  <c r="P54" i="8"/>
  <c r="M31" i="8"/>
  <c r="N31" i="8"/>
  <c r="P31" i="8"/>
  <c r="Q31" i="8"/>
  <c r="M55" i="8"/>
  <c r="N55" i="8"/>
  <c r="O55" i="8"/>
  <c r="P55" i="8"/>
  <c r="Q55" i="8"/>
  <c r="N40" i="8"/>
  <c r="O40" i="8"/>
  <c r="P40" i="8"/>
  <c r="Q40" i="8"/>
  <c r="M25" i="8"/>
  <c r="N25" i="8"/>
  <c r="P25" i="8"/>
  <c r="Q25" i="8"/>
  <c r="M47" i="8"/>
  <c r="N47" i="8"/>
  <c r="O47" i="8"/>
  <c r="P47" i="8"/>
  <c r="Q47" i="8"/>
  <c r="M77" i="8"/>
  <c r="N77" i="8"/>
  <c r="O77" i="8"/>
  <c r="P77" i="8"/>
  <c r="Q77" i="8"/>
  <c r="M37" i="8"/>
  <c r="N37" i="8"/>
  <c r="O37" i="8"/>
  <c r="P37" i="8"/>
  <c r="Q37" i="8"/>
  <c r="M53" i="8"/>
  <c r="N53" i="8"/>
  <c r="O53" i="8"/>
  <c r="P53" i="8"/>
  <c r="Q53" i="8"/>
  <c r="M33" i="8"/>
  <c r="N33" i="8"/>
  <c r="O33" i="8"/>
  <c r="P33" i="8"/>
  <c r="Q33" i="8"/>
  <c r="M96" i="8"/>
  <c r="N96" i="8"/>
  <c r="O96" i="8"/>
  <c r="P96" i="8"/>
  <c r="Q96" i="8"/>
  <c r="M97" i="8"/>
  <c r="N97" i="8"/>
  <c r="O97" i="8"/>
  <c r="P97" i="8"/>
  <c r="Q97" i="8"/>
  <c r="M35" i="8"/>
  <c r="N35" i="8"/>
  <c r="P35" i="8"/>
  <c r="O48" i="8"/>
  <c r="P48" i="8"/>
  <c r="M50" i="8"/>
  <c r="N50" i="8"/>
  <c r="O50" i="8"/>
  <c r="P50" i="8"/>
  <c r="M56" i="8"/>
  <c r="N56" i="8"/>
  <c r="O56" i="8"/>
  <c r="P56" i="8"/>
  <c r="Q56" i="8"/>
  <c r="M72" i="8"/>
  <c r="N72" i="8"/>
  <c r="O72" i="8"/>
  <c r="P72" i="8"/>
  <c r="Q72" i="8"/>
  <c r="M49" i="8"/>
  <c r="N49" i="8"/>
  <c r="O49" i="8"/>
  <c r="P49" i="8"/>
  <c r="Q49" i="8"/>
  <c r="M83" i="8"/>
  <c r="N83" i="8"/>
  <c r="O83" i="8"/>
  <c r="P83" i="8"/>
  <c r="Q83" i="8"/>
  <c r="M32" i="8"/>
  <c r="N32" i="8"/>
  <c r="P32" i="8"/>
  <c r="Q32" i="8"/>
  <c r="M58" i="8"/>
  <c r="N58" i="8"/>
  <c r="P58" i="8"/>
  <c r="Q58" i="8"/>
  <c r="M59" i="8"/>
  <c r="N59" i="8"/>
  <c r="O59" i="8"/>
  <c r="P59" i="8"/>
  <c r="M64" i="8"/>
  <c r="N64" i="8"/>
  <c r="O64" i="8"/>
  <c r="P64" i="8"/>
  <c r="Q64" i="8"/>
  <c r="M76" i="8"/>
  <c r="N76" i="8"/>
  <c r="O76" i="8"/>
  <c r="P76" i="8"/>
  <c r="Q76" i="8"/>
  <c r="M46" i="8"/>
  <c r="N46" i="8"/>
  <c r="O46" i="8"/>
  <c r="P46" i="8"/>
  <c r="Q46" i="8"/>
  <c r="M57" i="8"/>
  <c r="N57" i="8"/>
  <c r="O57" i="8"/>
  <c r="P57" i="8"/>
  <c r="Q57" i="8"/>
  <c r="M68" i="8"/>
  <c r="N68" i="8"/>
  <c r="O68" i="8"/>
  <c r="P68" i="8"/>
  <c r="Q68" i="8"/>
  <c r="M86" i="8"/>
  <c r="N86" i="8"/>
  <c r="O86" i="8"/>
  <c r="P86" i="8"/>
  <c r="Q86" i="8"/>
  <c r="M60" i="8"/>
  <c r="N60" i="8"/>
  <c r="O60" i="8"/>
  <c r="P60" i="8"/>
  <c r="Q60" i="8"/>
  <c r="M94" i="8"/>
  <c r="N94" i="8"/>
  <c r="O94" i="8"/>
  <c r="P94" i="8"/>
  <c r="Q94" i="8"/>
  <c r="O23" i="8"/>
  <c r="P23" i="8"/>
  <c r="Q23" i="8"/>
  <c r="M111" i="8"/>
  <c r="N111" i="8"/>
  <c r="O111" i="8"/>
  <c r="P111" i="8"/>
  <c r="Q111" i="8"/>
  <c r="M100" i="8"/>
  <c r="N100" i="8"/>
  <c r="O100" i="8"/>
  <c r="P100" i="8"/>
  <c r="Q100" i="8"/>
  <c r="N41" i="8"/>
  <c r="O41" i="8"/>
  <c r="P41" i="8"/>
  <c r="Q41" i="8"/>
  <c r="M112" i="8"/>
  <c r="N112" i="8"/>
  <c r="O112" i="8"/>
  <c r="P112" i="8"/>
  <c r="Q112" i="8"/>
  <c r="M113" i="8"/>
  <c r="N113" i="8"/>
  <c r="O113" i="8"/>
  <c r="P113" i="8"/>
  <c r="Q113" i="8"/>
  <c r="M108" i="8"/>
  <c r="N108" i="8"/>
  <c r="O108" i="8"/>
  <c r="P108" i="8"/>
  <c r="Q108" i="8"/>
  <c r="N38" i="8"/>
  <c r="O38" i="8"/>
  <c r="Q38" i="8"/>
  <c r="M107" i="8"/>
  <c r="N107" i="8"/>
  <c r="O107" i="8"/>
  <c r="P107" i="8"/>
  <c r="Q107" i="8"/>
  <c r="M66" i="8"/>
  <c r="N66" i="8"/>
  <c r="O66" i="8"/>
  <c r="P66" i="8"/>
  <c r="Q66" i="8"/>
  <c r="M65" i="8"/>
  <c r="O65" i="8"/>
  <c r="P65" i="8"/>
  <c r="Q65" i="8"/>
  <c r="M99" i="8"/>
  <c r="O99" i="8"/>
  <c r="P99" i="8"/>
  <c r="Q99" i="8"/>
  <c r="M71" i="8"/>
  <c r="N71" i="8"/>
  <c r="O71" i="8"/>
  <c r="P71" i="8"/>
  <c r="Q71" i="8"/>
  <c r="M74" i="8"/>
  <c r="N74" i="8"/>
  <c r="O74" i="8"/>
  <c r="P74" i="8"/>
  <c r="Q74" i="8"/>
  <c r="M116" i="8"/>
  <c r="N116" i="8"/>
  <c r="O116" i="8"/>
  <c r="P116" i="8"/>
  <c r="Q116" i="8"/>
  <c r="M109" i="8"/>
  <c r="N109" i="8"/>
  <c r="O109" i="8"/>
  <c r="P109" i="8"/>
  <c r="Q109" i="8"/>
  <c r="M91" i="8"/>
  <c r="N91" i="8"/>
  <c r="O91" i="8"/>
  <c r="P91" i="8"/>
  <c r="Q91" i="8"/>
  <c r="M117" i="8"/>
  <c r="N117" i="8"/>
  <c r="O117" i="8"/>
  <c r="P117" i="8"/>
  <c r="Q117" i="8"/>
  <c r="M118" i="8"/>
  <c r="N118" i="8"/>
  <c r="O118" i="8"/>
  <c r="P118" i="8"/>
  <c r="Q118" i="8"/>
  <c r="M110" i="8"/>
  <c r="N110" i="8"/>
  <c r="O110" i="8"/>
  <c r="P110" i="8"/>
  <c r="Q110" i="8"/>
  <c r="M103" i="8"/>
  <c r="N103" i="8"/>
  <c r="O103" i="8"/>
  <c r="P103" i="8"/>
  <c r="Q103" i="8"/>
  <c r="Q6" i="8"/>
  <c r="C2" i="22"/>
  <c r="C18" i="12"/>
  <c r="F18" i="12"/>
  <c r="G18" i="12"/>
  <c r="H18" i="12"/>
  <c r="I18" i="12"/>
  <c r="J18" i="12"/>
  <c r="K18" i="12"/>
  <c r="L18" i="12"/>
  <c r="M18" i="12"/>
  <c r="T18" i="12"/>
  <c r="C73" i="13"/>
  <c r="E73" i="13"/>
  <c r="F73" i="13"/>
  <c r="G73" i="13"/>
  <c r="H73" i="13"/>
  <c r="I73" i="13"/>
  <c r="J73" i="13"/>
  <c r="K73" i="13"/>
  <c r="L73" i="13"/>
  <c r="M73" i="13"/>
  <c r="T73" i="13"/>
  <c r="T72" i="22"/>
  <c r="T104" i="22"/>
  <c r="T86" i="22"/>
  <c r="E103" i="8"/>
  <c r="F103" i="8"/>
  <c r="G103" i="8"/>
  <c r="H103" i="8"/>
  <c r="I103" i="8"/>
  <c r="J103" i="8"/>
  <c r="K103" i="8"/>
  <c r="L103" i="8"/>
  <c r="U111" i="8"/>
  <c r="AE111" i="8"/>
  <c r="F65" i="8"/>
  <c r="G65" i="8"/>
  <c r="H65" i="8"/>
  <c r="I65" i="8"/>
  <c r="J65" i="8"/>
  <c r="K65" i="8"/>
  <c r="L65" i="8"/>
  <c r="U65" i="8"/>
  <c r="AE65" i="8"/>
  <c r="R2" i="22" l="1"/>
  <c r="U76" i="22"/>
  <c r="U10" i="22"/>
  <c r="U3" i="22"/>
  <c r="U70" i="22"/>
  <c r="U23" i="22"/>
  <c r="U45" i="22"/>
  <c r="U90" i="22"/>
  <c r="U29" i="22"/>
  <c r="U94" i="22"/>
  <c r="U73" i="22"/>
  <c r="U87" i="22"/>
  <c r="U5" i="22"/>
  <c r="U11" i="22"/>
  <c r="U28" i="22"/>
  <c r="U46" i="22"/>
  <c r="U15" i="22"/>
  <c r="U107" i="22"/>
  <c r="U69" i="22"/>
  <c r="U6" i="22"/>
  <c r="U96" i="22"/>
  <c r="U62" i="22"/>
  <c r="U13" i="22"/>
  <c r="U16" i="22"/>
  <c r="U27" i="22"/>
  <c r="U86" i="22"/>
  <c r="U93" i="22"/>
  <c r="U36" i="22"/>
  <c r="U56" i="22"/>
  <c r="U110" i="22"/>
  <c r="U53" i="22"/>
  <c r="U26" i="22"/>
  <c r="U12" i="22"/>
  <c r="U44" i="22"/>
  <c r="U63" i="22"/>
  <c r="U14" i="22"/>
  <c r="U91" i="22"/>
  <c r="U101" i="22"/>
  <c r="U37" i="22"/>
  <c r="U98" i="22"/>
  <c r="U22" i="22"/>
  <c r="U50" i="22"/>
  <c r="U24" i="22"/>
  <c r="U18" i="22"/>
  <c r="U65" i="22"/>
  <c r="U105" i="22"/>
  <c r="U40" i="22"/>
  <c r="U30" i="22"/>
  <c r="U9" i="22"/>
  <c r="C65" i="13"/>
  <c r="E65" i="13"/>
  <c r="F65" i="13"/>
  <c r="G65" i="13"/>
  <c r="H65" i="13"/>
  <c r="I65" i="13"/>
  <c r="J65" i="13"/>
  <c r="K65" i="13"/>
  <c r="L65" i="13"/>
  <c r="M65" i="13"/>
  <c r="T65" i="13"/>
  <c r="E91" i="8"/>
  <c r="F91" i="8"/>
  <c r="G91" i="8"/>
  <c r="H91" i="8"/>
  <c r="I91" i="8"/>
  <c r="J91" i="8"/>
  <c r="K91" i="8"/>
  <c r="L91" i="8"/>
  <c r="U102" i="8"/>
  <c r="AE102" i="8"/>
  <c r="T99" i="22"/>
  <c r="T92" i="22"/>
  <c r="T91" i="22"/>
  <c r="T113" i="22"/>
  <c r="T114" i="22"/>
  <c r="C50" i="25"/>
  <c r="E50" i="25"/>
  <c r="F50" i="25"/>
  <c r="G50" i="25"/>
  <c r="H50" i="25"/>
  <c r="I50" i="25"/>
  <c r="J50" i="25"/>
  <c r="K50" i="25"/>
  <c r="L50" i="25"/>
  <c r="M50" i="25"/>
  <c r="T50" i="25"/>
  <c r="C57" i="25"/>
  <c r="E57" i="25"/>
  <c r="F57" i="25"/>
  <c r="G57" i="25"/>
  <c r="H57" i="25"/>
  <c r="I57" i="25"/>
  <c r="J57" i="25"/>
  <c r="K57" i="25"/>
  <c r="L57" i="25"/>
  <c r="M57" i="25"/>
  <c r="T57" i="25"/>
  <c r="C33" i="25"/>
  <c r="E33" i="25"/>
  <c r="F33" i="25"/>
  <c r="G33" i="25"/>
  <c r="H33" i="25"/>
  <c r="I33" i="25"/>
  <c r="J33" i="25"/>
  <c r="K33" i="25"/>
  <c r="M33" i="25"/>
  <c r="T33" i="25"/>
  <c r="C66" i="25"/>
  <c r="E66" i="25"/>
  <c r="F66" i="25"/>
  <c r="G66" i="25"/>
  <c r="H66" i="25"/>
  <c r="I66" i="25"/>
  <c r="J66" i="25"/>
  <c r="K66" i="25"/>
  <c r="L66" i="25"/>
  <c r="M66" i="25"/>
  <c r="T66" i="25"/>
  <c r="C60" i="25"/>
  <c r="E60" i="25"/>
  <c r="F60" i="25"/>
  <c r="G60" i="25"/>
  <c r="H60" i="25"/>
  <c r="I60" i="25"/>
  <c r="J60" i="25"/>
  <c r="K60" i="25"/>
  <c r="L60" i="25"/>
  <c r="M60" i="25"/>
  <c r="T60" i="25"/>
  <c r="C70" i="13"/>
  <c r="E70" i="13"/>
  <c r="F70" i="13"/>
  <c r="G70" i="13"/>
  <c r="H70" i="13"/>
  <c r="I70" i="13"/>
  <c r="J70" i="13"/>
  <c r="K70" i="13"/>
  <c r="L70" i="13"/>
  <c r="M70" i="13"/>
  <c r="T70" i="13"/>
  <c r="C78" i="13"/>
  <c r="E78" i="13"/>
  <c r="F78" i="13"/>
  <c r="G78" i="13"/>
  <c r="H78" i="13"/>
  <c r="I78" i="13"/>
  <c r="J78" i="13"/>
  <c r="K78" i="13"/>
  <c r="L78" i="13"/>
  <c r="M78" i="13"/>
  <c r="T78" i="13"/>
  <c r="C83" i="13"/>
  <c r="E83" i="13"/>
  <c r="F83" i="13"/>
  <c r="G83" i="13"/>
  <c r="H83" i="13"/>
  <c r="I83" i="13"/>
  <c r="J83" i="13"/>
  <c r="K83" i="13"/>
  <c r="L83" i="13"/>
  <c r="M83" i="13"/>
  <c r="T83" i="13"/>
  <c r="E37" i="8"/>
  <c r="F37" i="8"/>
  <c r="G37" i="8"/>
  <c r="H37" i="8"/>
  <c r="I37" i="8"/>
  <c r="J37" i="8"/>
  <c r="K37" i="8"/>
  <c r="L37" i="8"/>
  <c r="U43" i="8"/>
  <c r="AE43" i="8"/>
  <c r="C21" i="12"/>
  <c r="E21" i="12"/>
  <c r="F21" i="12"/>
  <c r="G21" i="12"/>
  <c r="H21" i="12"/>
  <c r="I21" i="12"/>
  <c r="J21" i="12"/>
  <c r="K21" i="12"/>
  <c r="M21" i="12"/>
  <c r="T21" i="12"/>
  <c r="C34" i="12"/>
  <c r="E34" i="12"/>
  <c r="F34" i="12"/>
  <c r="G34" i="12"/>
  <c r="H34" i="12"/>
  <c r="I34" i="12"/>
  <c r="J34" i="12"/>
  <c r="K34" i="12"/>
  <c r="L34" i="12"/>
  <c r="M34" i="12"/>
  <c r="T34" i="12"/>
  <c r="E113" i="8"/>
  <c r="F113" i="8"/>
  <c r="G113" i="8"/>
  <c r="H113" i="8"/>
  <c r="I113" i="8"/>
  <c r="J113" i="8"/>
  <c r="K113" i="8"/>
  <c r="L113" i="8"/>
  <c r="U113" i="8"/>
  <c r="AE113" i="8"/>
  <c r="E109" i="8"/>
  <c r="F109" i="8"/>
  <c r="G109" i="8"/>
  <c r="H109" i="8"/>
  <c r="I109" i="8"/>
  <c r="J109" i="8"/>
  <c r="K109" i="8"/>
  <c r="L109" i="8"/>
  <c r="U108" i="8"/>
  <c r="AE108" i="8"/>
  <c r="E71" i="8"/>
  <c r="F71" i="8"/>
  <c r="G71" i="8"/>
  <c r="H71" i="8"/>
  <c r="I71" i="8"/>
  <c r="J71" i="8"/>
  <c r="K71" i="8"/>
  <c r="U71" i="8"/>
  <c r="AE71" i="8"/>
  <c r="E110" i="8"/>
  <c r="F110" i="8"/>
  <c r="G110" i="8"/>
  <c r="H110" i="8"/>
  <c r="I110" i="8"/>
  <c r="J110" i="8"/>
  <c r="K110" i="8"/>
  <c r="L110" i="8"/>
  <c r="U119" i="8"/>
  <c r="AE119" i="8"/>
  <c r="U112" i="22" l="1"/>
  <c r="U111" i="22"/>
  <c r="U109" i="22"/>
  <c r="U100" i="22"/>
  <c r="U99" i="22"/>
  <c r="U79" i="22"/>
  <c r="U80" i="22"/>
  <c r="U102" i="22"/>
  <c r="U49" i="22"/>
  <c r="U17" i="22"/>
  <c r="U4" i="22"/>
  <c r="U7" i="22"/>
  <c r="U38" i="22"/>
  <c r="U55" i="22"/>
  <c r="U113" i="22"/>
  <c r="U116" i="22"/>
  <c r="U20" i="22"/>
  <c r="U21" i="22"/>
  <c r="U81" i="22"/>
  <c r="U82" i="22"/>
  <c r="U71" i="22"/>
  <c r="U104" i="22"/>
  <c r="U8" i="22"/>
  <c r="U41" i="22"/>
  <c r="U43" i="22"/>
  <c r="U66" i="22"/>
  <c r="U47" i="22"/>
  <c r="U68" i="22"/>
  <c r="U33" i="22"/>
  <c r="U34" i="22"/>
  <c r="U74" i="22"/>
  <c r="U83" i="22"/>
  <c r="U72" i="22"/>
  <c r="U67" i="22"/>
  <c r="U48" i="22"/>
  <c r="U106" i="22"/>
  <c r="U60" i="22"/>
  <c r="U54" i="22"/>
  <c r="U57" i="22"/>
  <c r="U31" i="22"/>
  <c r="U32" i="22"/>
  <c r="U42" i="22"/>
  <c r="U35" i="22"/>
  <c r="U64" i="22"/>
  <c r="U97" i="22"/>
  <c r="U51" i="22"/>
  <c r="U89" i="22"/>
  <c r="U77" i="22"/>
  <c r="U78" i="22"/>
  <c r="U114" i="22"/>
  <c r="U118" i="22"/>
  <c r="U88" i="22"/>
  <c r="U103" i="22"/>
  <c r="U108" i="22"/>
  <c r="U115" i="22"/>
  <c r="U92" i="22"/>
  <c r="U58" i="22"/>
  <c r="U25" i="22"/>
  <c r="U85" i="22"/>
  <c r="U39" i="22"/>
  <c r="U59" i="22"/>
  <c r="B181" i="4"/>
  <c r="G181" i="4"/>
  <c r="I181" i="4" s="1"/>
  <c r="N181" i="4"/>
  <c r="O181" i="4"/>
  <c r="P181" i="4"/>
  <c r="Q181" i="4"/>
  <c r="T181" i="4"/>
  <c r="W181" i="4"/>
  <c r="B182" i="4"/>
  <c r="G182" i="4"/>
  <c r="I182" i="4" s="1"/>
  <c r="N182" i="4"/>
  <c r="O182" i="4"/>
  <c r="P182" i="4"/>
  <c r="Q182" i="4"/>
  <c r="T182" i="4"/>
  <c r="W182" i="4"/>
  <c r="B183" i="4"/>
  <c r="G183" i="4"/>
  <c r="I183" i="4" s="1"/>
  <c r="N183" i="4"/>
  <c r="O183" i="4"/>
  <c r="P183" i="4"/>
  <c r="Q183" i="4"/>
  <c r="R183" i="4"/>
  <c r="T183" i="4"/>
  <c r="W183" i="4"/>
  <c r="B184" i="4"/>
  <c r="G184" i="4"/>
  <c r="I184" i="4" s="1"/>
  <c r="N184" i="4"/>
  <c r="O184" i="4"/>
  <c r="P184" i="4"/>
  <c r="Q184" i="4"/>
  <c r="T184" i="4"/>
  <c r="W184" i="4"/>
  <c r="B185" i="4"/>
  <c r="G185" i="4"/>
  <c r="I185" i="4" s="1"/>
  <c r="N185" i="4"/>
  <c r="O185" i="4"/>
  <c r="P185" i="4"/>
  <c r="Q185" i="4"/>
  <c r="R185" i="4"/>
  <c r="T185" i="4"/>
  <c r="W185" i="4"/>
  <c r="B186" i="4"/>
  <c r="G186" i="4"/>
  <c r="I186" i="4" s="1"/>
  <c r="N186" i="4"/>
  <c r="O186" i="4"/>
  <c r="P186" i="4"/>
  <c r="Q186" i="4"/>
  <c r="R186" i="4"/>
  <c r="T186" i="4"/>
  <c r="W186" i="4"/>
  <c r="B187" i="4"/>
  <c r="G187" i="4"/>
  <c r="I187" i="4" s="1"/>
  <c r="N187" i="4"/>
  <c r="O187" i="4"/>
  <c r="P187" i="4"/>
  <c r="Q187" i="4"/>
  <c r="T187" i="4"/>
  <c r="W187" i="4"/>
  <c r="B188" i="4"/>
  <c r="G188" i="4"/>
  <c r="I188" i="4" s="1"/>
  <c r="N188" i="4"/>
  <c r="O188" i="4"/>
  <c r="P188" i="4"/>
  <c r="Q188" i="4"/>
  <c r="T188" i="4"/>
  <c r="W188" i="4"/>
  <c r="B189" i="4"/>
  <c r="G189" i="4"/>
  <c r="I189" i="4" s="1"/>
  <c r="N189" i="4"/>
  <c r="O189" i="4"/>
  <c r="P189" i="4"/>
  <c r="Q189" i="4"/>
  <c r="T189" i="4"/>
  <c r="W189" i="4"/>
  <c r="B190" i="4"/>
  <c r="G190" i="4"/>
  <c r="I190" i="4" s="1"/>
  <c r="N190" i="4"/>
  <c r="O190" i="4"/>
  <c r="P190" i="4"/>
  <c r="Q190" i="4"/>
  <c r="R190" i="4"/>
  <c r="T190" i="4"/>
  <c r="W190" i="4"/>
  <c r="B191" i="4"/>
  <c r="G191" i="4"/>
  <c r="I191" i="4" s="1"/>
  <c r="N191" i="4"/>
  <c r="O191" i="4"/>
  <c r="P191" i="4"/>
  <c r="Q191" i="4"/>
  <c r="R191" i="4"/>
  <c r="T191" i="4"/>
  <c r="W191" i="4"/>
  <c r="B192" i="4"/>
  <c r="G192" i="4"/>
  <c r="I192" i="4" s="1"/>
  <c r="N192" i="4"/>
  <c r="O192" i="4"/>
  <c r="P192" i="4"/>
  <c r="Q192" i="4"/>
  <c r="T192" i="4"/>
  <c r="W192" i="4"/>
  <c r="B157" i="4"/>
  <c r="G157" i="4"/>
  <c r="I157" i="4" s="1"/>
  <c r="N157" i="4"/>
  <c r="O157" i="4"/>
  <c r="P157" i="4"/>
  <c r="Q157" i="4"/>
  <c r="R157" i="4"/>
  <c r="T157" i="4"/>
  <c r="W157" i="4"/>
  <c r="B158" i="4"/>
  <c r="G158" i="4"/>
  <c r="I158" i="4" s="1"/>
  <c r="N158" i="4"/>
  <c r="O158" i="4"/>
  <c r="P158" i="4"/>
  <c r="Q158" i="4"/>
  <c r="R158" i="4"/>
  <c r="T158" i="4"/>
  <c r="W158" i="4"/>
  <c r="B159" i="4"/>
  <c r="G159" i="4"/>
  <c r="I159" i="4" s="1"/>
  <c r="N159" i="4"/>
  <c r="O159" i="4"/>
  <c r="P159" i="4"/>
  <c r="Q159" i="4"/>
  <c r="R159" i="4"/>
  <c r="T159" i="4"/>
  <c r="W159" i="4"/>
  <c r="B160" i="4"/>
  <c r="G160" i="4"/>
  <c r="I160" i="4" s="1"/>
  <c r="N160" i="4"/>
  <c r="O160" i="4"/>
  <c r="P160" i="4"/>
  <c r="Q160" i="4"/>
  <c r="R160" i="4"/>
  <c r="T160" i="4"/>
  <c r="W160" i="4"/>
  <c r="B161" i="4"/>
  <c r="G161" i="4"/>
  <c r="I161" i="4" s="1"/>
  <c r="N161" i="4"/>
  <c r="O161" i="4"/>
  <c r="P161" i="4"/>
  <c r="Q161" i="4"/>
  <c r="R161" i="4"/>
  <c r="T161" i="4"/>
  <c r="W161" i="4"/>
  <c r="B162" i="4"/>
  <c r="G162" i="4"/>
  <c r="I162" i="4" s="1"/>
  <c r="N162" i="4"/>
  <c r="O162" i="4"/>
  <c r="P162" i="4"/>
  <c r="Q162" i="4"/>
  <c r="T162" i="4"/>
  <c r="W162" i="4"/>
  <c r="B163" i="4"/>
  <c r="G163" i="4"/>
  <c r="I163" i="4" s="1"/>
  <c r="N163" i="4"/>
  <c r="O163" i="4"/>
  <c r="P163" i="4"/>
  <c r="Q163" i="4"/>
  <c r="R163" i="4"/>
  <c r="T163" i="4"/>
  <c r="W163" i="4"/>
  <c r="B164" i="4"/>
  <c r="G164" i="4"/>
  <c r="I164" i="4" s="1"/>
  <c r="N164" i="4"/>
  <c r="O164" i="4"/>
  <c r="P164" i="4"/>
  <c r="Q164" i="4"/>
  <c r="T164" i="4"/>
  <c r="W164" i="4"/>
  <c r="B165" i="4"/>
  <c r="G165" i="4"/>
  <c r="I165" i="4" s="1"/>
  <c r="N165" i="4"/>
  <c r="O165" i="4"/>
  <c r="P165" i="4"/>
  <c r="Q165" i="4"/>
  <c r="R165" i="4"/>
  <c r="T165" i="4"/>
  <c r="W165" i="4"/>
  <c r="B166" i="4"/>
  <c r="G166" i="4"/>
  <c r="I166" i="4" s="1"/>
  <c r="N166" i="4"/>
  <c r="O166" i="4"/>
  <c r="P166" i="4"/>
  <c r="Q166" i="4"/>
  <c r="T166" i="4"/>
  <c r="W166" i="4"/>
  <c r="B167" i="4"/>
  <c r="G167" i="4"/>
  <c r="I167" i="4" s="1"/>
  <c r="N167" i="4"/>
  <c r="O167" i="4"/>
  <c r="P167" i="4"/>
  <c r="Q167" i="4"/>
  <c r="R167" i="4"/>
  <c r="T167" i="4"/>
  <c r="W167" i="4"/>
  <c r="B168" i="4"/>
  <c r="G168" i="4"/>
  <c r="I168" i="4" s="1"/>
  <c r="N168" i="4"/>
  <c r="O168" i="4"/>
  <c r="P168" i="4"/>
  <c r="Q168" i="4"/>
  <c r="R168" i="4"/>
  <c r="T168" i="4"/>
  <c r="W168" i="4"/>
  <c r="B169" i="4"/>
  <c r="G169" i="4"/>
  <c r="I169" i="4" s="1"/>
  <c r="N169" i="4"/>
  <c r="O169" i="4"/>
  <c r="P169" i="4"/>
  <c r="Q169" i="4"/>
  <c r="R169" i="4"/>
  <c r="T169" i="4"/>
  <c r="W169" i="4"/>
  <c r="B170" i="4"/>
  <c r="G170" i="4"/>
  <c r="I170" i="4" s="1"/>
  <c r="N170" i="4"/>
  <c r="O170" i="4"/>
  <c r="P170" i="4"/>
  <c r="Q170" i="4"/>
  <c r="R170" i="4"/>
  <c r="T170" i="4"/>
  <c r="W170" i="4"/>
  <c r="B171" i="4"/>
  <c r="G171" i="4"/>
  <c r="I171" i="4" s="1"/>
  <c r="N171" i="4"/>
  <c r="O171" i="4"/>
  <c r="P171" i="4"/>
  <c r="Q171" i="4"/>
  <c r="R171" i="4"/>
  <c r="T171" i="4"/>
  <c r="W171" i="4"/>
  <c r="B172" i="4"/>
  <c r="G172" i="4"/>
  <c r="I172" i="4" s="1"/>
  <c r="N172" i="4"/>
  <c r="O172" i="4"/>
  <c r="P172" i="4"/>
  <c r="Q172" i="4"/>
  <c r="R172" i="4"/>
  <c r="T172" i="4"/>
  <c r="W172" i="4"/>
  <c r="B173" i="4"/>
  <c r="G173" i="4"/>
  <c r="I173" i="4" s="1"/>
  <c r="N173" i="4"/>
  <c r="O173" i="4"/>
  <c r="P173" i="4"/>
  <c r="Q173" i="4"/>
  <c r="R173" i="4"/>
  <c r="T173" i="4"/>
  <c r="W173" i="4"/>
  <c r="B174" i="4"/>
  <c r="G174" i="4"/>
  <c r="I174" i="4" s="1"/>
  <c r="N174" i="4"/>
  <c r="O174" i="4"/>
  <c r="P174" i="4"/>
  <c r="Q174" i="4"/>
  <c r="R174" i="4"/>
  <c r="T174" i="4"/>
  <c r="W174" i="4"/>
  <c r="B175" i="4"/>
  <c r="G175" i="4"/>
  <c r="I175" i="4" s="1"/>
  <c r="N175" i="4"/>
  <c r="O175" i="4"/>
  <c r="P175" i="4"/>
  <c r="Q175" i="4"/>
  <c r="R175" i="4"/>
  <c r="T175" i="4"/>
  <c r="W175" i="4"/>
  <c r="B176" i="4"/>
  <c r="G176" i="4"/>
  <c r="I176" i="4" s="1"/>
  <c r="N176" i="4"/>
  <c r="O176" i="4"/>
  <c r="P176" i="4"/>
  <c r="Q176" i="4"/>
  <c r="R176" i="4"/>
  <c r="T176" i="4"/>
  <c r="W176" i="4"/>
  <c r="B177" i="4"/>
  <c r="G177" i="4"/>
  <c r="I177" i="4" s="1"/>
  <c r="N177" i="4"/>
  <c r="O177" i="4"/>
  <c r="P177" i="4"/>
  <c r="Q177" i="4"/>
  <c r="R177" i="4"/>
  <c r="T177" i="4"/>
  <c r="W177" i="4"/>
  <c r="B178" i="4"/>
  <c r="G178" i="4"/>
  <c r="I178" i="4" s="1"/>
  <c r="N178" i="4"/>
  <c r="O178" i="4"/>
  <c r="P178" i="4"/>
  <c r="Q178" i="4"/>
  <c r="R178" i="4"/>
  <c r="T178" i="4"/>
  <c r="W178" i="4"/>
  <c r="B179" i="4"/>
  <c r="G179" i="4"/>
  <c r="I179" i="4" s="1"/>
  <c r="N179" i="4"/>
  <c r="O179" i="4"/>
  <c r="P179" i="4"/>
  <c r="Q179" i="4"/>
  <c r="R179" i="4"/>
  <c r="T179" i="4"/>
  <c r="W179" i="4"/>
  <c r="B180" i="4"/>
  <c r="G180" i="4"/>
  <c r="I180" i="4" s="1"/>
  <c r="N180" i="4"/>
  <c r="O180" i="4"/>
  <c r="P180" i="4"/>
  <c r="Q180" i="4"/>
  <c r="T180" i="4"/>
  <c r="W180" i="4"/>
  <c r="B149" i="4"/>
  <c r="G149" i="4"/>
  <c r="I149" i="4" s="1"/>
  <c r="N149" i="4"/>
  <c r="O149" i="4"/>
  <c r="P149" i="4"/>
  <c r="Q149" i="4"/>
  <c r="T149" i="4"/>
  <c r="W149" i="4"/>
  <c r="B150" i="4"/>
  <c r="G150" i="4"/>
  <c r="I150" i="4" s="1"/>
  <c r="N150" i="4"/>
  <c r="O150" i="4"/>
  <c r="P150" i="4"/>
  <c r="Q150" i="4"/>
  <c r="R150" i="4"/>
  <c r="T150" i="4"/>
  <c r="W150" i="4"/>
  <c r="B151" i="4"/>
  <c r="G151" i="4"/>
  <c r="I151" i="4" s="1"/>
  <c r="N151" i="4"/>
  <c r="O151" i="4"/>
  <c r="P151" i="4"/>
  <c r="Q151" i="4"/>
  <c r="R151" i="4"/>
  <c r="T151" i="4"/>
  <c r="W151" i="4"/>
  <c r="B152" i="4"/>
  <c r="G152" i="4"/>
  <c r="I152" i="4" s="1"/>
  <c r="N152" i="4"/>
  <c r="O152" i="4"/>
  <c r="P152" i="4"/>
  <c r="Q152" i="4"/>
  <c r="R152" i="4"/>
  <c r="T152" i="4"/>
  <c r="W152" i="4"/>
  <c r="B153" i="4"/>
  <c r="G153" i="4"/>
  <c r="I153" i="4" s="1"/>
  <c r="N153" i="4"/>
  <c r="O153" i="4"/>
  <c r="P153" i="4"/>
  <c r="Q153" i="4"/>
  <c r="T153" i="4"/>
  <c r="W153" i="4"/>
  <c r="B154" i="4"/>
  <c r="J154" i="4" s="1"/>
  <c r="G154" i="4"/>
  <c r="N154" i="4"/>
  <c r="O154" i="4"/>
  <c r="P154" i="4"/>
  <c r="Q154" i="4"/>
  <c r="R154" i="4"/>
  <c r="T154" i="4"/>
  <c r="W154" i="4"/>
  <c r="B155" i="4"/>
  <c r="G155" i="4"/>
  <c r="I155" i="4" s="1"/>
  <c r="N155" i="4"/>
  <c r="O155" i="4"/>
  <c r="P155" i="4"/>
  <c r="Q155" i="4"/>
  <c r="R155" i="4"/>
  <c r="T155" i="4"/>
  <c r="W155" i="4"/>
  <c r="B156" i="4"/>
  <c r="G156" i="4"/>
  <c r="I156" i="4" s="1"/>
  <c r="N156" i="4"/>
  <c r="O156" i="4"/>
  <c r="P156" i="4"/>
  <c r="Q156" i="4"/>
  <c r="R156" i="4"/>
  <c r="T156" i="4"/>
  <c r="W156" i="4"/>
  <c r="B139" i="4"/>
  <c r="G139" i="4"/>
  <c r="I139" i="4" s="1"/>
  <c r="N139" i="4"/>
  <c r="O139" i="4"/>
  <c r="P139" i="4"/>
  <c r="Q139" i="4"/>
  <c r="R139" i="4"/>
  <c r="T139" i="4"/>
  <c r="W139" i="4"/>
  <c r="B140" i="4"/>
  <c r="G140" i="4"/>
  <c r="I140" i="4" s="1"/>
  <c r="N140" i="4"/>
  <c r="O140" i="4"/>
  <c r="P140" i="4"/>
  <c r="Q140" i="4"/>
  <c r="T140" i="4"/>
  <c r="W140" i="4"/>
  <c r="B141" i="4"/>
  <c r="G141" i="4"/>
  <c r="I141" i="4" s="1"/>
  <c r="N141" i="4"/>
  <c r="O141" i="4"/>
  <c r="P141" i="4"/>
  <c r="Q141" i="4"/>
  <c r="R141" i="4"/>
  <c r="T141" i="4"/>
  <c r="W141" i="4"/>
  <c r="B142" i="4"/>
  <c r="G142" i="4"/>
  <c r="I142" i="4" s="1"/>
  <c r="N142" i="4"/>
  <c r="O142" i="4"/>
  <c r="P142" i="4"/>
  <c r="Q142" i="4"/>
  <c r="R142" i="4"/>
  <c r="T142" i="4"/>
  <c r="W142" i="4"/>
  <c r="B143" i="4"/>
  <c r="G143" i="4"/>
  <c r="I143" i="4" s="1"/>
  <c r="N143" i="4"/>
  <c r="O143" i="4"/>
  <c r="P143" i="4"/>
  <c r="Q143" i="4"/>
  <c r="R143" i="4"/>
  <c r="T143" i="4"/>
  <c r="W143" i="4"/>
  <c r="B144" i="4"/>
  <c r="G144" i="4"/>
  <c r="I144" i="4" s="1"/>
  <c r="N144" i="4"/>
  <c r="O144" i="4"/>
  <c r="P144" i="4"/>
  <c r="Q144" i="4"/>
  <c r="R144" i="4"/>
  <c r="T144" i="4"/>
  <c r="W144" i="4"/>
  <c r="B145" i="4"/>
  <c r="G145" i="4"/>
  <c r="I145" i="4" s="1"/>
  <c r="N145" i="4"/>
  <c r="O145" i="4"/>
  <c r="P145" i="4"/>
  <c r="Q145" i="4"/>
  <c r="R145" i="4"/>
  <c r="T145" i="4"/>
  <c r="W145" i="4"/>
  <c r="B146" i="4"/>
  <c r="G146" i="4"/>
  <c r="I146" i="4" s="1"/>
  <c r="N146" i="4"/>
  <c r="O146" i="4"/>
  <c r="P146" i="4"/>
  <c r="Q146" i="4"/>
  <c r="T146" i="4"/>
  <c r="W146" i="4"/>
  <c r="B147" i="4"/>
  <c r="G147" i="4"/>
  <c r="I147" i="4" s="1"/>
  <c r="N147" i="4"/>
  <c r="O147" i="4"/>
  <c r="P147" i="4"/>
  <c r="Q147" i="4"/>
  <c r="R147" i="4"/>
  <c r="T147" i="4"/>
  <c r="W147" i="4"/>
  <c r="B148" i="4"/>
  <c r="G148" i="4"/>
  <c r="I148" i="4" s="1"/>
  <c r="N148" i="4"/>
  <c r="O148" i="4"/>
  <c r="P148" i="4"/>
  <c r="Q148" i="4"/>
  <c r="T148" i="4"/>
  <c r="W148" i="4"/>
  <c r="B135" i="4"/>
  <c r="G135" i="4"/>
  <c r="I135" i="4" s="1"/>
  <c r="N135" i="4"/>
  <c r="O135" i="4"/>
  <c r="P135" i="4"/>
  <c r="Q135" i="4"/>
  <c r="R135" i="4"/>
  <c r="T135" i="4"/>
  <c r="W135" i="4"/>
  <c r="B136" i="4"/>
  <c r="G136" i="4"/>
  <c r="I136" i="4" s="1"/>
  <c r="N136" i="4"/>
  <c r="O136" i="4"/>
  <c r="P136" i="4"/>
  <c r="Q136" i="4"/>
  <c r="R136" i="4"/>
  <c r="T136" i="4"/>
  <c r="W136" i="4"/>
  <c r="B137" i="4"/>
  <c r="G137" i="4"/>
  <c r="I137" i="4" s="1"/>
  <c r="N137" i="4"/>
  <c r="O137" i="4"/>
  <c r="P137" i="4"/>
  <c r="Q137" i="4"/>
  <c r="R137" i="4"/>
  <c r="T137" i="4"/>
  <c r="W137" i="4"/>
  <c r="B138" i="4"/>
  <c r="G138" i="4"/>
  <c r="I138" i="4" s="1"/>
  <c r="N138" i="4"/>
  <c r="O138" i="4"/>
  <c r="P138" i="4"/>
  <c r="Q138" i="4"/>
  <c r="R138" i="4"/>
  <c r="T138" i="4"/>
  <c r="W138" i="4"/>
  <c r="B126" i="4"/>
  <c r="G126" i="4"/>
  <c r="I126" i="4" s="1"/>
  <c r="N126" i="4"/>
  <c r="O126" i="4"/>
  <c r="P126" i="4"/>
  <c r="Q126" i="4"/>
  <c r="R126" i="4"/>
  <c r="T126" i="4"/>
  <c r="W126" i="4"/>
  <c r="B127" i="4"/>
  <c r="G127" i="4"/>
  <c r="I127" i="4" s="1"/>
  <c r="N127" i="4"/>
  <c r="O127" i="4"/>
  <c r="P127" i="4"/>
  <c r="Q127" i="4"/>
  <c r="R127" i="4"/>
  <c r="T127" i="4"/>
  <c r="W127" i="4"/>
  <c r="B128" i="4"/>
  <c r="G128" i="4"/>
  <c r="I128" i="4" s="1"/>
  <c r="N128" i="4"/>
  <c r="O128" i="4"/>
  <c r="P128" i="4"/>
  <c r="Q128" i="4"/>
  <c r="R128" i="4"/>
  <c r="T128" i="4"/>
  <c r="W128" i="4"/>
  <c r="B129" i="4"/>
  <c r="G129" i="4"/>
  <c r="I129" i="4" s="1"/>
  <c r="N129" i="4"/>
  <c r="O129" i="4"/>
  <c r="P129" i="4"/>
  <c r="Q129" i="4"/>
  <c r="R129" i="4"/>
  <c r="T129" i="4"/>
  <c r="W129" i="4"/>
  <c r="B130" i="4"/>
  <c r="G130" i="4"/>
  <c r="I130" i="4" s="1"/>
  <c r="N130" i="4"/>
  <c r="O130" i="4"/>
  <c r="P130" i="4"/>
  <c r="Q130" i="4"/>
  <c r="R130" i="4"/>
  <c r="T130" i="4"/>
  <c r="W130" i="4"/>
  <c r="B131" i="4"/>
  <c r="G131" i="4"/>
  <c r="I131" i="4" s="1"/>
  <c r="N131" i="4"/>
  <c r="O131" i="4"/>
  <c r="P131" i="4"/>
  <c r="Q131" i="4"/>
  <c r="R131" i="4"/>
  <c r="T131" i="4"/>
  <c r="W131" i="4"/>
  <c r="B132" i="4"/>
  <c r="G132" i="4"/>
  <c r="I132" i="4" s="1"/>
  <c r="N132" i="4"/>
  <c r="O132" i="4"/>
  <c r="P132" i="4"/>
  <c r="Q132" i="4"/>
  <c r="R132" i="4"/>
  <c r="T132" i="4"/>
  <c r="W132" i="4"/>
  <c r="B133" i="4"/>
  <c r="G133" i="4"/>
  <c r="I133" i="4" s="1"/>
  <c r="N133" i="4"/>
  <c r="O133" i="4"/>
  <c r="P133" i="4"/>
  <c r="Q133" i="4"/>
  <c r="R133" i="4"/>
  <c r="T133" i="4"/>
  <c r="W133" i="4"/>
  <c r="B134" i="4"/>
  <c r="G134" i="4"/>
  <c r="I134" i="4" s="1"/>
  <c r="N134" i="4"/>
  <c r="O134" i="4"/>
  <c r="P134" i="4"/>
  <c r="Q134" i="4"/>
  <c r="R134" i="4"/>
  <c r="T134" i="4"/>
  <c r="W134" i="4"/>
  <c r="S191" i="4" l="1"/>
  <c r="S175" i="4"/>
  <c r="S171" i="4"/>
  <c r="S167" i="4"/>
  <c r="S187" i="4"/>
  <c r="S163" i="4"/>
  <c r="S145" i="4"/>
  <c r="S141" i="4"/>
  <c r="S183" i="4"/>
  <c r="S151" i="4"/>
  <c r="S155" i="4"/>
  <c r="S134" i="4"/>
  <c r="S130" i="4"/>
  <c r="S126" i="4"/>
  <c r="S135" i="4"/>
  <c r="S159" i="4"/>
  <c r="S179" i="4"/>
  <c r="S184" i="4"/>
  <c r="S169" i="4"/>
  <c r="S165" i="4"/>
  <c r="S161" i="4"/>
  <c r="S157" i="4"/>
  <c r="S189" i="4"/>
  <c r="S185" i="4"/>
  <c r="S181" i="4"/>
  <c r="S133" i="4"/>
  <c r="S129" i="4"/>
  <c r="S138" i="4"/>
  <c r="S148" i="4"/>
  <c r="S144" i="4"/>
  <c r="S140" i="4"/>
  <c r="S150" i="4"/>
  <c r="S178" i="4"/>
  <c r="S174" i="4"/>
  <c r="S170" i="4"/>
  <c r="S166" i="4"/>
  <c r="S162" i="4"/>
  <c r="S158" i="4"/>
  <c r="S190" i="4"/>
  <c r="S186" i="4"/>
  <c r="S182" i="4"/>
  <c r="S131" i="4"/>
  <c r="S127" i="4"/>
  <c r="S136" i="4"/>
  <c r="S146" i="4"/>
  <c r="S142" i="4"/>
  <c r="S156" i="4"/>
  <c r="S152" i="4"/>
  <c r="S180" i="4"/>
  <c r="S176" i="4"/>
  <c r="S172" i="4"/>
  <c r="S168" i="4"/>
  <c r="S164" i="4"/>
  <c r="S160" i="4"/>
  <c r="S192" i="4"/>
  <c r="S188" i="4"/>
  <c r="S132" i="4"/>
  <c r="S128" i="4"/>
  <c r="S137" i="4"/>
  <c r="S147" i="4"/>
  <c r="S143" i="4"/>
  <c r="S139" i="4"/>
  <c r="S153" i="4"/>
  <c r="S149" i="4"/>
  <c r="S177" i="4"/>
  <c r="S173" i="4"/>
  <c r="J134" i="4"/>
  <c r="K134" i="4" s="1"/>
  <c r="J131" i="4"/>
  <c r="K131" i="4" s="1"/>
  <c r="J130" i="4"/>
  <c r="K130" i="4" s="1"/>
  <c r="J129" i="4"/>
  <c r="K129" i="4" s="1"/>
  <c r="J126" i="4"/>
  <c r="K126" i="4" s="1"/>
  <c r="J138" i="4"/>
  <c r="K138" i="4" s="1"/>
  <c r="J137" i="4"/>
  <c r="K137" i="4" s="1"/>
  <c r="J135" i="4"/>
  <c r="K135" i="4" s="1"/>
  <c r="J147" i="4"/>
  <c r="K147" i="4" s="1"/>
  <c r="J144" i="4"/>
  <c r="K144" i="4" s="1"/>
  <c r="J142" i="4"/>
  <c r="K142" i="4" s="1"/>
  <c r="J140" i="4"/>
  <c r="K140" i="4" s="1"/>
  <c r="J139" i="4"/>
  <c r="K139" i="4" s="1"/>
  <c r="J152" i="4"/>
  <c r="K152" i="4" s="1"/>
  <c r="J151" i="4"/>
  <c r="K151" i="4" s="1"/>
  <c r="J150" i="4"/>
  <c r="K150" i="4" s="1"/>
  <c r="J149" i="4"/>
  <c r="K149" i="4" s="1"/>
  <c r="J177" i="4"/>
  <c r="K177" i="4" s="1"/>
  <c r="J176" i="4"/>
  <c r="K176" i="4" s="1"/>
  <c r="J175" i="4"/>
  <c r="K175" i="4" s="1"/>
  <c r="J173" i="4"/>
  <c r="K173" i="4" s="1"/>
  <c r="J172" i="4"/>
  <c r="K172" i="4" s="1"/>
  <c r="J169" i="4"/>
  <c r="K169" i="4" s="1"/>
  <c r="J167" i="4"/>
  <c r="K167" i="4" s="1"/>
  <c r="J164" i="4"/>
  <c r="K164" i="4" s="1"/>
  <c r="J163" i="4"/>
  <c r="K163" i="4" s="1"/>
  <c r="J162" i="4"/>
  <c r="K162" i="4" s="1"/>
  <c r="J161" i="4"/>
  <c r="K161" i="4" s="1"/>
  <c r="J160" i="4"/>
  <c r="K160" i="4" s="1"/>
  <c r="J157" i="4"/>
  <c r="K157" i="4" s="1"/>
  <c r="J192" i="4"/>
  <c r="K192" i="4" s="1"/>
  <c r="J189" i="4"/>
  <c r="K189" i="4" s="1"/>
  <c r="J188" i="4"/>
  <c r="K188" i="4" s="1"/>
  <c r="J187" i="4"/>
  <c r="K187" i="4" s="1"/>
  <c r="J186" i="4"/>
  <c r="K186" i="4" s="1"/>
  <c r="J185" i="4"/>
  <c r="K185" i="4" s="1"/>
  <c r="J184" i="4"/>
  <c r="K184" i="4" s="1"/>
  <c r="J181" i="4"/>
  <c r="K181" i="4" s="1"/>
  <c r="J183" i="4"/>
  <c r="K183" i="4" s="1"/>
  <c r="J191" i="4"/>
  <c r="K191" i="4" s="1"/>
  <c r="J182" i="4"/>
  <c r="J190" i="4"/>
  <c r="J166" i="4"/>
  <c r="K166" i="4" s="1"/>
  <c r="J171" i="4"/>
  <c r="K171" i="4" s="1"/>
  <c r="J170" i="4"/>
  <c r="K170" i="4" s="1"/>
  <c r="K154" i="4"/>
  <c r="J155" i="4"/>
  <c r="K155" i="4" s="1"/>
  <c r="J178" i="4"/>
  <c r="K178" i="4" s="1"/>
  <c r="J168" i="4"/>
  <c r="J165" i="4"/>
  <c r="K165" i="4" s="1"/>
  <c r="J174" i="4"/>
  <c r="K174" i="4" s="1"/>
  <c r="J180" i="4"/>
  <c r="K180" i="4" s="1"/>
  <c r="J159" i="4"/>
  <c r="K159" i="4" s="1"/>
  <c r="J158" i="4"/>
  <c r="J179" i="4"/>
  <c r="J153" i="4"/>
  <c r="K153" i="4" s="1"/>
  <c r="J156" i="4"/>
  <c r="J148" i="4"/>
  <c r="K148" i="4" s="1"/>
  <c r="J146" i="4"/>
  <c r="K146" i="4" s="1"/>
  <c r="J143" i="4"/>
  <c r="K143" i="4" s="1"/>
  <c r="J141" i="4"/>
  <c r="K141" i="4" s="1"/>
  <c r="J145" i="4"/>
  <c r="J136" i="4"/>
  <c r="K136" i="4" s="1"/>
  <c r="J133" i="4"/>
  <c r="K133" i="4" s="1"/>
  <c r="J128" i="4"/>
  <c r="K128" i="4" s="1"/>
  <c r="J132" i="4"/>
  <c r="J127" i="4"/>
  <c r="B101" i="4"/>
  <c r="G101" i="4"/>
  <c r="I101" i="4" s="1"/>
  <c r="N101" i="4"/>
  <c r="O101" i="4"/>
  <c r="P101" i="4"/>
  <c r="Q101" i="4"/>
  <c r="T101" i="4"/>
  <c r="W101" i="4"/>
  <c r="B102" i="4"/>
  <c r="G102" i="4"/>
  <c r="I102" i="4" s="1"/>
  <c r="N102" i="4"/>
  <c r="O102" i="4"/>
  <c r="P102" i="4"/>
  <c r="Q102" i="4"/>
  <c r="R102" i="4"/>
  <c r="T102" i="4"/>
  <c r="W102" i="4"/>
  <c r="B103" i="4"/>
  <c r="G103" i="4"/>
  <c r="I103" i="4" s="1"/>
  <c r="N103" i="4"/>
  <c r="O103" i="4"/>
  <c r="P103" i="4"/>
  <c r="Q103" i="4"/>
  <c r="R103" i="4"/>
  <c r="T103" i="4"/>
  <c r="W103" i="4"/>
  <c r="B104" i="4"/>
  <c r="G104" i="4"/>
  <c r="I104" i="4" s="1"/>
  <c r="N104" i="4"/>
  <c r="O104" i="4"/>
  <c r="P104" i="4"/>
  <c r="Q104" i="4"/>
  <c r="T104" i="4"/>
  <c r="W104" i="4"/>
  <c r="B105" i="4"/>
  <c r="G105" i="4"/>
  <c r="I105" i="4" s="1"/>
  <c r="N105" i="4"/>
  <c r="O105" i="4"/>
  <c r="P105" i="4"/>
  <c r="Q105" i="4"/>
  <c r="T105" i="4"/>
  <c r="W105" i="4"/>
  <c r="B106" i="4"/>
  <c r="G106" i="4"/>
  <c r="I106" i="4" s="1"/>
  <c r="N106" i="4"/>
  <c r="O106" i="4"/>
  <c r="P106" i="4"/>
  <c r="Q106" i="4"/>
  <c r="T106" i="4"/>
  <c r="W106" i="4"/>
  <c r="B107" i="4"/>
  <c r="G107" i="4"/>
  <c r="I107" i="4" s="1"/>
  <c r="N107" i="4"/>
  <c r="O107" i="4"/>
  <c r="P107" i="4"/>
  <c r="Q107" i="4"/>
  <c r="R107" i="4"/>
  <c r="T107" i="4"/>
  <c r="W107" i="4"/>
  <c r="B108" i="4"/>
  <c r="G108" i="4"/>
  <c r="I108" i="4" s="1"/>
  <c r="N108" i="4"/>
  <c r="O108" i="4"/>
  <c r="P108" i="4"/>
  <c r="Q108" i="4"/>
  <c r="R108" i="4"/>
  <c r="T108" i="4"/>
  <c r="W108" i="4"/>
  <c r="B109" i="4"/>
  <c r="G109" i="4"/>
  <c r="I109" i="4" s="1"/>
  <c r="N109" i="4"/>
  <c r="O109" i="4"/>
  <c r="P109" i="4"/>
  <c r="Q109" i="4"/>
  <c r="T109" i="4"/>
  <c r="W109" i="4"/>
  <c r="B110" i="4"/>
  <c r="G110" i="4"/>
  <c r="I110" i="4" s="1"/>
  <c r="N110" i="4"/>
  <c r="O110" i="4"/>
  <c r="P110" i="4"/>
  <c r="Q110" i="4"/>
  <c r="R110" i="4"/>
  <c r="T110" i="4"/>
  <c r="W110" i="4"/>
  <c r="B111" i="4"/>
  <c r="G111" i="4"/>
  <c r="I111" i="4" s="1"/>
  <c r="N111" i="4"/>
  <c r="O111" i="4"/>
  <c r="P111" i="4"/>
  <c r="Q111" i="4"/>
  <c r="T111" i="4"/>
  <c r="W111" i="4"/>
  <c r="B112" i="4"/>
  <c r="G112" i="4"/>
  <c r="I112" i="4" s="1"/>
  <c r="N112" i="4"/>
  <c r="O112" i="4"/>
  <c r="P112" i="4"/>
  <c r="Q112" i="4"/>
  <c r="R112" i="4"/>
  <c r="T112" i="4"/>
  <c r="W112" i="4"/>
  <c r="B113" i="4"/>
  <c r="G113" i="4"/>
  <c r="I113" i="4" s="1"/>
  <c r="N113" i="4"/>
  <c r="O113" i="4"/>
  <c r="P113" i="4"/>
  <c r="Q113" i="4"/>
  <c r="R113" i="4"/>
  <c r="T113" i="4"/>
  <c r="W113" i="4"/>
  <c r="B114" i="4"/>
  <c r="G114" i="4"/>
  <c r="I114" i="4" s="1"/>
  <c r="N114" i="4"/>
  <c r="O114" i="4"/>
  <c r="P114" i="4"/>
  <c r="Q114" i="4"/>
  <c r="T114" i="4"/>
  <c r="W114" i="4"/>
  <c r="B115" i="4"/>
  <c r="G115" i="4"/>
  <c r="I115" i="4" s="1"/>
  <c r="N115" i="4"/>
  <c r="O115" i="4"/>
  <c r="P115" i="4"/>
  <c r="Q115" i="4"/>
  <c r="R115" i="4"/>
  <c r="T115" i="4"/>
  <c r="W115" i="4"/>
  <c r="B116" i="4"/>
  <c r="G116" i="4"/>
  <c r="I116" i="4" s="1"/>
  <c r="N116" i="4"/>
  <c r="O116" i="4"/>
  <c r="P116" i="4"/>
  <c r="Q116" i="4"/>
  <c r="R116" i="4"/>
  <c r="T116" i="4"/>
  <c r="W116" i="4"/>
  <c r="B117" i="4"/>
  <c r="J117" i="4" s="1"/>
  <c r="K117" i="4" s="1"/>
  <c r="G117" i="4"/>
  <c r="N117" i="4"/>
  <c r="O117" i="4"/>
  <c r="P117" i="4"/>
  <c r="Q117" i="4"/>
  <c r="R117" i="4"/>
  <c r="T117" i="4"/>
  <c r="W117" i="4"/>
  <c r="B118" i="4"/>
  <c r="G118" i="4"/>
  <c r="I118" i="4" s="1"/>
  <c r="N118" i="4"/>
  <c r="O118" i="4"/>
  <c r="P118" i="4"/>
  <c r="Q118" i="4"/>
  <c r="R118" i="4"/>
  <c r="T118" i="4"/>
  <c r="W118" i="4"/>
  <c r="B119" i="4"/>
  <c r="G119" i="4"/>
  <c r="I119" i="4" s="1"/>
  <c r="N119" i="4"/>
  <c r="O119" i="4"/>
  <c r="P119" i="4"/>
  <c r="Q119" i="4"/>
  <c r="R119" i="4"/>
  <c r="T119" i="4"/>
  <c r="W119" i="4"/>
  <c r="B120" i="4"/>
  <c r="G120" i="4"/>
  <c r="I120" i="4" s="1"/>
  <c r="N120" i="4"/>
  <c r="O120" i="4"/>
  <c r="P120" i="4"/>
  <c r="Q120" i="4"/>
  <c r="R120" i="4"/>
  <c r="T120" i="4"/>
  <c r="W120" i="4"/>
  <c r="B121" i="4"/>
  <c r="G121" i="4"/>
  <c r="I121" i="4" s="1"/>
  <c r="N121" i="4"/>
  <c r="O121" i="4"/>
  <c r="P121" i="4"/>
  <c r="Q121" i="4"/>
  <c r="R121" i="4"/>
  <c r="T121" i="4"/>
  <c r="W121" i="4"/>
  <c r="B122" i="4"/>
  <c r="G122" i="4"/>
  <c r="I122" i="4" s="1"/>
  <c r="N122" i="4"/>
  <c r="O122" i="4"/>
  <c r="P122" i="4"/>
  <c r="Q122" i="4"/>
  <c r="R122" i="4"/>
  <c r="T122" i="4"/>
  <c r="W122" i="4"/>
  <c r="B123" i="4"/>
  <c r="G123" i="4"/>
  <c r="I123" i="4" s="1"/>
  <c r="N123" i="4"/>
  <c r="O123" i="4"/>
  <c r="P123" i="4"/>
  <c r="Q123" i="4"/>
  <c r="R123" i="4"/>
  <c r="T123" i="4"/>
  <c r="W123" i="4"/>
  <c r="B124" i="4"/>
  <c r="G124" i="4"/>
  <c r="I124" i="4" s="1"/>
  <c r="N124" i="4"/>
  <c r="O124" i="4"/>
  <c r="P124" i="4"/>
  <c r="Q124" i="4"/>
  <c r="T124" i="4"/>
  <c r="W124" i="4"/>
  <c r="B125" i="4"/>
  <c r="G125" i="4"/>
  <c r="I125" i="4" s="1"/>
  <c r="N125" i="4"/>
  <c r="O125" i="4"/>
  <c r="P125" i="4"/>
  <c r="Q125" i="4"/>
  <c r="R125" i="4"/>
  <c r="T125" i="4"/>
  <c r="W125" i="4"/>
  <c r="S123" i="4" l="1"/>
  <c r="S119" i="4"/>
  <c r="S115" i="4"/>
  <c r="S111" i="4"/>
  <c r="S107" i="4"/>
  <c r="S103" i="4"/>
  <c r="S125" i="4"/>
  <c r="S121" i="4"/>
  <c r="S113" i="4"/>
  <c r="S109" i="4"/>
  <c r="S105" i="4"/>
  <c r="S101" i="4"/>
  <c r="S122" i="4"/>
  <c r="S118" i="4"/>
  <c r="S114" i="4"/>
  <c r="S110" i="4"/>
  <c r="S106" i="4"/>
  <c r="S102" i="4"/>
  <c r="S124" i="4"/>
  <c r="S120" i="4"/>
  <c r="S116" i="4"/>
  <c r="S112" i="4"/>
  <c r="S108" i="4"/>
  <c r="S104" i="4"/>
  <c r="J125" i="4"/>
  <c r="K125" i="4" s="1"/>
  <c r="J122" i="4"/>
  <c r="K122" i="4" s="1"/>
  <c r="J120" i="4"/>
  <c r="K120" i="4" s="1"/>
  <c r="J118" i="4"/>
  <c r="K118" i="4" s="1"/>
  <c r="J116" i="4"/>
  <c r="K116" i="4" s="1"/>
  <c r="J115" i="4"/>
  <c r="K115" i="4" s="1"/>
  <c r="J113" i="4"/>
  <c r="K113" i="4" s="1"/>
  <c r="J110" i="4"/>
  <c r="K110" i="4" s="1"/>
  <c r="J109" i="4"/>
  <c r="K109" i="4" s="1"/>
  <c r="J108" i="4"/>
  <c r="K108" i="4" s="1"/>
  <c r="J106" i="4"/>
  <c r="K106" i="4" s="1"/>
  <c r="J105" i="4"/>
  <c r="K105" i="4" s="1"/>
  <c r="J104" i="4"/>
  <c r="K104" i="4" s="1"/>
  <c r="J103" i="4"/>
  <c r="K103" i="4" s="1"/>
  <c r="J102" i="4"/>
  <c r="K102" i="4" s="1"/>
  <c r="J101" i="4"/>
  <c r="K101" i="4" s="1"/>
  <c r="Z186" i="4"/>
  <c r="Z184" i="4"/>
  <c r="Z192" i="4"/>
  <c r="Z191" i="4"/>
  <c r="Z189" i="4"/>
  <c r="Z188" i="4"/>
  <c r="Z187" i="4"/>
  <c r="Z185" i="4"/>
  <c r="Z183" i="4"/>
  <c r="Z181" i="4"/>
  <c r="Z173" i="4"/>
  <c r="Z169" i="4"/>
  <c r="Z180" i="4"/>
  <c r="Z178" i="4"/>
  <c r="Z177" i="4"/>
  <c r="Z176" i="4"/>
  <c r="Z175" i="4"/>
  <c r="U173" i="4"/>
  <c r="D55" i="8" s="1"/>
  <c r="Z172" i="4"/>
  <c r="Z171" i="4"/>
  <c r="Z170" i="4"/>
  <c r="Z167" i="4"/>
  <c r="Z130" i="4"/>
  <c r="Z137" i="4"/>
  <c r="Z162" i="4"/>
  <c r="Z165" i="4"/>
  <c r="Z136" i="4"/>
  <c r="Z141" i="4"/>
  <c r="Z126" i="4"/>
  <c r="Z143" i="4"/>
  <c r="Z149" i="4"/>
  <c r="Z160" i="4"/>
  <c r="Z117" i="4"/>
  <c r="Z139" i="4"/>
  <c r="Z146" i="4"/>
  <c r="Z150" i="4"/>
  <c r="Z166" i="4"/>
  <c r="Z161" i="4"/>
  <c r="Z138" i="4"/>
  <c r="Z142" i="4"/>
  <c r="Z159" i="4"/>
  <c r="Z147" i="4"/>
  <c r="Z155" i="4"/>
  <c r="Z135" i="4"/>
  <c r="Z148" i="4"/>
  <c r="Z152" i="4"/>
  <c r="Z128" i="4"/>
  <c r="Z129" i="4"/>
  <c r="Z133" i="4"/>
  <c r="Z140" i="4"/>
  <c r="Z163" i="4"/>
  <c r="Z154" i="4"/>
  <c r="Z144" i="4"/>
  <c r="Z153" i="4"/>
  <c r="Z134" i="4"/>
  <c r="Z151" i="4"/>
  <c r="Z164" i="4"/>
  <c r="U161" i="4"/>
  <c r="D105" i="8" s="1"/>
  <c r="Z131" i="4"/>
  <c r="Z157" i="4"/>
  <c r="U183" i="4"/>
  <c r="U171" i="4"/>
  <c r="D9" i="8" s="1"/>
  <c r="U151" i="4"/>
  <c r="D74" i="8" s="1"/>
  <c r="U191" i="4"/>
  <c r="U176" i="4"/>
  <c r="D12" i="8" s="1"/>
  <c r="U186" i="4"/>
  <c r="U159" i="4"/>
  <c r="D76" i="8" s="1"/>
  <c r="K190" i="4"/>
  <c r="K182" i="4"/>
  <c r="U185" i="4"/>
  <c r="U170" i="4"/>
  <c r="D39" i="8" s="1"/>
  <c r="U152" i="4"/>
  <c r="U178" i="4"/>
  <c r="D62" i="8" s="1"/>
  <c r="U155" i="4"/>
  <c r="D28" i="8" s="1"/>
  <c r="Z174" i="4"/>
  <c r="U174" i="4"/>
  <c r="D5" i="8" s="1"/>
  <c r="K168" i="4"/>
  <c r="U150" i="4"/>
  <c r="D85" i="8" s="1"/>
  <c r="K179" i="4"/>
  <c r="U163" i="4"/>
  <c r="D48" i="8" s="1"/>
  <c r="K158" i="4"/>
  <c r="U157" i="4"/>
  <c r="D113" i="8" s="1"/>
  <c r="U165" i="4"/>
  <c r="D53" i="8" s="1"/>
  <c r="U160" i="4"/>
  <c r="D60" i="8" s="1"/>
  <c r="U167" i="4"/>
  <c r="D59" i="8" s="1"/>
  <c r="U175" i="4"/>
  <c r="D52" i="8" s="1"/>
  <c r="U172" i="4"/>
  <c r="D19" i="8" s="1"/>
  <c r="U177" i="4"/>
  <c r="D40" i="8" s="1"/>
  <c r="U169" i="4"/>
  <c r="D103" i="8" s="1"/>
  <c r="U137" i="4"/>
  <c r="D66" i="8" s="1"/>
  <c r="K156" i="4"/>
  <c r="U143" i="4"/>
  <c r="D24" i="8" s="1"/>
  <c r="U130" i="4"/>
  <c r="D29" i="8" s="1"/>
  <c r="U141" i="4"/>
  <c r="D83" i="8" s="1"/>
  <c r="U142" i="4"/>
  <c r="D36" i="8" s="1"/>
  <c r="U147" i="4"/>
  <c r="K145" i="4"/>
  <c r="U139" i="4"/>
  <c r="D111" i="8" s="1"/>
  <c r="U144" i="4"/>
  <c r="D32" i="8" s="1"/>
  <c r="U131" i="4"/>
  <c r="U126" i="4"/>
  <c r="D108" i="8" s="1"/>
  <c r="U136" i="4"/>
  <c r="D78" i="8" s="1"/>
  <c r="U128" i="4"/>
  <c r="U135" i="4"/>
  <c r="D51" i="8" s="1"/>
  <c r="U133" i="4"/>
  <c r="D47" i="8" s="1"/>
  <c r="U138" i="4"/>
  <c r="D41" i="25" s="1"/>
  <c r="K132" i="4"/>
  <c r="U129" i="4"/>
  <c r="D18" i="8" s="1"/>
  <c r="U134" i="4"/>
  <c r="D15" i="8" s="1"/>
  <c r="K127" i="4"/>
  <c r="J119" i="4"/>
  <c r="K119" i="4" s="1"/>
  <c r="J114" i="4"/>
  <c r="K114" i="4" s="1"/>
  <c r="J121" i="4"/>
  <c r="K121" i="4" s="1"/>
  <c r="J124" i="4"/>
  <c r="J112" i="4"/>
  <c r="J107" i="4"/>
  <c r="J111" i="4"/>
  <c r="J123" i="4"/>
  <c r="E60" i="13"/>
  <c r="F60" i="13"/>
  <c r="G60" i="13"/>
  <c r="I60" i="13"/>
  <c r="J60" i="13"/>
  <c r="K60" i="13"/>
  <c r="L60" i="13"/>
  <c r="M60" i="13"/>
  <c r="T60" i="13"/>
  <c r="D110" i="8" l="1"/>
  <c r="D119" i="8"/>
  <c r="D37" i="8"/>
  <c r="D18" i="25"/>
  <c r="D56" i="8"/>
  <c r="D28" i="25"/>
  <c r="D49" i="8"/>
  <c r="D25" i="25"/>
  <c r="E9" i="12"/>
  <c r="E45" i="8"/>
  <c r="E23" i="25"/>
  <c r="D25" i="26"/>
  <c r="Z190" i="4"/>
  <c r="D10" i="26"/>
  <c r="Z182" i="4"/>
  <c r="D60" i="13"/>
  <c r="D86" i="8"/>
  <c r="Z179" i="4"/>
  <c r="D73" i="13"/>
  <c r="Z168" i="4"/>
  <c r="Z106" i="4"/>
  <c r="Z110" i="4"/>
  <c r="Z115" i="4"/>
  <c r="Z122" i="4"/>
  <c r="Z145" i="4"/>
  <c r="Z102" i="4"/>
  <c r="Z127" i="4"/>
  <c r="Z121" i="4"/>
  <c r="Z132" i="4"/>
  <c r="Z156" i="4"/>
  <c r="Z158" i="4"/>
  <c r="Z113" i="4"/>
  <c r="Z101" i="4"/>
  <c r="Z118" i="4"/>
  <c r="Z114" i="4"/>
  <c r="Z105" i="4"/>
  <c r="Z120" i="4"/>
  <c r="Z108" i="4"/>
  <c r="Z116" i="4"/>
  <c r="Z104" i="4"/>
  <c r="Z109" i="4"/>
  <c r="Z125" i="4"/>
  <c r="Z119" i="4"/>
  <c r="D60" i="25"/>
  <c r="D34" i="12"/>
  <c r="S34" i="12" s="1"/>
  <c r="Z103" i="4"/>
  <c r="D66" i="25"/>
  <c r="D83" i="13"/>
  <c r="U190" i="4"/>
  <c r="E28" i="25" s="1"/>
  <c r="U158" i="4"/>
  <c r="U168" i="4"/>
  <c r="D30" i="12" s="1"/>
  <c r="U179" i="4"/>
  <c r="D65" i="8" s="1"/>
  <c r="U156" i="4"/>
  <c r="U145" i="4"/>
  <c r="D100" i="8" s="1"/>
  <c r="U120" i="4"/>
  <c r="U132" i="4"/>
  <c r="U127" i="4"/>
  <c r="U115" i="4"/>
  <c r="U103" i="4"/>
  <c r="D91" i="8" s="1"/>
  <c r="U119" i="4"/>
  <c r="D57" i="8" s="1"/>
  <c r="U110" i="4"/>
  <c r="D67" i="8" s="1"/>
  <c r="U108" i="4"/>
  <c r="K107" i="4"/>
  <c r="U125" i="4"/>
  <c r="U118" i="4"/>
  <c r="D22" i="8" s="1"/>
  <c r="K123" i="4"/>
  <c r="U116" i="4"/>
  <c r="D64" i="8" s="1"/>
  <c r="K112" i="4"/>
  <c r="U122" i="4"/>
  <c r="D17" i="8" s="1"/>
  <c r="K111" i="4"/>
  <c r="U113" i="4"/>
  <c r="D104" i="8" s="1"/>
  <c r="K124" i="4"/>
  <c r="U121" i="4"/>
  <c r="U102" i="4"/>
  <c r="D75" i="8" s="1"/>
  <c r="T45" i="22"/>
  <c r="E2" i="25"/>
  <c r="F2" i="25"/>
  <c r="G2" i="25"/>
  <c r="K2" i="25"/>
  <c r="T2" i="25"/>
  <c r="S2" i="20"/>
  <c r="T55" i="22"/>
  <c r="T62" i="22"/>
  <c r="T87" i="22"/>
  <c r="T76" i="22"/>
  <c r="T110" i="22"/>
  <c r="T50" i="22"/>
  <c r="T12" i="22"/>
  <c r="T102" i="22"/>
  <c r="T111" i="22"/>
  <c r="T101" i="22"/>
  <c r="T67" i="22"/>
  <c r="T13" i="22"/>
  <c r="T15" i="22"/>
  <c r="T65" i="22"/>
  <c r="T112" i="22"/>
  <c r="T59" i="22"/>
  <c r="T51" i="22"/>
  <c r="T90" i="22"/>
  <c r="T14" i="22"/>
  <c r="T2" i="22"/>
  <c r="T96" i="22"/>
  <c r="T44" i="22"/>
  <c r="T39" i="22"/>
  <c r="T26" i="22"/>
  <c r="T10" i="22"/>
  <c r="T66" i="22"/>
  <c r="T5" i="22"/>
  <c r="T85" i="22"/>
  <c r="T25" i="22"/>
  <c r="E55" i="13"/>
  <c r="H55" i="13"/>
  <c r="I55" i="13"/>
  <c r="J55" i="13"/>
  <c r="K55" i="13"/>
  <c r="L55" i="13"/>
  <c r="M55" i="13"/>
  <c r="T55" i="13"/>
  <c r="F29" i="13"/>
  <c r="G29" i="13"/>
  <c r="H29" i="13"/>
  <c r="I29" i="13"/>
  <c r="J29" i="13"/>
  <c r="K29" i="13"/>
  <c r="L29" i="13"/>
  <c r="M29" i="13"/>
  <c r="T29" i="13"/>
  <c r="C34" i="13"/>
  <c r="E34" i="13"/>
  <c r="F34" i="13"/>
  <c r="G34" i="13"/>
  <c r="H34" i="13"/>
  <c r="I34" i="13"/>
  <c r="J34" i="13"/>
  <c r="K34" i="13"/>
  <c r="L34" i="13"/>
  <c r="T34" i="13"/>
  <c r="E30" i="13"/>
  <c r="F30" i="13"/>
  <c r="H30" i="13"/>
  <c r="M30" i="13"/>
  <c r="T30" i="13"/>
  <c r="I2" i="13"/>
  <c r="J2" i="13"/>
  <c r="M2" i="13"/>
  <c r="T2" i="13"/>
  <c r="E74" i="13"/>
  <c r="F74" i="13"/>
  <c r="G74" i="13"/>
  <c r="H74" i="13"/>
  <c r="I74" i="13"/>
  <c r="J74" i="13"/>
  <c r="K74" i="13"/>
  <c r="L74" i="13"/>
  <c r="M74" i="13"/>
  <c r="T74" i="13"/>
  <c r="D77" i="13"/>
  <c r="E77" i="13"/>
  <c r="F77" i="13"/>
  <c r="G77" i="13"/>
  <c r="H77" i="13"/>
  <c r="I77" i="13"/>
  <c r="J77" i="13"/>
  <c r="K77" i="13"/>
  <c r="L77" i="13"/>
  <c r="M77" i="13"/>
  <c r="T77" i="13"/>
  <c r="E14" i="13"/>
  <c r="I14" i="13"/>
  <c r="J14" i="13"/>
  <c r="T14" i="13"/>
  <c r="E38" i="13"/>
  <c r="F38" i="13"/>
  <c r="G38" i="13"/>
  <c r="H38" i="13"/>
  <c r="I38" i="13"/>
  <c r="J38" i="13"/>
  <c r="K38" i="13"/>
  <c r="M38" i="13"/>
  <c r="T38" i="13"/>
  <c r="J19" i="13"/>
  <c r="K19" i="13"/>
  <c r="T19" i="13"/>
  <c r="E49" i="13"/>
  <c r="F49" i="13"/>
  <c r="G49" i="13"/>
  <c r="H49" i="13"/>
  <c r="I49" i="13"/>
  <c r="J49" i="13"/>
  <c r="K49" i="13"/>
  <c r="M49" i="13"/>
  <c r="T49" i="13"/>
  <c r="T6" i="13"/>
  <c r="D18" i="13"/>
  <c r="F18" i="13"/>
  <c r="H18" i="13"/>
  <c r="I18" i="13"/>
  <c r="J18" i="13"/>
  <c r="L18" i="13"/>
  <c r="M18" i="13"/>
  <c r="T18" i="13"/>
  <c r="D32" i="13"/>
  <c r="E32" i="13"/>
  <c r="G32" i="13"/>
  <c r="H32" i="13"/>
  <c r="I32" i="13"/>
  <c r="J32" i="13"/>
  <c r="L32" i="13"/>
  <c r="M32" i="13"/>
  <c r="T32" i="13"/>
  <c r="F10" i="13"/>
  <c r="J10" i="13"/>
  <c r="T10" i="13"/>
  <c r="F25" i="13"/>
  <c r="G25" i="13"/>
  <c r="H25" i="13"/>
  <c r="I25" i="13"/>
  <c r="J25" i="13"/>
  <c r="K25" i="13"/>
  <c r="L25" i="13"/>
  <c r="T25" i="13"/>
  <c r="F15" i="13"/>
  <c r="I15" i="13"/>
  <c r="J15" i="13"/>
  <c r="K15" i="13"/>
  <c r="L15" i="13"/>
  <c r="M15" i="13"/>
  <c r="T15" i="13"/>
  <c r="D12" i="13"/>
  <c r="T12" i="13"/>
  <c r="E4" i="13"/>
  <c r="F4" i="13"/>
  <c r="G4" i="13"/>
  <c r="K4" i="13"/>
  <c r="T4" i="13"/>
  <c r="E24" i="13"/>
  <c r="F24" i="13"/>
  <c r="H24" i="13"/>
  <c r="J24" i="13"/>
  <c r="M24" i="13"/>
  <c r="T24" i="13"/>
  <c r="E25" i="12"/>
  <c r="F25" i="12"/>
  <c r="G25" i="12"/>
  <c r="H25" i="12"/>
  <c r="I25" i="12"/>
  <c r="J25" i="12"/>
  <c r="K25" i="12"/>
  <c r="L25" i="12"/>
  <c r="M25" i="12"/>
  <c r="T25" i="12"/>
  <c r="D36" i="12"/>
  <c r="E36" i="12"/>
  <c r="F36" i="12"/>
  <c r="G36" i="12"/>
  <c r="H36" i="12"/>
  <c r="I36" i="12"/>
  <c r="J36" i="12"/>
  <c r="K36" i="12"/>
  <c r="L36" i="12"/>
  <c r="M36" i="12"/>
  <c r="T36" i="12"/>
  <c r="E14" i="12"/>
  <c r="F14" i="12"/>
  <c r="G14" i="12"/>
  <c r="I14" i="12"/>
  <c r="J14" i="12"/>
  <c r="K14" i="12"/>
  <c r="L14" i="12"/>
  <c r="M14" i="12"/>
  <c r="T14" i="12"/>
  <c r="D11" i="12"/>
  <c r="E11" i="12"/>
  <c r="F11" i="12"/>
  <c r="G11" i="12"/>
  <c r="H11" i="12"/>
  <c r="I11" i="12"/>
  <c r="J11" i="12"/>
  <c r="K11" i="12"/>
  <c r="L11" i="12"/>
  <c r="M11" i="12"/>
  <c r="T11" i="12"/>
  <c r="D22" i="12"/>
  <c r="E22" i="12"/>
  <c r="F22" i="12"/>
  <c r="G22" i="12"/>
  <c r="H22" i="12"/>
  <c r="I22" i="12"/>
  <c r="J22" i="12"/>
  <c r="K22" i="12"/>
  <c r="L22" i="12"/>
  <c r="M22" i="12"/>
  <c r="T22" i="12"/>
  <c r="D2" i="12"/>
  <c r="F2" i="12"/>
  <c r="H2" i="12"/>
  <c r="I2" i="12"/>
  <c r="K2" i="12"/>
  <c r="N2" i="12"/>
  <c r="T2" i="12"/>
  <c r="E30" i="12"/>
  <c r="F30" i="12"/>
  <c r="G30" i="12"/>
  <c r="H30" i="12"/>
  <c r="I30" i="12"/>
  <c r="J30" i="12"/>
  <c r="K30" i="12"/>
  <c r="L30" i="12"/>
  <c r="M30" i="12"/>
  <c r="T30" i="12"/>
  <c r="D16" i="12"/>
  <c r="E16" i="12"/>
  <c r="F16" i="12"/>
  <c r="G16" i="12"/>
  <c r="H16" i="12"/>
  <c r="I16" i="12"/>
  <c r="J16" i="12"/>
  <c r="K16" i="12"/>
  <c r="L16" i="12"/>
  <c r="M16" i="12"/>
  <c r="T16" i="12"/>
  <c r="I2" i="8"/>
  <c r="J2" i="8"/>
  <c r="U2" i="8"/>
  <c r="E104" i="8"/>
  <c r="F104" i="8"/>
  <c r="G104" i="8"/>
  <c r="H104" i="8"/>
  <c r="I104" i="8"/>
  <c r="J104" i="8"/>
  <c r="K104" i="8"/>
  <c r="L104" i="8"/>
  <c r="U104" i="8"/>
  <c r="E86" i="8"/>
  <c r="F86" i="8"/>
  <c r="G86" i="8"/>
  <c r="I86" i="8"/>
  <c r="J86" i="8"/>
  <c r="K86" i="8"/>
  <c r="L86" i="8"/>
  <c r="U87" i="8"/>
  <c r="E108" i="8"/>
  <c r="F108" i="8"/>
  <c r="G108" i="8"/>
  <c r="H108" i="8"/>
  <c r="I108" i="8"/>
  <c r="J108" i="8"/>
  <c r="K108" i="8"/>
  <c r="L108" i="8"/>
  <c r="U103" i="8"/>
  <c r="E14" i="8"/>
  <c r="I14" i="8"/>
  <c r="J14" i="8"/>
  <c r="U13" i="8"/>
  <c r="U69" i="8"/>
  <c r="E118" i="8"/>
  <c r="F118" i="8"/>
  <c r="G118" i="8"/>
  <c r="H118" i="8"/>
  <c r="I118" i="8"/>
  <c r="J118" i="8"/>
  <c r="K118" i="8"/>
  <c r="L118" i="8"/>
  <c r="U117" i="8"/>
  <c r="E46" i="8"/>
  <c r="F46" i="8"/>
  <c r="G46" i="8"/>
  <c r="H46" i="8"/>
  <c r="I46" i="8"/>
  <c r="J46" i="8"/>
  <c r="K46" i="8"/>
  <c r="U59" i="8"/>
  <c r="E76" i="8"/>
  <c r="F76" i="8"/>
  <c r="G76" i="8"/>
  <c r="H76" i="8"/>
  <c r="I76" i="8"/>
  <c r="J76" i="8"/>
  <c r="K76" i="8"/>
  <c r="L76" i="8"/>
  <c r="U80" i="8"/>
  <c r="J20" i="8"/>
  <c r="K20" i="8"/>
  <c r="U21" i="8"/>
  <c r="E57" i="8"/>
  <c r="F57" i="8"/>
  <c r="G57" i="8"/>
  <c r="H57" i="8"/>
  <c r="I57" i="8"/>
  <c r="J57" i="8"/>
  <c r="L57" i="8"/>
  <c r="U37" i="8"/>
  <c r="E67" i="8"/>
  <c r="F67" i="8"/>
  <c r="G67" i="8"/>
  <c r="H67" i="8"/>
  <c r="I67" i="8"/>
  <c r="J67" i="8"/>
  <c r="K67" i="8"/>
  <c r="U61" i="8"/>
  <c r="E77" i="8"/>
  <c r="F77" i="8"/>
  <c r="G77" i="8"/>
  <c r="H77" i="8"/>
  <c r="I77" i="8"/>
  <c r="J77" i="8"/>
  <c r="K77" i="8"/>
  <c r="L77" i="8"/>
  <c r="U70" i="8"/>
  <c r="E116" i="8"/>
  <c r="F116" i="8"/>
  <c r="G116" i="8"/>
  <c r="H116" i="8"/>
  <c r="I116" i="8"/>
  <c r="J116" i="8"/>
  <c r="K116" i="8"/>
  <c r="L116" i="8"/>
  <c r="U110" i="8"/>
  <c r="E58" i="8"/>
  <c r="F58" i="8"/>
  <c r="G58" i="8"/>
  <c r="I58" i="8"/>
  <c r="J58" i="8"/>
  <c r="K58" i="8"/>
  <c r="L58" i="8"/>
  <c r="U60" i="8"/>
  <c r="E55" i="8"/>
  <c r="F55" i="8"/>
  <c r="G55" i="8"/>
  <c r="H55" i="8"/>
  <c r="I55" i="8"/>
  <c r="J55" i="8"/>
  <c r="K55" i="8"/>
  <c r="L55" i="8"/>
  <c r="U51" i="8"/>
  <c r="E72" i="8"/>
  <c r="F72" i="8"/>
  <c r="G72" i="8"/>
  <c r="H72" i="8"/>
  <c r="I72" i="8"/>
  <c r="J72" i="8"/>
  <c r="K72" i="8"/>
  <c r="L72" i="8"/>
  <c r="U77" i="8"/>
  <c r="F15" i="8"/>
  <c r="H15" i="8"/>
  <c r="I15" i="8"/>
  <c r="K15" i="8"/>
  <c r="U15" i="8"/>
  <c r="U6" i="8"/>
  <c r="E97" i="8"/>
  <c r="F97" i="8"/>
  <c r="G97" i="8"/>
  <c r="H97" i="8"/>
  <c r="I97" i="8"/>
  <c r="J97" i="8"/>
  <c r="K97" i="8"/>
  <c r="L97" i="8"/>
  <c r="U97" i="8"/>
  <c r="F19" i="8"/>
  <c r="H19" i="8"/>
  <c r="I19" i="8"/>
  <c r="J19" i="8"/>
  <c r="L19" i="8"/>
  <c r="U16" i="8"/>
  <c r="E39" i="8"/>
  <c r="G39" i="8"/>
  <c r="H39" i="8"/>
  <c r="I39" i="8"/>
  <c r="J39" i="8"/>
  <c r="L39" i="8"/>
  <c r="U25" i="8"/>
  <c r="F10" i="8"/>
  <c r="J10" i="8"/>
  <c r="U12" i="8"/>
  <c r="F27" i="8"/>
  <c r="G27" i="8"/>
  <c r="H27" i="8"/>
  <c r="I27" i="8"/>
  <c r="J27" i="8"/>
  <c r="K27" i="8"/>
  <c r="L27" i="8"/>
  <c r="U27" i="8"/>
  <c r="F16" i="8"/>
  <c r="I16" i="8"/>
  <c r="J16" i="8"/>
  <c r="K16" i="8"/>
  <c r="L16" i="8"/>
  <c r="U19" i="8"/>
  <c r="U11" i="8"/>
  <c r="E62" i="8"/>
  <c r="F62" i="8"/>
  <c r="G62" i="8"/>
  <c r="H62" i="8"/>
  <c r="I62" i="8"/>
  <c r="J62" i="8"/>
  <c r="K62" i="8"/>
  <c r="L62" i="8"/>
  <c r="U58" i="8"/>
  <c r="E4" i="8"/>
  <c r="F4" i="8"/>
  <c r="G4" i="8"/>
  <c r="K4" i="8"/>
  <c r="U7" i="8"/>
  <c r="E26" i="8"/>
  <c r="F26" i="8"/>
  <c r="H26" i="8"/>
  <c r="J26" i="8"/>
  <c r="U26" i="8"/>
  <c r="C14" i="26"/>
  <c r="C15" i="26"/>
  <c r="C16" i="26"/>
  <c r="D101" i="8" l="1"/>
  <c r="D51" i="25"/>
  <c r="D97" i="8"/>
  <c r="D48" i="25"/>
  <c r="D23" i="8"/>
  <c r="D11" i="25"/>
  <c r="D33" i="8"/>
  <c r="D16" i="25"/>
  <c r="D49" i="13"/>
  <c r="D10" i="13"/>
  <c r="D10" i="8"/>
  <c r="D34" i="13"/>
  <c r="D41" i="8"/>
  <c r="D38" i="13"/>
  <c r="D46" i="8"/>
  <c r="D55" i="13"/>
  <c r="D79" i="8"/>
  <c r="D30" i="13"/>
  <c r="D35" i="8"/>
  <c r="D14" i="12"/>
  <c r="D58" i="8"/>
  <c r="C13" i="26"/>
  <c r="D18" i="12"/>
  <c r="D74" i="13"/>
  <c r="Z124" i="4"/>
  <c r="Z111" i="4"/>
  <c r="Z112" i="4"/>
  <c r="Z107" i="4"/>
  <c r="U2" i="22"/>
  <c r="D65" i="13"/>
  <c r="Z123" i="4"/>
  <c r="U112" i="4"/>
  <c r="D50" i="8" s="1"/>
  <c r="U123" i="4"/>
  <c r="D71" i="8" s="1"/>
  <c r="U107" i="4"/>
  <c r="B83" i="4"/>
  <c r="G83" i="4"/>
  <c r="I83" i="4" s="1"/>
  <c r="N83" i="4"/>
  <c r="O83" i="4"/>
  <c r="P83" i="4"/>
  <c r="Q83" i="4"/>
  <c r="R83" i="4"/>
  <c r="T83" i="4"/>
  <c r="W83" i="4"/>
  <c r="B84" i="4"/>
  <c r="G84" i="4"/>
  <c r="I84" i="4" s="1"/>
  <c r="N84" i="4"/>
  <c r="O84" i="4"/>
  <c r="P84" i="4"/>
  <c r="Q84" i="4"/>
  <c r="R84" i="4"/>
  <c r="T84" i="4"/>
  <c r="W84" i="4"/>
  <c r="B85" i="4"/>
  <c r="G85" i="4"/>
  <c r="I85" i="4" s="1"/>
  <c r="N85" i="4"/>
  <c r="O85" i="4"/>
  <c r="P85" i="4"/>
  <c r="Q85" i="4"/>
  <c r="R85" i="4"/>
  <c r="T85" i="4"/>
  <c r="W85" i="4"/>
  <c r="B86" i="4"/>
  <c r="G86" i="4"/>
  <c r="I86" i="4" s="1"/>
  <c r="N86" i="4"/>
  <c r="O86" i="4"/>
  <c r="P86" i="4"/>
  <c r="Q86" i="4"/>
  <c r="R86" i="4"/>
  <c r="T86" i="4"/>
  <c r="W86" i="4"/>
  <c r="B87" i="4"/>
  <c r="G87" i="4"/>
  <c r="I87" i="4" s="1"/>
  <c r="N87" i="4"/>
  <c r="O87" i="4"/>
  <c r="P87" i="4"/>
  <c r="Q87" i="4"/>
  <c r="R87" i="4"/>
  <c r="T87" i="4"/>
  <c r="W87" i="4"/>
  <c r="B88" i="4"/>
  <c r="G88" i="4"/>
  <c r="I88" i="4" s="1"/>
  <c r="N88" i="4"/>
  <c r="O88" i="4"/>
  <c r="P88" i="4"/>
  <c r="Q88" i="4"/>
  <c r="R88" i="4"/>
  <c r="T88" i="4"/>
  <c r="W88" i="4"/>
  <c r="B89" i="4"/>
  <c r="G89" i="4"/>
  <c r="I89" i="4" s="1"/>
  <c r="N89" i="4"/>
  <c r="O89" i="4"/>
  <c r="P89" i="4"/>
  <c r="Q89" i="4"/>
  <c r="T89" i="4"/>
  <c r="W89" i="4"/>
  <c r="B90" i="4"/>
  <c r="G90" i="4"/>
  <c r="I90" i="4" s="1"/>
  <c r="N90" i="4"/>
  <c r="O90" i="4"/>
  <c r="P90" i="4"/>
  <c r="Q90" i="4"/>
  <c r="R90" i="4"/>
  <c r="T90" i="4"/>
  <c r="W90" i="4"/>
  <c r="B91" i="4"/>
  <c r="G91" i="4"/>
  <c r="I91" i="4" s="1"/>
  <c r="N91" i="4"/>
  <c r="O91" i="4"/>
  <c r="P91" i="4"/>
  <c r="Q91" i="4"/>
  <c r="T91" i="4"/>
  <c r="W91" i="4"/>
  <c r="B92" i="4"/>
  <c r="G92" i="4"/>
  <c r="I92" i="4" s="1"/>
  <c r="N92" i="4"/>
  <c r="O92" i="4"/>
  <c r="P92" i="4"/>
  <c r="Q92" i="4"/>
  <c r="T92" i="4"/>
  <c r="W92" i="4"/>
  <c r="B93" i="4"/>
  <c r="G93" i="4"/>
  <c r="I93" i="4" s="1"/>
  <c r="N93" i="4"/>
  <c r="O93" i="4"/>
  <c r="P93" i="4"/>
  <c r="Q93" i="4"/>
  <c r="R93" i="4"/>
  <c r="T93" i="4"/>
  <c r="W93" i="4"/>
  <c r="B94" i="4"/>
  <c r="G94" i="4"/>
  <c r="I94" i="4" s="1"/>
  <c r="N94" i="4"/>
  <c r="O94" i="4"/>
  <c r="P94" i="4"/>
  <c r="Q94" i="4"/>
  <c r="R94" i="4"/>
  <c r="T94" i="4"/>
  <c r="W94" i="4"/>
  <c r="B95" i="4"/>
  <c r="G95" i="4"/>
  <c r="I95" i="4" s="1"/>
  <c r="N95" i="4"/>
  <c r="O95" i="4"/>
  <c r="P95" i="4"/>
  <c r="Q95" i="4"/>
  <c r="R95" i="4"/>
  <c r="T95" i="4"/>
  <c r="W95" i="4"/>
  <c r="B96" i="4"/>
  <c r="G96" i="4"/>
  <c r="I96" i="4" s="1"/>
  <c r="N96" i="4"/>
  <c r="O96" i="4"/>
  <c r="P96" i="4"/>
  <c r="Q96" i="4"/>
  <c r="T96" i="4"/>
  <c r="W96" i="4"/>
  <c r="B97" i="4"/>
  <c r="G97" i="4"/>
  <c r="I97" i="4" s="1"/>
  <c r="N97" i="4"/>
  <c r="O97" i="4"/>
  <c r="P97" i="4"/>
  <c r="Q97" i="4"/>
  <c r="R97" i="4"/>
  <c r="T97" i="4"/>
  <c r="W97" i="4"/>
  <c r="B98" i="4"/>
  <c r="G98" i="4"/>
  <c r="I98" i="4" s="1"/>
  <c r="N98" i="4"/>
  <c r="O98" i="4"/>
  <c r="P98" i="4"/>
  <c r="Q98" i="4"/>
  <c r="R98" i="4"/>
  <c r="T98" i="4"/>
  <c r="W98" i="4"/>
  <c r="B99" i="4"/>
  <c r="G99" i="4"/>
  <c r="I99" i="4" s="1"/>
  <c r="N99" i="4"/>
  <c r="O99" i="4"/>
  <c r="P99" i="4"/>
  <c r="Q99" i="4"/>
  <c r="R99" i="4"/>
  <c r="T99" i="4"/>
  <c r="W99" i="4"/>
  <c r="B100" i="4"/>
  <c r="G100" i="4"/>
  <c r="I100" i="4" s="1"/>
  <c r="N100" i="4"/>
  <c r="O100" i="4"/>
  <c r="P100" i="4"/>
  <c r="Q100" i="4"/>
  <c r="R100" i="4"/>
  <c r="T100" i="4"/>
  <c r="W100" i="4"/>
  <c r="B67" i="4"/>
  <c r="G67" i="4"/>
  <c r="I67" i="4" s="1"/>
  <c r="N67" i="4"/>
  <c r="O67" i="4"/>
  <c r="P67" i="4"/>
  <c r="Q67" i="4"/>
  <c r="R67" i="4"/>
  <c r="T67" i="4"/>
  <c r="W67" i="4"/>
  <c r="B68" i="4"/>
  <c r="G68" i="4"/>
  <c r="I68" i="4" s="1"/>
  <c r="N68" i="4"/>
  <c r="O68" i="4"/>
  <c r="P68" i="4"/>
  <c r="Q68" i="4"/>
  <c r="R68" i="4"/>
  <c r="T68" i="4"/>
  <c r="W68" i="4"/>
  <c r="B69" i="4"/>
  <c r="G69" i="4"/>
  <c r="I69" i="4" s="1"/>
  <c r="N69" i="4"/>
  <c r="O69" i="4"/>
  <c r="P69" i="4"/>
  <c r="Q69" i="4"/>
  <c r="R69" i="4"/>
  <c r="T69" i="4"/>
  <c r="W69" i="4"/>
  <c r="B70" i="4"/>
  <c r="G70" i="4"/>
  <c r="I70" i="4" s="1"/>
  <c r="N70" i="4"/>
  <c r="O70" i="4"/>
  <c r="P70" i="4"/>
  <c r="Q70" i="4"/>
  <c r="R70" i="4"/>
  <c r="T70" i="4"/>
  <c r="W70" i="4"/>
  <c r="B71" i="4"/>
  <c r="G71" i="4"/>
  <c r="I71" i="4" s="1"/>
  <c r="N71" i="4"/>
  <c r="O71" i="4"/>
  <c r="P71" i="4"/>
  <c r="Q71" i="4"/>
  <c r="T71" i="4"/>
  <c r="W71" i="4"/>
  <c r="B72" i="4"/>
  <c r="G72" i="4"/>
  <c r="I72" i="4" s="1"/>
  <c r="N72" i="4"/>
  <c r="O72" i="4"/>
  <c r="P72" i="4"/>
  <c r="Q72" i="4"/>
  <c r="R72" i="4"/>
  <c r="T72" i="4"/>
  <c r="W72" i="4"/>
  <c r="B73" i="4"/>
  <c r="G73" i="4"/>
  <c r="I73" i="4" s="1"/>
  <c r="N73" i="4"/>
  <c r="O73" i="4"/>
  <c r="P73" i="4"/>
  <c r="Q73" i="4"/>
  <c r="R73" i="4"/>
  <c r="T73" i="4"/>
  <c r="W73" i="4"/>
  <c r="B74" i="4"/>
  <c r="G74" i="4"/>
  <c r="I74" i="4" s="1"/>
  <c r="N74" i="4"/>
  <c r="O74" i="4"/>
  <c r="P74" i="4"/>
  <c r="Q74" i="4"/>
  <c r="R74" i="4"/>
  <c r="T74" i="4"/>
  <c r="W74" i="4"/>
  <c r="B75" i="4"/>
  <c r="G75" i="4"/>
  <c r="I75" i="4" s="1"/>
  <c r="N75" i="4"/>
  <c r="O75" i="4"/>
  <c r="P75" i="4"/>
  <c r="Q75" i="4"/>
  <c r="R75" i="4"/>
  <c r="T75" i="4"/>
  <c r="W75" i="4"/>
  <c r="B76" i="4"/>
  <c r="G76" i="4"/>
  <c r="I76" i="4" s="1"/>
  <c r="N76" i="4"/>
  <c r="O76" i="4"/>
  <c r="P76" i="4"/>
  <c r="Q76" i="4"/>
  <c r="R76" i="4"/>
  <c r="T76" i="4"/>
  <c r="W76" i="4"/>
  <c r="B77" i="4"/>
  <c r="G77" i="4"/>
  <c r="I77" i="4" s="1"/>
  <c r="N77" i="4"/>
  <c r="O77" i="4"/>
  <c r="P77" i="4"/>
  <c r="Q77" i="4"/>
  <c r="R77" i="4"/>
  <c r="T77" i="4"/>
  <c r="W77" i="4"/>
  <c r="B78" i="4"/>
  <c r="G78" i="4"/>
  <c r="I78" i="4" s="1"/>
  <c r="N78" i="4"/>
  <c r="O78" i="4"/>
  <c r="P78" i="4"/>
  <c r="Q78" i="4"/>
  <c r="R78" i="4"/>
  <c r="T78" i="4"/>
  <c r="W78" i="4"/>
  <c r="B79" i="4"/>
  <c r="G79" i="4"/>
  <c r="I79" i="4" s="1"/>
  <c r="N79" i="4"/>
  <c r="O79" i="4"/>
  <c r="P79" i="4"/>
  <c r="Q79" i="4"/>
  <c r="R79" i="4"/>
  <c r="T79" i="4"/>
  <c r="W79" i="4"/>
  <c r="B80" i="4"/>
  <c r="G80" i="4"/>
  <c r="I80" i="4" s="1"/>
  <c r="N80" i="4"/>
  <c r="O80" i="4"/>
  <c r="P80" i="4"/>
  <c r="Q80" i="4"/>
  <c r="T80" i="4"/>
  <c r="W80" i="4"/>
  <c r="B81" i="4"/>
  <c r="G81" i="4"/>
  <c r="I81" i="4" s="1"/>
  <c r="N81" i="4"/>
  <c r="O81" i="4"/>
  <c r="P81" i="4"/>
  <c r="Q81" i="4"/>
  <c r="R81" i="4"/>
  <c r="T81" i="4"/>
  <c r="W81" i="4"/>
  <c r="B82" i="4"/>
  <c r="G82" i="4"/>
  <c r="I82" i="4" s="1"/>
  <c r="N82" i="4"/>
  <c r="O82" i="4"/>
  <c r="P82" i="4"/>
  <c r="Q82" i="4"/>
  <c r="T82" i="4"/>
  <c r="W82" i="4"/>
  <c r="B64" i="4"/>
  <c r="G64" i="4"/>
  <c r="I64" i="4" s="1"/>
  <c r="N64" i="4"/>
  <c r="O64" i="4"/>
  <c r="P64" i="4"/>
  <c r="Q64" i="4"/>
  <c r="R64" i="4"/>
  <c r="T64" i="4"/>
  <c r="W64" i="4"/>
  <c r="B65" i="4"/>
  <c r="G65" i="4"/>
  <c r="I65" i="4" s="1"/>
  <c r="N65" i="4"/>
  <c r="O65" i="4"/>
  <c r="P65" i="4"/>
  <c r="Q65" i="4"/>
  <c r="R65" i="4"/>
  <c r="T65" i="4"/>
  <c r="W65" i="4"/>
  <c r="B66" i="4"/>
  <c r="G66" i="4"/>
  <c r="I66" i="4" s="1"/>
  <c r="N66" i="4"/>
  <c r="O66" i="4"/>
  <c r="P66" i="4"/>
  <c r="Q66" i="4"/>
  <c r="R66" i="4"/>
  <c r="T66" i="4"/>
  <c r="W66" i="4"/>
  <c r="B59" i="4"/>
  <c r="G59" i="4"/>
  <c r="I59" i="4" s="1"/>
  <c r="N59" i="4"/>
  <c r="O59" i="4"/>
  <c r="P59" i="4"/>
  <c r="Q59" i="4"/>
  <c r="R59" i="4"/>
  <c r="T59" i="4"/>
  <c r="W59" i="4"/>
  <c r="B60" i="4"/>
  <c r="G60" i="4"/>
  <c r="I60" i="4" s="1"/>
  <c r="N60" i="4"/>
  <c r="O60" i="4"/>
  <c r="P60" i="4"/>
  <c r="Q60" i="4"/>
  <c r="R60" i="4"/>
  <c r="T60" i="4"/>
  <c r="W60" i="4"/>
  <c r="B61" i="4"/>
  <c r="G61" i="4"/>
  <c r="I61" i="4" s="1"/>
  <c r="N61" i="4"/>
  <c r="O61" i="4"/>
  <c r="P61" i="4"/>
  <c r="Q61" i="4"/>
  <c r="R61" i="4"/>
  <c r="T61" i="4"/>
  <c r="W61" i="4"/>
  <c r="B62" i="4"/>
  <c r="G62" i="4"/>
  <c r="I62" i="4" s="1"/>
  <c r="T2" i="20" s="1"/>
  <c r="N62" i="4"/>
  <c r="O62" i="4"/>
  <c r="P62" i="4"/>
  <c r="Q62" i="4"/>
  <c r="T62" i="4"/>
  <c r="W62" i="4"/>
  <c r="B63" i="4"/>
  <c r="G63" i="4"/>
  <c r="I63" i="4" s="1"/>
  <c r="N63" i="4"/>
  <c r="O63" i="4"/>
  <c r="P63" i="4"/>
  <c r="Q63" i="4"/>
  <c r="T63" i="4"/>
  <c r="W63" i="4"/>
  <c r="B51" i="4"/>
  <c r="G51" i="4"/>
  <c r="I51" i="4" s="1"/>
  <c r="N51" i="4"/>
  <c r="O51" i="4"/>
  <c r="P51" i="4"/>
  <c r="Q51" i="4"/>
  <c r="R51" i="4"/>
  <c r="T51" i="4"/>
  <c r="W51" i="4"/>
  <c r="B52" i="4"/>
  <c r="G52" i="4"/>
  <c r="I52" i="4" s="1"/>
  <c r="N52" i="4"/>
  <c r="O52" i="4"/>
  <c r="P52" i="4"/>
  <c r="Q52" i="4"/>
  <c r="T52" i="4"/>
  <c r="W52" i="4"/>
  <c r="B53" i="4"/>
  <c r="G53" i="4"/>
  <c r="I53" i="4" s="1"/>
  <c r="N53" i="4"/>
  <c r="O53" i="4"/>
  <c r="P53" i="4"/>
  <c r="Q53" i="4"/>
  <c r="R53" i="4"/>
  <c r="T53" i="4"/>
  <c r="W53" i="4"/>
  <c r="B54" i="4"/>
  <c r="G54" i="4"/>
  <c r="I54" i="4" s="1"/>
  <c r="N54" i="4"/>
  <c r="O54" i="4"/>
  <c r="P54" i="4"/>
  <c r="Q54" i="4"/>
  <c r="R54" i="4"/>
  <c r="T54" i="4"/>
  <c r="W54" i="4"/>
  <c r="B55" i="4"/>
  <c r="G55" i="4"/>
  <c r="I55" i="4" s="1"/>
  <c r="N55" i="4"/>
  <c r="O55" i="4"/>
  <c r="P55" i="4"/>
  <c r="Q55" i="4"/>
  <c r="T55" i="4"/>
  <c r="W55" i="4"/>
  <c r="B56" i="4"/>
  <c r="G56" i="4"/>
  <c r="I56" i="4" s="1"/>
  <c r="N56" i="4"/>
  <c r="O56" i="4"/>
  <c r="P56" i="4"/>
  <c r="Q56" i="4"/>
  <c r="R56" i="4"/>
  <c r="T56" i="4"/>
  <c r="W56" i="4"/>
  <c r="B57" i="4"/>
  <c r="G57" i="4"/>
  <c r="I57" i="4" s="1"/>
  <c r="N57" i="4"/>
  <c r="O57" i="4"/>
  <c r="P57" i="4"/>
  <c r="Q57" i="4"/>
  <c r="T57" i="4"/>
  <c r="W57" i="4"/>
  <c r="B58" i="4"/>
  <c r="G58" i="4"/>
  <c r="I58" i="4" s="1"/>
  <c r="N58" i="4"/>
  <c r="O58" i="4"/>
  <c r="P58" i="4"/>
  <c r="Q58" i="4"/>
  <c r="R58" i="4"/>
  <c r="T58" i="4"/>
  <c r="W58" i="4"/>
  <c r="B46" i="4"/>
  <c r="G46" i="4"/>
  <c r="I46" i="4" s="1"/>
  <c r="N46" i="4"/>
  <c r="O46" i="4"/>
  <c r="P46" i="4"/>
  <c r="Q46" i="4"/>
  <c r="T46" i="4"/>
  <c r="W46" i="4"/>
  <c r="B47" i="4"/>
  <c r="G47" i="4"/>
  <c r="I47" i="4" s="1"/>
  <c r="N47" i="4"/>
  <c r="O47" i="4"/>
  <c r="P47" i="4"/>
  <c r="Q47" i="4"/>
  <c r="R47" i="4"/>
  <c r="T47" i="4"/>
  <c r="W47" i="4"/>
  <c r="B48" i="4"/>
  <c r="G48" i="4"/>
  <c r="I48" i="4" s="1"/>
  <c r="N48" i="4"/>
  <c r="O48" i="4"/>
  <c r="P48" i="4"/>
  <c r="Q48" i="4"/>
  <c r="R48" i="4"/>
  <c r="T48" i="4"/>
  <c r="W48" i="4"/>
  <c r="B49" i="4"/>
  <c r="G49" i="4"/>
  <c r="I49" i="4" s="1"/>
  <c r="N49" i="4"/>
  <c r="O49" i="4"/>
  <c r="P49" i="4"/>
  <c r="Q49" i="4"/>
  <c r="R49" i="4"/>
  <c r="T49" i="4"/>
  <c r="W49" i="4"/>
  <c r="B50" i="4"/>
  <c r="G50" i="4"/>
  <c r="I50" i="4" s="1"/>
  <c r="N50" i="4"/>
  <c r="O50" i="4"/>
  <c r="P50" i="4"/>
  <c r="Q50" i="4"/>
  <c r="T50" i="4"/>
  <c r="W50" i="4"/>
  <c r="S71" i="4" l="1"/>
  <c r="S67" i="4"/>
  <c r="S97" i="4"/>
  <c r="S93" i="4"/>
  <c r="S89" i="4"/>
  <c r="S85" i="4"/>
  <c r="S47" i="4"/>
  <c r="S56" i="4"/>
  <c r="S52" i="4"/>
  <c r="S61" i="4"/>
  <c r="S65" i="4"/>
  <c r="S80" i="4"/>
  <c r="S76" i="4"/>
  <c r="S72" i="4"/>
  <c r="S68" i="4"/>
  <c r="S98" i="4"/>
  <c r="S94" i="4"/>
  <c r="S90" i="4"/>
  <c r="S86" i="4"/>
  <c r="S48" i="4"/>
  <c r="S57" i="4"/>
  <c r="S53" i="4"/>
  <c r="S62" i="4"/>
  <c r="S66" i="4"/>
  <c r="S81" i="4"/>
  <c r="S77" i="4"/>
  <c r="S73" i="4"/>
  <c r="S69" i="4"/>
  <c r="S99" i="4"/>
  <c r="S95" i="4"/>
  <c r="S91" i="4"/>
  <c r="S87" i="4"/>
  <c r="S83" i="4"/>
  <c r="S49" i="4"/>
  <c r="S58" i="4"/>
  <c r="S54" i="4"/>
  <c r="S63" i="4"/>
  <c r="S59" i="4"/>
  <c r="S82" i="4"/>
  <c r="S78" i="4"/>
  <c r="S74" i="4"/>
  <c r="S70" i="4"/>
  <c r="S100" i="4"/>
  <c r="S96" i="4"/>
  <c r="S92" i="4"/>
  <c r="S88" i="4"/>
  <c r="S84" i="4"/>
  <c r="S50" i="4"/>
  <c r="S46" i="4"/>
  <c r="S55" i="4"/>
  <c r="S51" i="4"/>
  <c r="S60" i="4"/>
  <c r="S64" i="4"/>
  <c r="S79" i="4"/>
  <c r="S75" i="4"/>
  <c r="J49" i="4"/>
  <c r="K49" i="4" s="1"/>
  <c r="J46" i="4"/>
  <c r="K46" i="4" s="1"/>
  <c r="J57" i="4"/>
  <c r="K57" i="4" s="1"/>
  <c r="J54" i="4"/>
  <c r="K54" i="4" s="1"/>
  <c r="J51" i="4"/>
  <c r="K51" i="4" s="1"/>
  <c r="J60" i="4"/>
  <c r="J59" i="4"/>
  <c r="K59" i="4" s="1"/>
  <c r="J65" i="4"/>
  <c r="K65" i="4" s="1"/>
  <c r="J64" i="4"/>
  <c r="K64" i="4" s="1"/>
  <c r="J77" i="4"/>
  <c r="K77" i="4" s="1"/>
  <c r="J68" i="4"/>
  <c r="K68" i="4" s="1"/>
  <c r="J67" i="4"/>
  <c r="K67" i="4" s="1"/>
  <c r="J98" i="4"/>
  <c r="K98" i="4" s="1"/>
  <c r="J95" i="4"/>
  <c r="K95" i="4" s="1"/>
  <c r="J92" i="4"/>
  <c r="K92" i="4" s="1"/>
  <c r="J89" i="4"/>
  <c r="K89" i="4" s="1"/>
  <c r="J87" i="4"/>
  <c r="K87" i="4" s="1"/>
  <c r="J86" i="4"/>
  <c r="K86" i="4" s="1"/>
  <c r="J84" i="4"/>
  <c r="K84" i="4" s="1"/>
  <c r="J83" i="4"/>
  <c r="K83" i="4" s="1"/>
  <c r="D77" i="8"/>
  <c r="D35" i="25"/>
  <c r="D33" i="25"/>
  <c r="D21" i="12"/>
  <c r="D25" i="12"/>
  <c r="J100" i="4"/>
  <c r="K100" i="4" s="1"/>
  <c r="J91" i="4"/>
  <c r="K91" i="4" s="1"/>
  <c r="J94" i="4"/>
  <c r="K94" i="4" s="1"/>
  <c r="J85" i="4"/>
  <c r="K85" i="4" s="1"/>
  <c r="J97" i="4"/>
  <c r="K97" i="4" s="1"/>
  <c r="J88" i="4"/>
  <c r="K88" i="4" s="1"/>
  <c r="J99" i="4"/>
  <c r="J96" i="4"/>
  <c r="J93" i="4"/>
  <c r="J90" i="4"/>
  <c r="J70" i="4"/>
  <c r="K70" i="4" s="1"/>
  <c r="J76" i="4"/>
  <c r="K76" i="4" s="1"/>
  <c r="J79" i="4"/>
  <c r="K79" i="4" s="1"/>
  <c r="J71" i="4"/>
  <c r="K71" i="4" s="1"/>
  <c r="J80" i="4"/>
  <c r="K80" i="4" s="1"/>
  <c r="J82" i="4"/>
  <c r="K82" i="4" s="1"/>
  <c r="J73" i="4"/>
  <c r="K73" i="4" s="1"/>
  <c r="J74" i="4"/>
  <c r="K74" i="4" s="1"/>
  <c r="J81" i="4"/>
  <c r="K81" i="4" s="1"/>
  <c r="J78" i="4"/>
  <c r="K78" i="4" s="1"/>
  <c r="J75" i="4"/>
  <c r="K75" i="4" s="1"/>
  <c r="J72" i="4"/>
  <c r="K72" i="4" s="1"/>
  <c r="J69" i="4"/>
  <c r="K69" i="4" s="1"/>
  <c r="J66" i="4"/>
  <c r="K66" i="4" s="1"/>
  <c r="J63" i="4"/>
  <c r="J62" i="4"/>
  <c r="K62" i="4" s="1"/>
  <c r="J61" i="4"/>
  <c r="K61" i="4" s="1"/>
  <c r="J48" i="4"/>
  <c r="K48" i="4" s="1"/>
  <c r="J56" i="4"/>
  <c r="K56" i="4" s="1"/>
  <c r="J53" i="4"/>
  <c r="K53" i="4" s="1"/>
  <c r="J55" i="4"/>
  <c r="J52" i="4"/>
  <c r="J58" i="4"/>
  <c r="K58" i="4" s="1"/>
  <c r="J50" i="4"/>
  <c r="J47" i="4"/>
  <c r="B6" i="4"/>
  <c r="G6" i="4"/>
  <c r="I6" i="4" s="1"/>
  <c r="N6" i="4"/>
  <c r="O6" i="4"/>
  <c r="P6" i="4"/>
  <c r="Q6" i="4"/>
  <c r="R6" i="4"/>
  <c r="T6" i="4"/>
  <c r="W6" i="4"/>
  <c r="B7" i="4"/>
  <c r="G7" i="4"/>
  <c r="I7" i="4" s="1"/>
  <c r="N7" i="4"/>
  <c r="O7" i="4"/>
  <c r="P7" i="4"/>
  <c r="Q7" i="4"/>
  <c r="R7" i="4"/>
  <c r="T7" i="4"/>
  <c r="W7" i="4"/>
  <c r="B8" i="4"/>
  <c r="G8" i="4"/>
  <c r="I8" i="4" s="1"/>
  <c r="N8" i="4"/>
  <c r="O8" i="4"/>
  <c r="P8" i="4"/>
  <c r="Q8" i="4"/>
  <c r="R8" i="4"/>
  <c r="T8" i="4"/>
  <c r="W8" i="4"/>
  <c r="B9" i="4"/>
  <c r="G9" i="4"/>
  <c r="I9" i="4" s="1"/>
  <c r="N9" i="4"/>
  <c r="O9" i="4"/>
  <c r="P9" i="4"/>
  <c r="Q9" i="4"/>
  <c r="R9" i="4"/>
  <c r="T9" i="4"/>
  <c r="W9" i="4"/>
  <c r="B10" i="4"/>
  <c r="G10" i="4"/>
  <c r="I10" i="4" s="1"/>
  <c r="N10" i="4"/>
  <c r="O10" i="4"/>
  <c r="P10" i="4"/>
  <c r="Q10" i="4"/>
  <c r="R10" i="4"/>
  <c r="T10" i="4"/>
  <c r="W10" i="4"/>
  <c r="B11" i="4"/>
  <c r="G11" i="4"/>
  <c r="I11" i="4" s="1"/>
  <c r="N11" i="4"/>
  <c r="O11" i="4"/>
  <c r="P11" i="4"/>
  <c r="Q11" i="4"/>
  <c r="R11" i="4"/>
  <c r="T11" i="4"/>
  <c r="W11" i="4"/>
  <c r="B12" i="4"/>
  <c r="G12" i="4"/>
  <c r="I12" i="4" s="1"/>
  <c r="N12" i="4"/>
  <c r="O12" i="4"/>
  <c r="P12" i="4"/>
  <c r="Q12" i="4"/>
  <c r="R12" i="4"/>
  <c r="T12" i="4"/>
  <c r="W12" i="4"/>
  <c r="B13" i="4"/>
  <c r="G13" i="4"/>
  <c r="I13" i="4" s="1"/>
  <c r="N13" i="4"/>
  <c r="O13" i="4"/>
  <c r="P13" i="4"/>
  <c r="Q13" i="4"/>
  <c r="R13" i="4"/>
  <c r="T13" i="4"/>
  <c r="W13" i="4"/>
  <c r="B14" i="4"/>
  <c r="G14" i="4"/>
  <c r="I14" i="4" s="1"/>
  <c r="N14" i="4"/>
  <c r="O14" i="4"/>
  <c r="P14" i="4"/>
  <c r="Q14" i="4"/>
  <c r="R14" i="4"/>
  <c r="T14" i="4"/>
  <c r="W14" i="4"/>
  <c r="B15" i="4"/>
  <c r="G15" i="4"/>
  <c r="I15" i="4" s="1"/>
  <c r="N15" i="4"/>
  <c r="O15" i="4"/>
  <c r="P15" i="4"/>
  <c r="Q15" i="4"/>
  <c r="R15" i="4"/>
  <c r="T15" i="4"/>
  <c r="W15" i="4"/>
  <c r="B16" i="4"/>
  <c r="G16" i="4"/>
  <c r="I16" i="4" s="1"/>
  <c r="N16" i="4"/>
  <c r="O16" i="4"/>
  <c r="P16" i="4"/>
  <c r="Q16" i="4"/>
  <c r="R16" i="4"/>
  <c r="T16" i="4"/>
  <c r="W16" i="4"/>
  <c r="B17" i="4"/>
  <c r="G17" i="4"/>
  <c r="I17" i="4" s="1"/>
  <c r="N17" i="4"/>
  <c r="O17" i="4"/>
  <c r="P17" i="4"/>
  <c r="Q17" i="4"/>
  <c r="R17" i="4"/>
  <c r="T17" i="4"/>
  <c r="W17" i="4"/>
  <c r="B18" i="4"/>
  <c r="G18" i="4"/>
  <c r="I18" i="4" s="1"/>
  <c r="N18" i="4"/>
  <c r="O18" i="4"/>
  <c r="P18" i="4"/>
  <c r="Q18" i="4"/>
  <c r="R18" i="4"/>
  <c r="T18" i="4"/>
  <c r="W18" i="4"/>
  <c r="B19" i="4"/>
  <c r="G19" i="4"/>
  <c r="I19" i="4" s="1"/>
  <c r="N19" i="4"/>
  <c r="O19" i="4"/>
  <c r="P19" i="4"/>
  <c r="Q19" i="4"/>
  <c r="R19" i="4"/>
  <c r="T19" i="4"/>
  <c r="W19" i="4"/>
  <c r="B20" i="4"/>
  <c r="G20" i="4"/>
  <c r="I20" i="4" s="1"/>
  <c r="N20" i="4"/>
  <c r="O20" i="4"/>
  <c r="P20" i="4"/>
  <c r="Q20" i="4"/>
  <c r="T20" i="4"/>
  <c r="W20" i="4"/>
  <c r="B21" i="4"/>
  <c r="G21" i="4"/>
  <c r="I21" i="4" s="1"/>
  <c r="N21" i="4"/>
  <c r="O21" i="4"/>
  <c r="P21" i="4"/>
  <c r="Q21" i="4"/>
  <c r="R21" i="4"/>
  <c r="T21" i="4"/>
  <c r="W21" i="4"/>
  <c r="B22" i="4"/>
  <c r="G22" i="4"/>
  <c r="I22" i="4" s="1"/>
  <c r="N22" i="4"/>
  <c r="O22" i="4"/>
  <c r="P22" i="4"/>
  <c r="Q22" i="4"/>
  <c r="R22" i="4"/>
  <c r="T22" i="4"/>
  <c r="W22" i="4"/>
  <c r="B23" i="4"/>
  <c r="G23" i="4"/>
  <c r="I23" i="4" s="1"/>
  <c r="N23" i="4"/>
  <c r="O23" i="4"/>
  <c r="P23" i="4"/>
  <c r="Q23" i="4"/>
  <c r="R23" i="4"/>
  <c r="T23" i="4"/>
  <c r="W23" i="4"/>
  <c r="B24" i="4"/>
  <c r="G24" i="4"/>
  <c r="I24" i="4" s="1"/>
  <c r="N24" i="4"/>
  <c r="O24" i="4"/>
  <c r="P24" i="4"/>
  <c r="Q24" i="4"/>
  <c r="R24" i="4"/>
  <c r="T24" i="4"/>
  <c r="W24" i="4"/>
  <c r="B25" i="4"/>
  <c r="G25" i="4"/>
  <c r="I25" i="4" s="1"/>
  <c r="N25" i="4"/>
  <c r="O25" i="4"/>
  <c r="P25" i="4"/>
  <c r="Q25" i="4"/>
  <c r="R25" i="4"/>
  <c r="T25" i="4"/>
  <c r="W25" i="4"/>
  <c r="B26" i="4"/>
  <c r="G26" i="4"/>
  <c r="I26" i="4" s="1"/>
  <c r="N26" i="4"/>
  <c r="O26" i="4"/>
  <c r="P26" i="4"/>
  <c r="Q26" i="4"/>
  <c r="R26" i="4"/>
  <c r="T26" i="4"/>
  <c r="W26" i="4"/>
  <c r="B27" i="4"/>
  <c r="G27" i="4"/>
  <c r="I27" i="4" s="1"/>
  <c r="N27" i="4"/>
  <c r="O27" i="4"/>
  <c r="P27" i="4"/>
  <c r="Q27" i="4"/>
  <c r="R27" i="4"/>
  <c r="T27" i="4"/>
  <c r="W27" i="4"/>
  <c r="B28" i="4"/>
  <c r="G28" i="4"/>
  <c r="I28" i="4" s="1"/>
  <c r="N28" i="4"/>
  <c r="O28" i="4"/>
  <c r="P28" i="4"/>
  <c r="Q28" i="4"/>
  <c r="T28" i="4"/>
  <c r="W28" i="4"/>
  <c r="B29" i="4"/>
  <c r="G29" i="4"/>
  <c r="I29" i="4" s="1"/>
  <c r="N29" i="4"/>
  <c r="O29" i="4"/>
  <c r="P29" i="4"/>
  <c r="Q29" i="4"/>
  <c r="R29" i="4"/>
  <c r="T29" i="4"/>
  <c r="W29" i="4"/>
  <c r="B30" i="4"/>
  <c r="G30" i="4"/>
  <c r="I30" i="4" s="1"/>
  <c r="N30" i="4"/>
  <c r="O30" i="4"/>
  <c r="P30" i="4"/>
  <c r="Q30" i="4"/>
  <c r="R30" i="4"/>
  <c r="T30" i="4"/>
  <c r="W30" i="4"/>
  <c r="B31" i="4"/>
  <c r="G31" i="4"/>
  <c r="I31" i="4" s="1"/>
  <c r="N31" i="4"/>
  <c r="O31" i="4"/>
  <c r="P31" i="4"/>
  <c r="Q31" i="4"/>
  <c r="R31" i="4"/>
  <c r="T31" i="4"/>
  <c r="W31" i="4"/>
  <c r="B32" i="4"/>
  <c r="G32" i="4"/>
  <c r="I32" i="4" s="1"/>
  <c r="N32" i="4"/>
  <c r="O32" i="4"/>
  <c r="P32" i="4"/>
  <c r="Q32" i="4"/>
  <c r="T32" i="4"/>
  <c r="W32" i="4"/>
  <c r="B33" i="4"/>
  <c r="G33" i="4"/>
  <c r="I33" i="4" s="1"/>
  <c r="N33" i="4"/>
  <c r="O33" i="4"/>
  <c r="P33" i="4"/>
  <c r="Q33" i="4"/>
  <c r="R33" i="4"/>
  <c r="T33" i="4"/>
  <c r="W33" i="4"/>
  <c r="B34" i="4"/>
  <c r="G34" i="4"/>
  <c r="I34" i="4" s="1"/>
  <c r="N34" i="4"/>
  <c r="O34" i="4"/>
  <c r="P34" i="4"/>
  <c r="Q34" i="4"/>
  <c r="T34" i="4"/>
  <c r="W34" i="4"/>
  <c r="B35" i="4"/>
  <c r="G35" i="4"/>
  <c r="I35" i="4" s="1"/>
  <c r="N35" i="4"/>
  <c r="O35" i="4"/>
  <c r="P35" i="4"/>
  <c r="Q35" i="4"/>
  <c r="T35" i="4"/>
  <c r="W35" i="4"/>
  <c r="B36" i="4"/>
  <c r="G36" i="4"/>
  <c r="I36" i="4" s="1"/>
  <c r="N36" i="4"/>
  <c r="O36" i="4"/>
  <c r="P36" i="4"/>
  <c r="Q36" i="4"/>
  <c r="R36" i="4"/>
  <c r="T36" i="4"/>
  <c r="W36" i="4"/>
  <c r="B37" i="4"/>
  <c r="G37" i="4"/>
  <c r="I37" i="4" s="1"/>
  <c r="N37" i="4"/>
  <c r="O37" i="4"/>
  <c r="P37" i="4"/>
  <c r="Q37" i="4"/>
  <c r="R37" i="4"/>
  <c r="T37" i="4"/>
  <c r="W37" i="4"/>
  <c r="B38" i="4"/>
  <c r="G38" i="4"/>
  <c r="I38" i="4" s="1"/>
  <c r="N38" i="4"/>
  <c r="O38" i="4"/>
  <c r="P38" i="4"/>
  <c r="Q38" i="4"/>
  <c r="R38" i="4"/>
  <c r="T38" i="4"/>
  <c r="W38" i="4"/>
  <c r="B39" i="4"/>
  <c r="G39" i="4"/>
  <c r="I39" i="4" s="1"/>
  <c r="N39" i="4"/>
  <c r="O39" i="4"/>
  <c r="P39" i="4"/>
  <c r="Q39" i="4"/>
  <c r="R39" i="4"/>
  <c r="T39" i="4"/>
  <c r="W39" i="4"/>
  <c r="B40" i="4"/>
  <c r="G40" i="4"/>
  <c r="I40" i="4" s="1"/>
  <c r="N40" i="4"/>
  <c r="O40" i="4"/>
  <c r="P40" i="4"/>
  <c r="Q40" i="4"/>
  <c r="T40" i="4"/>
  <c r="W40" i="4"/>
  <c r="B41" i="4"/>
  <c r="G41" i="4"/>
  <c r="I41" i="4" s="1"/>
  <c r="N41" i="4"/>
  <c r="O41" i="4"/>
  <c r="P41" i="4"/>
  <c r="Q41" i="4"/>
  <c r="R41" i="4"/>
  <c r="T41" i="4"/>
  <c r="W41" i="4"/>
  <c r="B42" i="4"/>
  <c r="G42" i="4"/>
  <c r="I42" i="4" s="1"/>
  <c r="N42" i="4"/>
  <c r="O42" i="4"/>
  <c r="P42" i="4"/>
  <c r="Q42" i="4"/>
  <c r="R42" i="4"/>
  <c r="T42" i="4"/>
  <c r="W42" i="4"/>
  <c r="B43" i="4"/>
  <c r="G43" i="4"/>
  <c r="I43" i="4" s="1"/>
  <c r="N43" i="4"/>
  <c r="O43" i="4"/>
  <c r="P43" i="4"/>
  <c r="Q43" i="4"/>
  <c r="T43" i="4"/>
  <c r="W43" i="4"/>
  <c r="B44" i="4"/>
  <c r="G44" i="4"/>
  <c r="I44" i="4" s="1"/>
  <c r="N44" i="4"/>
  <c r="O44" i="4"/>
  <c r="P44" i="4"/>
  <c r="Q44" i="4"/>
  <c r="R44" i="4"/>
  <c r="T44" i="4"/>
  <c r="W44" i="4"/>
  <c r="B45" i="4"/>
  <c r="G45" i="4"/>
  <c r="I45" i="4" s="1"/>
  <c r="N45" i="4"/>
  <c r="O45" i="4"/>
  <c r="P45" i="4"/>
  <c r="Q45" i="4"/>
  <c r="R45" i="4"/>
  <c r="T45" i="4"/>
  <c r="W45" i="4"/>
  <c r="S39" i="4" l="1"/>
  <c r="S35" i="4"/>
  <c r="S23" i="4"/>
  <c r="S31" i="4"/>
  <c r="S27" i="4"/>
  <c r="S19" i="4"/>
  <c r="S15" i="4"/>
  <c r="S11" i="4"/>
  <c r="S7" i="4"/>
  <c r="S43" i="4"/>
  <c r="S45" i="4"/>
  <c r="S41" i="4"/>
  <c r="S37" i="4"/>
  <c r="S33" i="4"/>
  <c r="S29" i="4"/>
  <c r="S25" i="4"/>
  <c r="S21" i="4"/>
  <c r="S17" i="4"/>
  <c r="S13" i="4"/>
  <c r="S9" i="4"/>
  <c r="S30" i="4"/>
  <c r="S26" i="4"/>
  <c r="S22" i="4"/>
  <c r="S18" i="4"/>
  <c r="S14" i="4"/>
  <c r="S10" i="4"/>
  <c r="S6" i="4"/>
  <c r="S44" i="4"/>
  <c r="S40" i="4"/>
  <c r="S36" i="4"/>
  <c r="S32" i="4"/>
  <c r="S28" i="4"/>
  <c r="S24" i="4"/>
  <c r="S20" i="4"/>
  <c r="S16" i="4"/>
  <c r="S12" i="4"/>
  <c r="S8" i="4"/>
  <c r="S42" i="4"/>
  <c r="S38" i="4"/>
  <c r="S34" i="4"/>
  <c r="J45" i="4"/>
  <c r="K45" i="4" s="1"/>
  <c r="J43" i="4"/>
  <c r="K43" i="4" s="1"/>
  <c r="J42" i="4"/>
  <c r="K42" i="4" s="1"/>
  <c r="J41" i="4"/>
  <c r="K41" i="4" s="1"/>
  <c r="J40" i="4"/>
  <c r="K40" i="4" s="1"/>
  <c r="J39" i="4"/>
  <c r="K39" i="4" s="1"/>
  <c r="J38" i="4"/>
  <c r="K38" i="4" s="1"/>
  <c r="J37" i="4"/>
  <c r="K37" i="4" s="1"/>
  <c r="J36" i="4"/>
  <c r="K36" i="4" s="1"/>
  <c r="J35" i="4"/>
  <c r="K35" i="4" s="1"/>
  <c r="J34" i="4"/>
  <c r="K34" i="4" s="1"/>
  <c r="J33" i="4"/>
  <c r="K33" i="4" s="1"/>
  <c r="J32" i="4"/>
  <c r="K32" i="4" s="1"/>
  <c r="J31" i="4"/>
  <c r="K31" i="4" s="1"/>
  <c r="J30" i="4"/>
  <c r="K30" i="4" s="1"/>
  <c r="J29" i="4"/>
  <c r="K29" i="4" s="1"/>
  <c r="J28" i="4"/>
  <c r="K28" i="4" s="1"/>
  <c r="J27" i="4"/>
  <c r="K27" i="4" s="1"/>
  <c r="J26" i="4"/>
  <c r="K26" i="4" s="1"/>
  <c r="J25" i="4"/>
  <c r="K25" i="4" s="1"/>
  <c r="J24" i="4"/>
  <c r="K24" i="4" s="1"/>
  <c r="J23" i="4"/>
  <c r="K23" i="4" s="1"/>
  <c r="J22" i="4"/>
  <c r="K22" i="4" s="1"/>
  <c r="J21" i="4"/>
  <c r="K21" i="4" s="1"/>
  <c r="J20" i="4"/>
  <c r="K20" i="4" s="1"/>
  <c r="J19" i="4"/>
  <c r="K19" i="4" s="1"/>
  <c r="J18" i="4"/>
  <c r="K18" i="4" s="1"/>
  <c r="J17" i="4"/>
  <c r="K17" i="4" s="1"/>
  <c r="J16" i="4"/>
  <c r="K16" i="4" s="1"/>
  <c r="J15" i="4"/>
  <c r="K15" i="4" s="1"/>
  <c r="J14" i="4"/>
  <c r="K14" i="4" s="1"/>
  <c r="J13" i="4"/>
  <c r="K13" i="4" s="1"/>
  <c r="J12" i="4"/>
  <c r="K12" i="4" s="1"/>
  <c r="J11" i="4"/>
  <c r="K11" i="4" s="1"/>
  <c r="J10" i="4"/>
  <c r="K10" i="4" s="1"/>
  <c r="J7" i="4"/>
  <c r="K7" i="4" s="1"/>
  <c r="J6" i="4"/>
  <c r="K6" i="4" s="1"/>
  <c r="C2" i="20"/>
  <c r="R2" i="20" s="1"/>
  <c r="Z65" i="4"/>
  <c r="Z78" i="4"/>
  <c r="Z97" i="4"/>
  <c r="Z81" i="4"/>
  <c r="Z70" i="4"/>
  <c r="Z85" i="4"/>
  <c r="Z59" i="4"/>
  <c r="Z92" i="4"/>
  <c r="Z60" i="4"/>
  <c r="Z89" i="4"/>
  <c r="Z46" i="4"/>
  <c r="Z67" i="4"/>
  <c r="Z49" i="4"/>
  <c r="Z68" i="4"/>
  <c r="Z82" i="4"/>
  <c r="Z86" i="4"/>
  <c r="Z51" i="4"/>
  <c r="Z84" i="4"/>
  <c r="Z54" i="4"/>
  <c r="Z95" i="4"/>
  <c r="Z57" i="4"/>
  <c r="Z75" i="4"/>
  <c r="Z79" i="4"/>
  <c r="Z100" i="4"/>
  <c r="Z77" i="4"/>
  <c r="Z76" i="4"/>
  <c r="Z88" i="4"/>
  <c r="Z73" i="4"/>
  <c r="Z87" i="4"/>
  <c r="Z80" i="4"/>
  <c r="Z94" i="4"/>
  <c r="Z98" i="4"/>
  <c r="Z91" i="4"/>
  <c r="Z58" i="4"/>
  <c r="Z53" i="4"/>
  <c r="Z56" i="4"/>
  <c r="Z48" i="4"/>
  <c r="Z61" i="4"/>
  <c r="Z62" i="4"/>
  <c r="W2" i="8" s="1"/>
  <c r="Z64" i="4"/>
  <c r="Z66" i="4"/>
  <c r="Z69" i="4"/>
  <c r="Z72" i="4"/>
  <c r="Z74" i="4"/>
  <c r="Z71" i="4"/>
  <c r="Z83" i="4"/>
  <c r="U85" i="4"/>
  <c r="C27" i="8" s="1"/>
  <c r="U88" i="4"/>
  <c r="C62" i="8" s="1"/>
  <c r="U87" i="4"/>
  <c r="C12" i="8" s="1"/>
  <c r="U94" i="4"/>
  <c r="D99" i="8" s="1"/>
  <c r="U97" i="4"/>
  <c r="U100" i="4"/>
  <c r="D87" i="8" s="1"/>
  <c r="U95" i="4"/>
  <c r="D25" i="8" s="1"/>
  <c r="K99" i="4"/>
  <c r="U98" i="4"/>
  <c r="D109" i="8" s="1"/>
  <c r="U86" i="4"/>
  <c r="C16" i="8" s="1"/>
  <c r="K90" i="4"/>
  <c r="U83" i="4"/>
  <c r="C39" i="8" s="1"/>
  <c r="U84" i="4"/>
  <c r="C10" i="8" s="1"/>
  <c r="K93" i="4"/>
  <c r="K96" i="4"/>
  <c r="U69" i="4"/>
  <c r="C46" i="8" s="1"/>
  <c r="U81" i="4"/>
  <c r="U75" i="4"/>
  <c r="U78" i="4"/>
  <c r="C72" i="8" s="1"/>
  <c r="U72" i="4"/>
  <c r="C57" i="8" s="1"/>
  <c r="U77" i="4"/>
  <c r="C55" i="8" s="1"/>
  <c r="U74" i="4"/>
  <c r="U67" i="4"/>
  <c r="C75" i="8" s="1"/>
  <c r="U68" i="4"/>
  <c r="U73" i="4"/>
  <c r="C67" i="8" s="1"/>
  <c r="U79" i="4"/>
  <c r="C15" i="8" s="1"/>
  <c r="U76" i="4"/>
  <c r="C58" i="8" s="1"/>
  <c r="U70" i="4"/>
  <c r="C76" i="8" s="1"/>
  <c r="U66" i="4"/>
  <c r="C14" i="8" s="1"/>
  <c r="U65" i="4"/>
  <c r="C108" i="8" s="1"/>
  <c r="U64" i="4"/>
  <c r="U61" i="4"/>
  <c r="K63" i="4"/>
  <c r="U59" i="4"/>
  <c r="U48" i="4"/>
  <c r="C40" i="8" s="1"/>
  <c r="U56" i="4"/>
  <c r="C64" i="8" s="1"/>
  <c r="U51" i="4"/>
  <c r="C78" i="8" s="1"/>
  <c r="U53" i="4"/>
  <c r="C59" i="8" s="1"/>
  <c r="U58" i="4"/>
  <c r="K52" i="4"/>
  <c r="K55" i="4"/>
  <c r="U54" i="4"/>
  <c r="C24" i="8" s="1"/>
  <c r="K47" i="4"/>
  <c r="K50" i="4"/>
  <c r="U49" i="4"/>
  <c r="C51" i="8" s="1"/>
  <c r="J9" i="4"/>
  <c r="J8" i="4"/>
  <c r="K8" i="4" s="1"/>
  <c r="J44" i="4"/>
  <c r="K44" i="4" s="1"/>
  <c r="B5" i="4"/>
  <c r="G5" i="4"/>
  <c r="I5" i="4" s="1"/>
  <c r="N5" i="4"/>
  <c r="O5" i="4"/>
  <c r="P5" i="4"/>
  <c r="Q5" i="4"/>
  <c r="R5" i="4"/>
  <c r="T5" i="4"/>
  <c r="W5" i="4"/>
  <c r="B4" i="4"/>
  <c r="G4" i="4"/>
  <c r="I4" i="4" s="1"/>
  <c r="N4" i="4"/>
  <c r="O4" i="4"/>
  <c r="P4" i="4"/>
  <c r="Q4" i="4"/>
  <c r="R4" i="4"/>
  <c r="T4" i="4"/>
  <c r="W4" i="4"/>
  <c r="B3" i="4"/>
  <c r="G3" i="4"/>
  <c r="I3" i="4" s="1"/>
  <c r="N3" i="4"/>
  <c r="O3" i="4"/>
  <c r="P3" i="4"/>
  <c r="Q3" i="4"/>
  <c r="T3" i="4"/>
  <c r="W3" i="4"/>
  <c r="R75" i="8" l="1"/>
  <c r="R72" i="8"/>
  <c r="S4" i="4"/>
  <c r="S3" i="4"/>
  <c r="S5" i="4"/>
  <c r="U18" i="4"/>
  <c r="C49" i="8" s="1"/>
  <c r="J3" i="4"/>
  <c r="K3" i="4" s="1"/>
  <c r="J4" i="4"/>
  <c r="K4" i="4" s="1"/>
  <c r="J5" i="4"/>
  <c r="K5" i="4" s="1"/>
  <c r="C107" i="8"/>
  <c r="C55" i="25"/>
  <c r="C86" i="8"/>
  <c r="C41" i="25"/>
  <c r="C116" i="8"/>
  <c r="C63" i="25"/>
  <c r="C97" i="8"/>
  <c r="C48" i="25"/>
  <c r="C118" i="8"/>
  <c r="C65" i="25"/>
  <c r="C77" i="8"/>
  <c r="C35" i="25"/>
  <c r="D31" i="8"/>
  <c r="D14" i="25"/>
  <c r="C29" i="13"/>
  <c r="C34" i="8"/>
  <c r="C30" i="13"/>
  <c r="C35" i="8"/>
  <c r="Z99" i="4"/>
  <c r="Z20" i="4"/>
  <c r="Z21" i="4"/>
  <c r="Z33" i="4"/>
  <c r="Z11" i="4"/>
  <c r="Z50" i="4"/>
  <c r="Z96" i="4"/>
  <c r="Z24" i="4"/>
  <c r="Z36" i="4"/>
  <c r="Z47" i="4"/>
  <c r="Z12" i="4"/>
  <c r="Z14" i="4"/>
  <c r="Z26" i="4"/>
  <c r="Z38" i="4"/>
  <c r="Z31" i="4"/>
  <c r="Z25" i="4"/>
  <c r="Z15" i="4"/>
  <c r="Z39" i="4"/>
  <c r="Z55" i="4"/>
  <c r="Z16" i="4"/>
  <c r="Z28" i="4"/>
  <c r="Z52" i="4"/>
  <c r="Z29" i="4"/>
  <c r="Z6" i="4"/>
  <c r="Z41" i="4"/>
  <c r="Z18" i="4"/>
  <c r="Z19" i="4"/>
  <c r="Z7" i="4"/>
  <c r="Z42" i="4"/>
  <c r="Z34" i="4"/>
  <c r="Z45" i="4"/>
  <c r="Z43" i="4"/>
  <c r="D78" i="13"/>
  <c r="D57" i="25"/>
  <c r="D70" i="13"/>
  <c r="D50" i="25"/>
  <c r="Z93" i="4"/>
  <c r="C60" i="13"/>
  <c r="Z44" i="4"/>
  <c r="Z8" i="4"/>
  <c r="Z10" i="4"/>
  <c r="Z17" i="4"/>
  <c r="Z22" i="4"/>
  <c r="Z23" i="4"/>
  <c r="Z27" i="4"/>
  <c r="Z30" i="4"/>
  <c r="Z32" i="4"/>
  <c r="Z35" i="4"/>
  <c r="Z37" i="4"/>
  <c r="Z40" i="4"/>
  <c r="Z13" i="4"/>
  <c r="Z63" i="4"/>
  <c r="C77" i="13"/>
  <c r="C14" i="13"/>
  <c r="C49" i="13"/>
  <c r="C38" i="13"/>
  <c r="C10" i="13"/>
  <c r="C32" i="13"/>
  <c r="Z90" i="4"/>
  <c r="C15" i="13"/>
  <c r="C12" i="13"/>
  <c r="C25" i="13"/>
  <c r="C14" i="12"/>
  <c r="C2" i="12"/>
  <c r="C25" i="12"/>
  <c r="S25" i="12" s="1"/>
  <c r="C11" i="12"/>
  <c r="S11" i="12" s="1"/>
  <c r="C22" i="12"/>
  <c r="S22" i="12" s="1"/>
  <c r="C36" i="12"/>
  <c r="S36" i="12" s="1"/>
  <c r="C30" i="12"/>
  <c r="S30" i="12" s="1"/>
  <c r="C16" i="12"/>
  <c r="U93" i="4"/>
  <c r="D26" i="8" s="1"/>
  <c r="U90" i="4"/>
  <c r="C26" i="8" s="1"/>
  <c r="U99" i="4"/>
  <c r="D94" i="8" s="1"/>
  <c r="U19" i="4"/>
  <c r="C85" i="8" s="1"/>
  <c r="U7" i="4"/>
  <c r="C105" i="8" s="1"/>
  <c r="U45" i="4"/>
  <c r="C22" i="8" s="1"/>
  <c r="U13" i="4"/>
  <c r="C25" i="8" s="1"/>
  <c r="U47" i="4"/>
  <c r="C66" i="8" s="1"/>
  <c r="U42" i="4"/>
  <c r="C50" i="8" s="1"/>
  <c r="U41" i="4"/>
  <c r="C52" i="8" s="1"/>
  <c r="U38" i="4"/>
  <c r="C32" i="8" s="1"/>
  <c r="U39" i="4"/>
  <c r="C36" i="8" s="1"/>
  <c r="U30" i="4"/>
  <c r="C28" i="8" s="1"/>
  <c r="U37" i="4"/>
  <c r="U33" i="4"/>
  <c r="C111" i="8" s="1"/>
  <c r="U25" i="4"/>
  <c r="C53" i="8" s="1"/>
  <c r="U36" i="4"/>
  <c r="C83" i="8" s="1"/>
  <c r="U31" i="4"/>
  <c r="U29" i="4"/>
  <c r="C87" i="8" s="1"/>
  <c r="U17" i="4"/>
  <c r="U24" i="4"/>
  <c r="C29" i="8" s="1"/>
  <c r="U27" i="4"/>
  <c r="C100" i="8" s="1"/>
  <c r="U22" i="4"/>
  <c r="U26" i="4"/>
  <c r="C60" i="8" s="1"/>
  <c r="U23" i="4"/>
  <c r="C47" i="8" s="1"/>
  <c r="U14" i="4"/>
  <c r="C63" i="8" s="1"/>
  <c r="U6" i="4"/>
  <c r="C42" i="8" s="1"/>
  <c r="U21" i="4"/>
  <c r="C48" i="8" s="1"/>
  <c r="U10" i="4"/>
  <c r="C94" i="8" s="1"/>
  <c r="U12" i="4"/>
  <c r="C117" i="8" s="1"/>
  <c r="U16" i="4"/>
  <c r="U15" i="4"/>
  <c r="C74" i="8" s="1"/>
  <c r="U11" i="4"/>
  <c r="C7" i="8" s="1"/>
  <c r="K9" i="4"/>
  <c r="U8" i="4"/>
  <c r="U44" i="4"/>
  <c r="C30" i="8" s="1"/>
  <c r="S72" i="8" l="1"/>
  <c r="R89" i="8"/>
  <c r="R91" i="8"/>
  <c r="S91" i="8" s="1"/>
  <c r="R106" i="8"/>
  <c r="S106" i="8" s="1"/>
  <c r="R7" i="8"/>
  <c r="R83" i="8"/>
  <c r="R117" i="8"/>
  <c r="C25" i="25"/>
  <c r="R81" i="8"/>
  <c r="R56" i="13" s="1"/>
  <c r="C23" i="8"/>
  <c r="C11" i="25"/>
  <c r="C38" i="8"/>
  <c r="C19" i="25"/>
  <c r="C112" i="8"/>
  <c r="C59" i="25"/>
  <c r="C37" i="8"/>
  <c r="C18" i="25"/>
  <c r="C56" i="8"/>
  <c r="C28" i="25"/>
  <c r="C33" i="8"/>
  <c r="C16" i="25"/>
  <c r="R86" i="8"/>
  <c r="R90" i="8"/>
  <c r="R64" i="13" s="1"/>
  <c r="R2" i="8"/>
  <c r="R2" i="13" s="1"/>
  <c r="R19" i="8"/>
  <c r="R18" i="13" s="1"/>
  <c r="R70" i="8"/>
  <c r="S70" i="8" s="1"/>
  <c r="R114" i="8"/>
  <c r="R25" i="8"/>
  <c r="R80" i="8"/>
  <c r="S80" i="8" s="1"/>
  <c r="R37" i="8"/>
  <c r="R58" i="8"/>
  <c r="R103" i="8"/>
  <c r="S103" i="8" s="1"/>
  <c r="R69" i="8"/>
  <c r="S69" i="8" s="1"/>
  <c r="R12" i="8"/>
  <c r="R12" i="13" s="1"/>
  <c r="R87" i="8"/>
  <c r="R61" i="13" s="1"/>
  <c r="R11" i="8"/>
  <c r="R61" i="8"/>
  <c r="S61" i="8" s="1"/>
  <c r="R60" i="8"/>
  <c r="R46" i="13" s="1"/>
  <c r="R51" i="8"/>
  <c r="R42" i="13" s="1"/>
  <c r="R13" i="8"/>
  <c r="R16" i="8"/>
  <c r="R15" i="13" s="1"/>
  <c r="R110" i="8"/>
  <c r="S110" i="8" s="1"/>
  <c r="Z9" i="4"/>
  <c r="Z3" i="4"/>
  <c r="Z5" i="4"/>
  <c r="D24" i="13"/>
  <c r="C24" i="13"/>
  <c r="U9" i="4"/>
  <c r="C21" i="8" s="1"/>
  <c r="U5" i="4"/>
  <c r="C18" i="8" s="1"/>
  <c r="U4" i="4"/>
  <c r="Z4" i="4"/>
  <c r="AE52" i="8"/>
  <c r="AE42" i="8"/>
  <c r="AE18" i="8"/>
  <c r="AE30" i="8"/>
  <c r="AE105" i="8"/>
  <c r="AE112" i="8"/>
  <c r="AE24" i="8"/>
  <c r="AE94" i="8"/>
  <c r="AE4" i="8"/>
  <c r="AE116" i="8"/>
  <c r="AE28" i="8"/>
  <c r="AE50" i="8"/>
  <c r="AE66" i="8"/>
  <c r="AE98" i="8"/>
  <c r="AE22" i="8"/>
  <c r="AE54" i="8"/>
  <c r="AE76" i="8"/>
  <c r="AE14" i="8"/>
  <c r="AE47" i="8"/>
  <c r="AE33" i="8"/>
  <c r="AE48" i="8"/>
  <c r="AE36" i="8"/>
  <c r="AE53" i="8"/>
  <c r="AE62" i="8"/>
  <c r="AE99" i="8"/>
  <c r="AE100" i="8"/>
  <c r="AE82" i="8"/>
  <c r="AE23" i="8"/>
  <c r="AE40" i="8"/>
  <c r="AE8" i="8"/>
  <c r="AE109" i="8"/>
  <c r="AE20" i="8"/>
  <c r="AE88" i="8"/>
  <c r="AE84" i="8"/>
  <c r="AE56" i="8"/>
  <c r="AE32" i="8"/>
  <c r="AE31" i="8"/>
  <c r="AE96" i="8"/>
  <c r="AE55" i="8"/>
  <c r="AE46" i="8"/>
  <c r="AE3" i="8"/>
  <c r="AE29" i="8"/>
  <c r="AE39" i="8"/>
  <c r="AE10" i="8"/>
  <c r="AE74" i="8"/>
  <c r="AE57" i="8"/>
  <c r="AE49" i="8"/>
  <c r="AE9" i="8"/>
  <c r="AE79" i="8"/>
  <c r="AE5" i="8"/>
  <c r="AE63" i="8"/>
  <c r="AE17" i="8"/>
  <c r="AE78" i="8"/>
  <c r="AE67" i="8"/>
  <c r="AE68" i="8"/>
  <c r="AE107" i="8"/>
  <c r="AE44" i="8"/>
  <c r="S37" i="8" l="1"/>
  <c r="R73" i="13"/>
  <c r="S73" i="13" s="1"/>
  <c r="R92" i="8"/>
  <c r="S92" i="8" s="1"/>
  <c r="R21" i="8"/>
  <c r="R20" i="13" s="1"/>
  <c r="R59" i="8"/>
  <c r="R79" i="13"/>
  <c r="S79" i="13" s="1"/>
  <c r="R47" i="13"/>
  <c r="S47" i="13" s="1"/>
  <c r="R65" i="13"/>
  <c r="S65" i="13" s="1"/>
  <c r="R54" i="25"/>
  <c r="S54" i="25" s="1"/>
  <c r="R76" i="13"/>
  <c r="S76" i="13" s="1"/>
  <c r="R31" i="25"/>
  <c r="S31" i="25" s="1"/>
  <c r="R51" i="13"/>
  <c r="S51" i="13" s="1"/>
  <c r="R42" i="25"/>
  <c r="R63" i="13"/>
  <c r="R5" i="25"/>
  <c r="R13" i="13"/>
  <c r="R41" i="25"/>
  <c r="R60" i="13"/>
  <c r="R18" i="25"/>
  <c r="S18" i="25" s="1"/>
  <c r="R4" i="25"/>
  <c r="R11" i="13"/>
  <c r="R37" i="25"/>
  <c r="S37" i="25" s="1"/>
  <c r="R23" i="13"/>
  <c r="R12" i="25"/>
  <c r="R61" i="25"/>
  <c r="R82" i="13"/>
  <c r="R64" i="25"/>
  <c r="R32" i="25"/>
  <c r="S32" i="25" s="1"/>
  <c r="R57" i="13"/>
  <c r="R39" i="25"/>
  <c r="R3" i="25"/>
  <c r="R7" i="13"/>
  <c r="R27" i="8"/>
  <c r="R104" i="8"/>
  <c r="R74" i="13" s="1"/>
  <c r="R97" i="8"/>
  <c r="S97" i="8" s="1"/>
  <c r="R26" i="8"/>
  <c r="R24" i="13" s="1"/>
  <c r="R77" i="8"/>
  <c r="S77" i="8" s="1"/>
  <c r="R15" i="8"/>
  <c r="R2" i="12" s="1"/>
  <c r="R6" i="8"/>
  <c r="R6" i="13" s="1"/>
  <c r="R118" i="8"/>
  <c r="S118" i="8" s="1"/>
  <c r="R71" i="8"/>
  <c r="R108" i="8"/>
  <c r="S108" i="8" s="1"/>
  <c r="R111" i="8"/>
  <c r="R95" i="8"/>
  <c r="R113" i="8"/>
  <c r="S113" i="8" s="1"/>
  <c r="R115" i="8"/>
  <c r="S115" i="8" s="1"/>
  <c r="R41" i="8"/>
  <c r="R34" i="13" s="1"/>
  <c r="R45" i="8"/>
  <c r="C31" i="8"/>
  <c r="C14" i="25"/>
  <c r="R65" i="8"/>
  <c r="R85" i="8"/>
  <c r="R59" i="13" s="1"/>
  <c r="R64" i="8"/>
  <c r="R73" i="8"/>
  <c r="R101" i="8"/>
  <c r="T105" i="22"/>
  <c r="T53" i="22"/>
  <c r="T27" i="22"/>
  <c r="T64" i="22"/>
  <c r="T94" i="22"/>
  <c r="T56" i="22"/>
  <c r="T24" i="22"/>
  <c r="T74" i="22"/>
  <c r="T9" i="22"/>
  <c r="T97" i="22"/>
  <c r="T31" i="22"/>
  <c r="T68" i="22"/>
  <c r="T38" i="22"/>
  <c r="T69" i="22"/>
  <c r="T54" i="22"/>
  <c r="T70" i="22"/>
  <c r="T63" i="22"/>
  <c r="T30" i="22"/>
  <c r="T36" i="22"/>
  <c r="T60" i="22"/>
  <c r="T32" i="22"/>
  <c r="T33" i="22"/>
  <c r="T81" i="22"/>
  <c r="T106" i="22"/>
  <c r="T107" i="22"/>
  <c r="T48" i="22"/>
  <c r="T20" i="22"/>
  <c r="T93" i="22"/>
  <c r="T3" i="22"/>
  <c r="T108" i="22"/>
  <c r="T79" i="22"/>
  <c r="T71" i="22"/>
  <c r="T16" i="22"/>
  <c r="T88" i="22"/>
  <c r="T37" i="22"/>
  <c r="T47" i="22"/>
  <c r="T46" i="22"/>
  <c r="T42" i="22"/>
  <c r="T22" i="22"/>
  <c r="T4" i="22"/>
  <c r="T100" i="22"/>
  <c r="T73" i="22"/>
  <c r="T8" i="22"/>
  <c r="T18" i="22"/>
  <c r="T40" i="22"/>
  <c r="T77" i="22"/>
  <c r="T28" i="22"/>
  <c r="T23" i="22"/>
  <c r="T17" i="22"/>
  <c r="T29" i="22"/>
  <c r="T11" i="22"/>
  <c r="T41" i="22"/>
  <c r="T89" i="22"/>
  <c r="T6" i="22"/>
  <c r="T109" i="22"/>
  <c r="T49" i="22"/>
  <c r="T58" i="22"/>
  <c r="T7" i="22"/>
  <c r="U52" i="8"/>
  <c r="U42" i="8"/>
  <c r="U18" i="8"/>
  <c r="U30" i="8"/>
  <c r="U105" i="8"/>
  <c r="U112" i="8"/>
  <c r="U24" i="8"/>
  <c r="U94" i="8"/>
  <c r="U4" i="8"/>
  <c r="U116" i="8"/>
  <c r="U28" i="8"/>
  <c r="U50" i="8"/>
  <c r="U66" i="8"/>
  <c r="U98" i="8"/>
  <c r="U22" i="8"/>
  <c r="U54" i="8"/>
  <c r="U76" i="8"/>
  <c r="K13" i="8"/>
  <c r="U14" i="8"/>
  <c r="F48" i="8"/>
  <c r="U47" i="8"/>
  <c r="U33" i="8"/>
  <c r="K47" i="8"/>
  <c r="L47" i="8"/>
  <c r="U48" i="8"/>
  <c r="U36" i="8"/>
  <c r="L53" i="8"/>
  <c r="U53" i="8"/>
  <c r="U62" i="8"/>
  <c r="I100" i="8"/>
  <c r="U99" i="8"/>
  <c r="U100" i="8"/>
  <c r="E87" i="8"/>
  <c r="U82" i="8"/>
  <c r="U23" i="8"/>
  <c r="G38" i="8"/>
  <c r="U40" i="8"/>
  <c r="K9" i="8"/>
  <c r="L9" i="8"/>
  <c r="U8" i="8"/>
  <c r="E111" i="8"/>
  <c r="U109" i="8"/>
  <c r="U20" i="8"/>
  <c r="U88" i="8"/>
  <c r="U84" i="8"/>
  <c r="F56" i="8"/>
  <c r="H56" i="8"/>
  <c r="U56" i="8"/>
  <c r="L32" i="8"/>
  <c r="U32" i="8"/>
  <c r="U31" i="8"/>
  <c r="U96" i="8"/>
  <c r="E52" i="8"/>
  <c r="F52" i="8"/>
  <c r="J52" i="8"/>
  <c r="U55" i="8"/>
  <c r="G50" i="8"/>
  <c r="H50" i="8"/>
  <c r="U46" i="8"/>
  <c r="U3" i="8"/>
  <c r="I30" i="8"/>
  <c r="J30" i="8"/>
  <c r="U29" i="8"/>
  <c r="E22" i="8"/>
  <c r="I22" i="8"/>
  <c r="L22" i="8"/>
  <c r="U39" i="8"/>
  <c r="E8" i="8"/>
  <c r="F8" i="8"/>
  <c r="G8" i="8"/>
  <c r="U10" i="8"/>
  <c r="G66" i="8"/>
  <c r="I66" i="8"/>
  <c r="K66" i="8"/>
  <c r="L66" i="8"/>
  <c r="U74" i="8"/>
  <c r="H40" i="8"/>
  <c r="I40" i="8"/>
  <c r="K40" i="8"/>
  <c r="L40" i="8"/>
  <c r="U57" i="8"/>
  <c r="H51" i="8"/>
  <c r="I51" i="8"/>
  <c r="J51" i="8"/>
  <c r="K51" i="8"/>
  <c r="L51" i="8"/>
  <c r="U49" i="8"/>
  <c r="U9" i="8"/>
  <c r="G78" i="8"/>
  <c r="H78" i="8"/>
  <c r="I78" i="8"/>
  <c r="J78" i="8"/>
  <c r="K78" i="8"/>
  <c r="L78" i="8"/>
  <c r="U79" i="8"/>
  <c r="U5" i="8"/>
  <c r="F59" i="8"/>
  <c r="G59" i="8"/>
  <c r="H59" i="8"/>
  <c r="L59" i="8"/>
  <c r="U63" i="8"/>
  <c r="E24" i="8"/>
  <c r="J24" i="8"/>
  <c r="U17" i="8"/>
  <c r="E68" i="8"/>
  <c r="G68" i="8"/>
  <c r="H68" i="8"/>
  <c r="I68" i="8"/>
  <c r="L68" i="8"/>
  <c r="U78" i="8"/>
  <c r="E64" i="8"/>
  <c r="F64" i="8"/>
  <c r="G64" i="8"/>
  <c r="H64" i="8"/>
  <c r="I64" i="8"/>
  <c r="K64" i="8"/>
  <c r="L64" i="8"/>
  <c r="U67" i="8"/>
  <c r="E79" i="8"/>
  <c r="H79" i="8"/>
  <c r="I79" i="8"/>
  <c r="K79" i="8"/>
  <c r="L79" i="8"/>
  <c r="U68" i="8"/>
  <c r="E107" i="8"/>
  <c r="F107" i="8"/>
  <c r="G107" i="8"/>
  <c r="H107" i="8"/>
  <c r="I107" i="8"/>
  <c r="J107" i="8"/>
  <c r="K107" i="8"/>
  <c r="L107" i="8"/>
  <c r="U107" i="8"/>
  <c r="F34" i="8"/>
  <c r="G34" i="8"/>
  <c r="H34" i="8"/>
  <c r="I34" i="8"/>
  <c r="J34" i="8"/>
  <c r="K34" i="8"/>
  <c r="L34" i="8"/>
  <c r="U34" i="8"/>
  <c r="E41" i="8"/>
  <c r="F41" i="8"/>
  <c r="G41" i="8"/>
  <c r="H41" i="8"/>
  <c r="I41" i="8"/>
  <c r="J41" i="8"/>
  <c r="K41" i="8"/>
  <c r="L41" i="8"/>
  <c r="U38" i="8"/>
  <c r="E35" i="8"/>
  <c r="F35" i="8"/>
  <c r="H35" i="8"/>
  <c r="U35" i="8"/>
  <c r="T27" i="25"/>
  <c r="T8" i="25"/>
  <c r="T53" i="25"/>
  <c r="T10" i="25"/>
  <c r="M45" i="25"/>
  <c r="T45" i="25"/>
  <c r="T3" i="25"/>
  <c r="T64" i="25"/>
  <c r="H12" i="25"/>
  <c r="T12" i="25"/>
  <c r="C29" i="25"/>
  <c r="T29" i="25"/>
  <c r="T5" i="25"/>
  <c r="D58" i="25"/>
  <c r="G58" i="25"/>
  <c r="H58" i="25"/>
  <c r="J58" i="25"/>
  <c r="M58" i="25"/>
  <c r="T58" i="25"/>
  <c r="D7" i="25"/>
  <c r="T7" i="25"/>
  <c r="E39" i="25"/>
  <c r="H39" i="25"/>
  <c r="I39" i="25"/>
  <c r="L39" i="25"/>
  <c r="M39" i="25"/>
  <c r="T39" i="25"/>
  <c r="C15" i="25"/>
  <c r="D15" i="25"/>
  <c r="E15" i="25"/>
  <c r="F15" i="25"/>
  <c r="G15" i="25"/>
  <c r="H15" i="25"/>
  <c r="T15" i="25"/>
  <c r="H17" i="25"/>
  <c r="K17" i="25"/>
  <c r="L17" i="25"/>
  <c r="M17" i="25"/>
  <c r="T17" i="25"/>
  <c r="G26" i="25"/>
  <c r="H26" i="25"/>
  <c r="I26" i="25"/>
  <c r="K26" i="25"/>
  <c r="M26" i="25"/>
  <c r="T26" i="25"/>
  <c r="E4" i="25"/>
  <c r="T4" i="25"/>
  <c r="D36" i="25"/>
  <c r="E36" i="25"/>
  <c r="H36" i="25"/>
  <c r="I36" i="25"/>
  <c r="J36" i="25"/>
  <c r="K36" i="25"/>
  <c r="M36" i="25"/>
  <c r="T36" i="25"/>
  <c r="C56" i="25"/>
  <c r="D56" i="25"/>
  <c r="E56" i="25"/>
  <c r="F56" i="25"/>
  <c r="G56" i="25"/>
  <c r="H56" i="25"/>
  <c r="I56" i="25"/>
  <c r="L56" i="25"/>
  <c r="M56" i="25"/>
  <c r="T56" i="25"/>
  <c r="C6" i="25"/>
  <c r="E6" i="25"/>
  <c r="I6" i="25"/>
  <c r="T6" i="25"/>
  <c r="C24" i="25"/>
  <c r="D24" i="25"/>
  <c r="E24" i="25"/>
  <c r="F24" i="25"/>
  <c r="G24" i="25"/>
  <c r="H24" i="25"/>
  <c r="I24" i="25"/>
  <c r="K24" i="25"/>
  <c r="M24" i="25"/>
  <c r="T24" i="25"/>
  <c r="D30" i="25"/>
  <c r="E30" i="25"/>
  <c r="F30" i="25"/>
  <c r="G30" i="25"/>
  <c r="H30" i="25"/>
  <c r="I30" i="25"/>
  <c r="J30" i="25"/>
  <c r="K30" i="25"/>
  <c r="M30" i="25"/>
  <c r="T30" i="25"/>
  <c r="T45" i="13"/>
  <c r="T17" i="13"/>
  <c r="T35" i="13"/>
  <c r="T75" i="13"/>
  <c r="T20" i="13"/>
  <c r="T67" i="13"/>
  <c r="T7" i="13"/>
  <c r="T82" i="13"/>
  <c r="T23" i="13"/>
  <c r="T48" i="13"/>
  <c r="T53" i="13"/>
  <c r="T59" i="13"/>
  <c r="T13" i="13"/>
  <c r="T40" i="13"/>
  <c r="D39" i="13"/>
  <c r="M39" i="13"/>
  <c r="T39" i="13"/>
  <c r="K44" i="13"/>
  <c r="M44" i="13"/>
  <c r="T44" i="13"/>
  <c r="F46" i="13"/>
  <c r="T46" i="13"/>
  <c r="K71" i="13"/>
  <c r="L71" i="13"/>
  <c r="T71" i="13"/>
  <c r="T61" i="13"/>
  <c r="T26" i="13"/>
  <c r="T9" i="13"/>
  <c r="D80" i="13"/>
  <c r="K80" i="13"/>
  <c r="T80" i="13"/>
  <c r="T16" i="13"/>
  <c r="T62" i="13"/>
  <c r="T57" i="13"/>
  <c r="F28" i="13"/>
  <c r="H28" i="13"/>
  <c r="I28" i="13"/>
  <c r="T28" i="13"/>
  <c r="L31" i="13"/>
  <c r="T31" i="13"/>
  <c r="C43" i="13"/>
  <c r="D43" i="13"/>
  <c r="E43" i="13"/>
  <c r="F43" i="13"/>
  <c r="J43" i="13"/>
  <c r="T43" i="13"/>
  <c r="D41" i="13"/>
  <c r="G41" i="13"/>
  <c r="H41" i="13"/>
  <c r="M41" i="13"/>
  <c r="T41" i="13"/>
  <c r="T3" i="13"/>
  <c r="I27" i="13"/>
  <c r="J27" i="13"/>
  <c r="M27" i="13"/>
  <c r="T27" i="13"/>
  <c r="E21" i="13"/>
  <c r="I21" i="13"/>
  <c r="L21" i="13"/>
  <c r="M21" i="13"/>
  <c r="T21" i="13"/>
  <c r="E8" i="13"/>
  <c r="F8" i="13"/>
  <c r="G8" i="13"/>
  <c r="T8" i="13"/>
  <c r="G33" i="13"/>
  <c r="I33" i="13"/>
  <c r="K33" i="13"/>
  <c r="L33" i="13"/>
  <c r="T33" i="13"/>
  <c r="H42" i="13"/>
  <c r="I42" i="13"/>
  <c r="J42" i="13"/>
  <c r="K42" i="13"/>
  <c r="L42" i="13"/>
  <c r="M42" i="13"/>
  <c r="T42" i="13"/>
  <c r="M11" i="13"/>
  <c r="T11" i="13"/>
  <c r="F54" i="13"/>
  <c r="G54" i="13"/>
  <c r="H54" i="13"/>
  <c r="I54" i="13"/>
  <c r="J54" i="13"/>
  <c r="K54" i="13"/>
  <c r="L54" i="13"/>
  <c r="M54" i="13"/>
  <c r="T54" i="13"/>
  <c r="D5" i="13"/>
  <c r="T5" i="13"/>
  <c r="C22" i="13"/>
  <c r="D22" i="13"/>
  <c r="E22" i="13"/>
  <c r="J22" i="13"/>
  <c r="M22" i="13"/>
  <c r="T22" i="13"/>
  <c r="D50" i="13"/>
  <c r="E50" i="13"/>
  <c r="G50" i="13"/>
  <c r="H50" i="13"/>
  <c r="I50" i="13"/>
  <c r="K50" i="13"/>
  <c r="L50" i="13"/>
  <c r="M50" i="13"/>
  <c r="T50" i="13"/>
  <c r="T5" i="12"/>
  <c r="T19" i="12"/>
  <c r="T29" i="12"/>
  <c r="M33" i="12"/>
  <c r="T33" i="12"/>
  <c r="E32" i="12"/>
  <c r="M32" i="12"/>
  <c r="T32" i="12"/>
  <c r="K7" i="12"/>
  <c r="L7" i="12"/>
  <c r="M7" i="12"/>
  <c r="T7" i="12"/>
  <c r="E12" i="12"/>
  <c r="T12" i="12"/>
  <c r="T8" i="12"/>
  <c r="T15" i="12"/>
  <c r="C17" i="12"/>
  <c r="T17" i="12"/>
  <c r="G3" i="12"/>
  <c r="I3" i="12"/>
  <c r="J3" i="12"/>
  <c r="K3" i="12"/>
  <c r="L3" i="12"/>
  <c r="T3" i="12"/>
  <c r="D31" i="12"/>
  <c r="E31" i="12"/>
  <c r="F31" i="12"/>
  <c r="G31" i="12"/>
  <c r="H31" i="12"/>
  <c r="L31" i="12"/>
  <c r="T31" i="12"/>
  <c r="C10" i="12"/>
  <c r="D10" i="12"/>
  <c r="E10" i="12"/>
  <c r="F10" i="12"/>
  <c r="G10" i="12"/>
  <c r="H10" i="12"/>
  <c r="I10" i="12"/>
  <c r="L10" i="12"/>
  <c r="M10" i="12"/>
  <c r="T10" i="12"/>
  <c r="C6" i="12"/>
  <c r="D6" i="12"/>
  <c r="E6" i="12"/>
  <c r="F6" i="12"/>
  <c r="G6" i="12"/>
  <c r="H6" i="12"/>
  <c r="K6" i="12"/>
  <c r="L6" i="12"/>
  <c r="M6" i="12"/>
  <c r="T6" i="12"/>
  <c r="C4" i="12"/>
  <c r="D4" i="12"/>
  <c r="E4" i="12"/>
  <c r="G4" i="12"/>
  <c r="H4" i="12"/>
  <c r="I4" i="12"/>
  <c r="L4" i="12"/>
  <c r="T4" i="12"/>
  <c r="R43" i="25" l="1"/>
  <c r="S43" i="25" s="1"/>
  <c r="R10" i="25"/>
  <c r="R81" i="13"/>
  <c r="S81" i="13" s="1"/>
  <c r="R62" i="25"/>
  <c r="S62" i="25" s="1"/>
  <c r="R48" i="25"/>
  <c r="S48" i="25" s="1"/>
  <c r="R60" i="25"/>
  <c r="S60" i="25" s="1"/>
  <c r="R51" i="25"/>
  <c r="R46" i="25"/>
  <c r="R68" i="13"/>
  <c r="R25" i="13"/>
  <c r="R13" i="25"/>
  <c r="R34" i="25"/>
  <c r="R52" i="13"/>
  <c r="R58" i="25"/>
  <c r="R80" i="13"/>
  <c r="R56" i="25"/>
  <c r="R77" i="13"/>
  <c r="S77" i="13" s="1"/>
  <c r="R33" i="25"/>
  <c r="R65" i="25"/>
  <c r="S65" i="25" s="1"/>
  <c r="R23" i="25"/>
  <c r="R35" i="25"/>
  <c r="S35" i="25" s="1"/>
  <c r="R38" i="8"/>
  <c r="R102" i="8"/>
  <c r="S102" i="8" s="1"/>
  <c r="R35" i="8"/>
  <c r="R30" i="13" s="1"/>
  <c r="R119" i="8"/>
  <c r="S119" i="8" s="1"/>
  <c r="R43" i="8"/>
  <c r="R34" i="8"/>
  <c r="R29" i="13" s="1"/>
  <c r="C23" i="12"/>
  <c r="D23" i="12"/>
  <c r="E23" i="12"/>
  <c r="F23" i="12"/>
  <c r="G23" i="12"/>
  <c r="H23" i="12"/>
  <c r="I23" i="12"/>
  <c r="J23" i="12"/>
  <c r="K23" i="12"/>
  <c r="M23" i="12"/>
  <c r="T23" i="12"/>
  <c r="C37" i="12"/>
  <c r="D37" i="12"/>
  <c r="E37" i="12"/>
  <c r="F37" i="12"/>
  <c r="G37" i="12"/>
  <c r="H37" i="12"/>
  <c r="I37" i="12"/>
  <c r="J37" i="12"/>
  <c r="K37" i="12"/>
  <c r="L37" i="12"/>
  <c r="M37" i="12"/>
  <c r="T37" i="12"/>
  <c r="C24" i="12"/>
  <c r="D24" i="12"/>
  <c r="E24" i="12"/>
  <c r="F24" i="12"/>
  <c r="G24" i="12"/>
  <c r="H24" i="12"/>
  <c r="I24" i="12"/>
  <c r="J24" i="12"/>
  <c r="K24" i="12"/>
  <c r="L24" i="12"/>
  <c r="M24" i="12"/>
  <c r="T24" i="12"/>
  <c r="C13" i="12"/>
  <c r="D13" i="12"/>
  <c r="E13" i="12"/>
  <c r="F13" i="12"/>
  <c r="G13" i="12"/>
  <c r="H13" i="12"/>
  <c r="I13" i="12"/>
  <c r="J13" i="12"/>
  <c r="L13" i="12"/>
  <c r="M13" i="12"/>
  <c r="T13" i="12"/>
  <c r="S24" i="12" l="1"/>
  <c r="S37" i="12"/>
  <c r="R36" i="13"/>
  <c r="R21" i="25"/>
  <c r="R83" i="13"/>
  <c r="S83" i="13" s="1"/>
  <c r="R66" i="25"/>
  <c r="S66" i="25" s="1"/>
  <c r="R52" i="25"/>
  <c r="S52" i="25" s="1"/>
  <c r="R72" i="13"/>
  <c r="S72" i="13" s="1"/>
  <c r="R19" i="25"/>
  <c r="M53" i="13" l="1"/>
  <c r="M12" i="12"/>
  <c r="M43" i="13"/>
  <c r="M8" i="25"/>
  <c r="M5" i="12"/>
  <c r="M46" i="13"/>
  <c r="M71" i="13"/>
  <c r="M29" i="25"/>
  <c r="M17" i="12"/>
  <c r="M48" i="13"/>
  <c r="M64" i="25"/>
  <c r="M57" i="13"/>
  <c r="M15" i="12"/>
  <c r="M29" i="12"/>
  <c r="M26" i="13"/>
  <c r="M3" i="25"/>
  <c r="M62" i="13"/>
  <c r="M35" i="13"/>
  <c r="M12" i="25"/>
  <c r="M28" i="13"/>
  <c r="M4" i="25"/>
  <c r="M31" i="12"/>
  <c r="M80" i="13"/>
  <c r="M15" i="25"/>
  <c r="M8" i="13"/>
  <c r="L8" i="8" l="1"/>
  <c r="L94" i="8"/>
  <c r="L96" i="8"/>
  <c r="L21" i="8"/>
  <c r="L42" i="8"/>
  <c r="L112" i="8"/>
  <c r="L30" i="8"/>
  <c r="L52" i="8"/>
  <c r="L83" i="8"/>
  <c r="L60" i="8"/>
  <c r="L56" i="8"/>
  <c r="L49" i="8"/>
  <c r="L36" i="8"/>
  <c r="L100" i="8"/>
  <c r="L111" i="8"/>
  <c r="L31" i="8"/>
  <c r="L48" i="8"/>
  <c r="L23" i="8"/>
  <c r="L88" i="8"/>
  <c r="L85" i="8"/>
  <c r="L74" i="8"/>
  <c r="L18" i="8"/>
  <c r="L33" i="8"/>
  <c r="L101" i="8"/>
  <c r="L87" i="8"/>
  <c r="T22" i="25"/>
  <c r="C20" i="25"/>
  <c r="D20" i="25"/>
  <c r="E20" i="25"/>
  <c r="G20" i="25"/>
  <c r="H20" i="25"/>
  <c r="I20" i="25"/>
  <c r="J20" i="25"/>
  <c r="L20" i="25"/>
  <c r="M20" i="25"/>
  <c r="T20" i="25"/>
  <c r="C13" i="25"/>
  <c r="F13" i="25"/>
  <c r="G13" i="25"/>
  <c r="H13" i="25"/>
  <c r="I13" i="25"/>
  <c r="J13" i="25"/>
  <c r="K13" i="25"/>
  <c r="L13" i="25"/>
  <c r="T13" i="25"/>
  <c r="L44" i="13" l="1"/>
  <c r="L19" i="12"/>
  <c r="L39" i="13"/>
  <c r="L43" i="13"/>
  <c r="L35" i="13"/>
  <c r="L29" i="25"/>
  <c r="L17" i="12"/>
  <c r="L46" i="13"/>
  <c r="L12" i="12"/>
  <c r="L15" i="12"/>
  <c r="L28" i="13"/>
  <c r="L27" i="13"/>
  <c r="L67" i="13"/>
  <c r="L32" i="12"/>
  <c r="L8" i="25"/>
  <c r="L5" i="12"/>
  <c r="L80" i="13"/>
  <c r="L29" i="12"/>
  <c r="L20" i="13"/>
  <c r="L58" i="25"/>
  <c r="L15" i="25"/>
  <c r="L8" i="13"/>
  <c r="L45" i="25"/>
  <c r="L33" i="12"/>
  <c r="L62" i="13"/>
  <c r="L17" i="13"/>
  <c r="L10" i="25"/>
  <c r="L9" i="13"/>
  <c r="L40" i="13"/>
  <c r="L64" i="25"/>
  <c r="L57" i="13"/>
  <c r="K36" i="8" l="1"/>
  <c r="K15" i="12"/>
  <c r="K60" i="8"/>
  <c r="K8" i="8"/>
  <c r="K52" i="8"/>
  <c r="K68" i="8"/>
  <c r="K53" i="8"/>
  <c r="K59" i="8"/>
  <c r="K96" i="8"/>
  <c r="K23" i="8"/>
  <c r="K42" i="8"/>
  <c r="K88" i="8"/>
  <c r="K87" i="8"/>
  <c r="K94" i="8"/>
  <c r="K101" i="8"/>
  <c r="K48" i="8"/>
  <c r="K56" i="8"/>
  <c r="K74" i="8"/>
  <c r="K31" i="8"/>
  <c r="K111" i="8"/>
  <c r="K100" i="8"/>
  <c r="K25" i="8"/>
  <c r="K38" i="8"/>
  <c r="K48" i="13" l="1"/>
  <c r="K10" i="25"/>
  <c r="K9" i="13"/>
  <c r="K12" i="12"/>
  <c r="K17" i="13"/>
  <c r="K8" i="25"/>
  <c r="K5" i="12"/>
  <c r="K12" i="25"/>
  <c r="K46" i="13"/>
  <c r="K45" i="25"/>
  <c r="K33" i="12"/>
  <c r="K8" i="12"/>
  <c r="K64" i="25"/>
  <c r="K32" i="12"/>
  <c r="K62" i="13"/>
  <c r="K35" i="13"/>
  <c r="K13" i="13"/>
  <c r="K82" i="13"/>
  <c r="K29" i="25"/>
  <c r="K17" i="12"/>
  <c r="K31" i="12"/>
  <c r="K56" i="25"/>
  <c r="K10" i="12"/>
  <c r="K5" i="25"/>
  <c r="K43" i="13"/>
  <c r="K8" i="13"/>
  <c r="K29" i="12"/>
  <c r="R78" i="8" l="1"/>
  <c r="R54" i="13" s="1"/>
  <c r="R68" i="8"/>
  <c r="R50" i="13" s="1"/>
  <c r="J79" i="8"/>
  <c r="J24" i="25" l="1"/>
  <c r="J56" i="25"/>
  <c r="S56" i="25" s="1"/>
  <c r="J10" i="12"/>
  <c r="S10" i="12" s="1"/>
  <c r="R67" i="8"/>
  <c r="R30" i="25" l="1"/>
  <c r="R49" i="13"/>
  <c r="J66" i="8"/>
  <c r="J9" i="8"/>
  <c r="J38" i="8"/>
  <c r="J100" i="8"/>
  <c r="J111" i="8"/>
  <c r="J87" i="8"/>
  <c r="J42" i="8"/>
  <c r="J59" i="8"/>
  <c r="J49" i="8"/>
  <c r="J96" i="8"/>
  <c r="J105" i="8"/>
  <c r="J33" i="8"/>
  <c r="J83" i="8"/>
  <c r="J53" i="8"/>
  <c r="J85" i="8"/>
  <c r="J74" i="8"/>
  <c r="J56" i="8"/>
  <c r="J88" i="8"/>
  <c r="J63" i="8"/>
  <c r="J28" i="8"/>
  <c r="J60" i="8"/>
  <c r="J101" i="8"/>
  <c r="J45" i="25" l="1"/>
  <c r="J33" i="12"/>
  <c r="J29" i="12"/>
  <c r="J80" i="13"/>
  <c r="J39" i="25"/>
  <c r="J53" i="13"/>
  <c r="J62" i="13"/>
  <c r="J48" i="13"/>
  <c r="J5" i="12"/>
  <c r="J39" i="13"/>
  <c r="J26" i="13"/>
  <c r="J64" i="25"/>
  <c r="J57" i="13"/>
  <c r="J19" i="12"/>
  <c r="J75" i="13"/>
  <c r="J29" i="25"/>
  <c r="J17" i="12"/>
  <c r="J40" i="13"/>
  <c r="J31" i="12"/>
  <c r="J35" i="13"/>
  <c r="J32" i="12"/>
  <c r="J12" i="12"/>
  <c r="J10" i="25"/>
  <c r="J9" i="13"/>
  <c r="J7" i="12"/>
  <c r="J8" i="12"/>
  <c r="J15" i="12"/>
  <c r="J31" i="8"/>
  <c r="I59" i="8"/>
  <c r="I31" i="12" l="1"/>
  <c r="G40" i="8" l="1"/>
  <c r="I83" i="8"/>
  <c r="I101" i="8"/>
  <c r="I18" i="8"/>
  <c r="I111" i="8"/>
  <c r="I52" i="8"/>
  <c r="I88" i="8"/>
  <c r="I74" i="8"/>
  <c r="I53" i="8"/>
  <c r="I96" i="8"/>
  <c r="I7" i="8"/>
  <c r="I47" i="8"/>
  <c r="I85" i="8"/>
  <c r="I38" i="8"/>
  <c r="I99" i="8"/>
  <c r="I31" i="8"/>
  <c r="I60" i="8"/>
  <c r="I49" i="8"/>
  <c r="I32" i="12" l="1"/>
  <c r="I7" i="12"/>
  <c r="I29" i="12"/>
  <c r="I53" i="13"/>
  <c r="I8" i="12"/>
  <c r="I17" i="13"/>
  <c r="I46" i="13"/>
  <c r="I53" i="25"/>
  <c r="I59" i="13"/>
  <c r="I15" i="25"/>
  <c r="I15" i="12"/>
  <c r="I39" i="13"/>
  <c r="I71" i="13"/>
  <c r="I82" i="13"/>
  <c r="I17" i="12"/>
  <c r="I8" i="25"/>
  <c r="I5" i="12"/>
  <c r="I3" i="25"/>
  <c r="I62" i="13"/>
  <c r="I5" i="25"/>
  <c r="I43" i="13"/>
  <c r="I19" i="12"/>
  <c r="I45" i="25"/>
  <c r="I33" i="12"/>
  <c r="I64" i="25"/>
  <c r="I57" i="13"/>
  <c r="G42" i="13"/>
  <c r="H66" i="8" l="1"/>
  <c r="H111" i="8"/>
  <c r="H25" i="8"/>
  <c r="H88" i="8"/>
  <c r="H101" i="8"/>
  <c r="H96" i="8"/>
  <c r="H53" i="8"/>
  <c r="H83" i="8"/>
  <c r="H60" i="8"/>
  <c r="H100" i="8"/>
  <c r="H38" i="8"/>
  <c r="H49" i="8"/>
  <c r="H32" i="8"/>
  <c r="H74" i="8"/>
  <c r="H18" i="8"/>
  <c r="H94" i="8"/>
  <c r="H36" i="8"/>
  <c r="H29" i="8"/>
  <c r="H28" i="8"/>
  <c r="H99" i="8"/>
  <c r="R5" i="8" l="1"/>
  <c r="R5" i="13" s="1"/>
  <c r="H53" i="25"/>
  <c r="H80" i="13"/>
  <c r="H15" i="12"/>
  <c r="H8" i="25"/>
  <c r="H5" i="12"/>
  <c r="H31" i="13"/>
  <c r="H8" i="12"/>
  <c r="H10" i="25"/>
  <c r="H29" i="12"/>
  <c r="H64" i="25"/>
  <c r="H57" i="13"/>
  <c r="H26" i="13"/>
  <c r="H29" i="25"/>
  <c r="H17" i="12"/>
  <c r="H39" i="13"/>
  <c r="H45" i="25"/>
  <c r="H33" i="12"/>
  <c r="H62" i="13"/>
  <c r="H48" i="13"/>
  <c r="H12" i="12"/>
  <c r="H33" i="13"/>
  <c r="H46" i="13"/>
  <c r="R17" i="8" l="1"/>
  <c r="G96" i="8"/>
  <c r="G24" i="8"/>
  <c r="G32" i="8"/>
  <c r="G83" i="8"/>
  <c r="G33" i="8"/>
  <c r="G111" i="8"/>
  <c r="G99" i="8"/>
  <c r="G87" i="8"/>
  <c r="G28" i="8"/>
  <c r="G49" i="8"/>
  <c r="G105" i="8"/>
  <c r="R7" i="25" l="1"/>
  <c r="R16" i="13"/>
  <c r="G75" i="13"/>
  <c r="G80" i="13"/>
  <c r="G32" i="12"/>
  <c r="G53" i="25"/>
  <c r="G59" i="13"/>
  <c r="G12" i="12"/>
  <c r="G19" i="12"/>
  <c r="G64" i="25"/>
  <c r="G57" i="13"/>
  <c r="G22" i="13"/>
  <c r="G15" i="12"/>
  <c r="G29" i="25"/>
  <c r="G17" i="12"/>
  <c r="G8" i="12"/>
  <c r="F101" i="8" l="1"/>
  <c r="E78" i="8"/>
  <c r="F111" i="8"/>
  <c r="S111" i="8" s="1"/>
  <c r="F87" i="8"/>
  <c r="F40" i="8"/>
  <c r="F49" i="8"/>
  <c r="F85" i="8"/>
  <c r="F36" i="8"/>
  <c r="F50" i="8"/>
  <c r="F51" i="8"/>
  <c r="F9" i="8"/>
  <c r="F66" i="8"/>
  <c r="F21" i="8"/>
  <c r="F31" i="8"/>
  <c r="F47" i="8"/>
  <c r="F32" i="8"/>
  <c r="F30" i="8"/>
  <c r="F60" i="8"/>
  <c r="F96" i="8"/>
  <c r="F83" i="8"/>
  <c r="F28" i="8"/>
  <c r="F80" i="13" l="1"/>
  <c r="F64" i="25"/>
  <c r="F57" i="13"/>
  <c r="F17" i="12"/>
  <c r="F29" i="12"/>
  <c r="F27" i="13"/>
  <c r="F31" i="13"/>
  <c r="F71" i="13"/>
  <c r="F67" i="13"/>
  <c r="F33" i="13"/>
  <c r="F7" i="12"/>
  <c r="F5" i="12"/>
  <c r="F17" i="25"/>
  <c r="F58" i="25"/>
  <c r="F41" i="13"/>
  <c r="F15" i="12"/>
  <c r="F39" i="13"/>
  <c r="F40" i="13"/>
  <c r="F42" i="13"/>
  <c r="F32" i="12"/>
  <c r="F12" i="12"/>
  <c r="E26" i="25"/>
  <c r="F45" i="25"/>
  <c r="F33" i="12"/>
  <c r="D31" i="13" l="1"/>
  <c r="E85" i="8" l="1"/>
  <c r="E30" i="8"/>
  <c r="E60" i="8"/>
  <c r="E66" i="8"/>
  <c r="E74" i="8"/>
  <c r="E53" i="8"/>
  <c r="E36" i="8"/>
  <c r="E48" i="8"/>
  <c r="E33" i="8"/>
  <c r="E96" i="8"/>
  <c r="E32" i="8"/>
  <c r="E117" i="8"/>
  <c r="E29" i="8"/>
  <c r="E21" i="8"/>
  <c r="E38" i="8"/>
  <c r="E11" i="8"/>
  <c r="E56" i="8"/>
  <c r="E101" i="8"/>
  <c r="E18" i="8"/>
  <c r="E94" i="8"/>
  <c r="E83" i="8"/>
  <c r="R86" i="26"/>
  <c r="L86" i="26"/>
  <c r="K86" i="26"/>
  <c r="J86" i="26"/>
  <c r="I86" i="26"/>
  <c r="H86" i="26"/>
  <c r="G86" i="26"/>
  <c r="F86" i="26"/>
  <c r="E86" i="26"/>
  <c r="D86" i="26"/>
  <c r="C86" i="26"/>
  <c r="R85" i="26"/>
  <c r="L85" i="26"/>
  <c r="J85" i="26"/>
  <c r="I85" i="26"/>
  <c r="G85" i="26"/>
  <c r="F85" i="26"/>
  <c r="E85" i="26"/>
  <c r="D85" i="26"/>
  <c r="C85" i="26"/>
  <c r="R84" i="26"/>
  <c r="L84" i="26"/>
  <c r="K84" i="26"/>
  <c r="J84" i="26"/>
  <c r="I84" i="26"/>
  <c r="H84" i="26"/>
  <c r="G84" i="26"/>
  <c r="F84" i="26"/>
  <c r="E84" i="26"/>
  <c r="D84" i="26"/>
  <c r="C84" i="26"/>
  <c r="R83" i="26"/>
  <c r="L83" i="26"/>
  <c r="K83" i="26"/>
  <c r="J83" i="26"/>
  <c r="I83" i="26"/>
  <c r="H83" i="26"/>
  <c r="G83" i="26"/>
  <c r="F83" i="26"/>
  <c r="E83" i="26"/>
  <c r="D83" i="26"/>
  <c r="C83" i="26"/>
  <c r="R82" i="26"/>
  <c r="L82" i="26"/>
  <c r="K82" i="26"/>
  <c r="J82" i="26"/>
  <c r="I82" i="26"/>
  <c r="G82" i="26"/>
  <c r="F82" i="26"/>
  <c r="R81" i="26"/>
  <c r="L81" i="26"/>
  <c r="I81" i="26"/>
  <c r="H81" i="26"/>
  <c r="R80" i="26"/>
  <c r="L80" i="26"/>
  <c r="K80" i="26"/>
  <c r="J80" i="26"/>
  <c r="I80" i="26"/>
  <c r="F80" i="26"/>
  <c r="E80" i="26"/>
  <c r="D80" i="26"/>
  <c r="C80" i="26"/>
  <c r="R79" i="26"/>
  <c r="L79" i="26"/>
  <c r="K79" i="26"/>
  <c r="J79" i="26"/>
  <c r="H79" i="26"/>
  <c r="G79" i="26"/>
  <c r="E79" i="26"/>
  <c r="R78" i="26"/>
  <c r="F78" i="26"/>
  <c r="R77" i="26"/>
  <c r="H77" i="26"/>
  <c r="G77" i="26"/>
  <c r="F77" i="26"/>
  <c r="R76" i="26"/>
  <c r="K76" i="26"/>
  <c r="J76" i="26"/>
  <c r="R75" i="26"/>
  <c r="L75" i="26"/>
  <c r="K75" i="26"/>
  <c r="I75" i="26"/>
  <c r="G75" i="26"/>
  <c r="F75" i="26"/>
  <c r="E75" i="26"/>
  <c r="R74" i="26"/>
  <c r="K74" i="26"/>
  <c r="I74" i="26"/>
  <c r="H74" i="26"/>
  <c r="F74" i="26"/>
  <c r="R73" i="26"/>
  <c r="K73" i="26"/>
  <c r="J73" i="26"/>
  <c r="I73" i="26"/>
  <c r="H73" i="26"/>
  <c r="E73" i="26"/>
  <c r="B72" i="26"/>
  <c r="R69" i="26"/>
  <c r="L69" i="26"/>
  <c r="K69" i="26"/>
  <c r="J69" i="26"/>
  <c r="I69" i="26"/>
  <c r="H69" i="26"/>
  <c r="G69" i="26"/>
  <c r="F69" i="26"/>
  <c r="E69" i="26"/>
  <c r="D69" i="26"/>
  <c r="C69" i="26"/>
  <c r="R68" i="26"/>
  <c r="L68" i="26"/>
  <c r="K68" i="26"/>
  <c r="J68" i="26"/>
  <c r="I68" i="26"/>
  <c r="H68" i="26"/>
  <c r="G68" i="26"/>
  <c r="F68" i="26"/>
  <c r="E68" i="26"/>
  <c r="D68" i="26"/>
  <c r="C68" i="26"/>
  <c r="R67" i="26"/>
  <c r="L67" i="26"/>
  <c r="K67" i="26"/>
  <c r="J67" i="26"/>
  <c r="I67" i="26"/>
  <c r="H67" i="26"/>
  <c r="G67" i="26"/>
  <c r="F67" i="26"/>
  <c r="E67" i="26"/>
  <c r="D67" i="26"/>
  <c r="C67" i="26"/>
  <c r="R66" i="26"/>
  <c r="L66" i="26"/>
  <c r="K66" i="26"/>
  <c r="J66" i="26"/>
  <c r="I66" i="26"/>
  <c r="H66" i="26"/>
  <c r="G66" i="26"/>
  <c r="F66" i="26"/>
  <c r="D66" i="26"/>
  <c r="C66" i="26"/>
  <c r="R65" i="26"/>
  <c r="L65" i="26"/>
  <c r="K65" i="26"/>
  <c r="J65" i="26"/>
  <c r="I65" i="26"/>
  <c r="H65" i="26"/>
  <c r="G65" i="26"/>
  <c r="F65" i="26"/>
  <c r="E65" i="26"/>
  <c r="D65" i="26"/>
  <c r="C65" i="26"/>
  <c r="R64" i="26"/>
  <c r="L64" i="26"/>
  <c r="J64" i="26"/>
  <c r="I64" i="26"/>
  <c r="H64" i="26"/>
  <c r="G64" i="26"/>
  <c r="F64" i="26"/>
  <c r="E64" i="26"/>
  <c r="D64" i="26"/>
  <c r="C64" i="26"/>
  <c r="R63" i="26"/>
  <c r="L63" i="26"/>
  <c r="K63" i="26"/>
  <c r="J63" i="26"/>
  <c r="I63" i="26"/>
  <c r="H63" i="26"/>
  <c r="G63" i="26"/>
  <c r="E63" i="26"/>
  <c r="R62" i="26"/>
  <c r="L62" i="26"/>
  <c r="K62" i="26"/>
  <c r="H62" i="26"/>
  <c r="G62" i="26"/>
  <c r="E62" i="26"/>
  <c r="R61" i="26"/>
  <c r="L61" i="26"/>
  <c r="K61" i="26"/>
  <c r="J61" i="26"/>
  <c r="I61" i="26"/>
  <c r="G61" i="26"/>
  <c r="E61" i="26"/>
  <c r="R60" i="26"/>
  <c r="L60" i="26"/>
  <c r="K60" i="26"/>
  <c r="J60" i="26"/>
  <c r="I60" i="26"/>
  <c r="H60" i="26"/>
  <c r="G60" i="26"/>
  <c r="E60" i="26"/>
  <c r="R59" i="26"/>
  <c r="K59" i="26"/>
  <c r="J59" i="26"/>
  <c r="I59" i="26"/>
  <c r="G59" i="26"/>
  <c r="D59" i="26"/>
  <c r="R58" i="26"/>
  <c r="L58" i="26"/>
  <c r="K58" i="26"/>
  <c r="J58" i="26"/>
  <c r="H58" i="26"/>
  <c r="G58" i="26"/>
  <c r="D58" i="26"/>
  <c r="R57" i="26"/>
  <c r="L57" i="26"/>
  <c r="K57" i="26"/>
  <c r="I57" i="26"/>
  <c r="H57" i="26"/>
  <c r="G57" i="26"/>
  <c r="E57" i="26"/>
  <c r="D57" i="26"/>
  <c r="C57" i="26"/>
  <c r="R56" i="26"/>
  <c r="H56" i="26"/>
  <c r="B55" i="26"/>
  <c r="R52" i="26"/>
  <c r="L52" i="26"/>
  <c r="K52" i="26"/>
  <c r="J52" i="26"/>
  <c r="I52" i="26"/>
  <c r="H52" i="26"/>
  <c r="G52" i="26"/>
  <c r="F52" i="26"/>
  <c r="E52" i="26"/>
  <c r="D52" i="26"/>
  <c r="C52" i="26"/>
  <c r="R51" i="26"/>
  <c r="L51" i="26"/>
  <c r="K51" i="26"/>
  <c r="J51" i="26"/>
  <c r="I51" i="26"/>
  <c r="H51" i="26"/>
  <c r="G51" i="26"/>
  <c r="F51" i="26"/>
  <c r="E51" i="26"/>
  <c r="D51" i="26"/>
  <c r="C51" i="26"/>
  <c r="R50" i="26"/>
  <c r="L50" i="26"/>
  <c r="K50" i="26"/>
  <c r="J50" i="26"/>
  <c r="I50" i="26"/>
  <c r="H50" i="26"/>
  <c r="G50" i="26"/>
  <c r="F50" i="26"/>
  <c r="E50" i="26"/>
  <c r="D50" i="26"/>
  <c r="C50" i="26"/>
  <c r="R49" i="26"/>
  <c r="L49" i="26"/>
  <c r="J49" i="26"/>
  <c r="I49" i="26"/>
  <c r="H49" i="26"/>
  <c r="G49" i="26"/>
  <c r="F49" i="26"/>
  <c r="E49" i="26"/>
  <c r="D49" i="26"/>
  <c r="C49" i="26"/>
  <c r="R48" i="26"/>
  <c r="L48" i="26"/>
  <c r="J48" i="26"/>
  <c r="H48" i="26"/>
  <c r="G48" i="26"/>
  <c r="F48" i="26"/>
  <c r="E48" i="26"/>
  <c r="D48" i="26"/>
  <c r="C48" i="26"/>
  <c r="R47" i="26"/>
  <c r="L47" i="26"/>
  <c r="K47" i="26"/>
  <c r="I47" i="26"/>
  <c r="H47" i="26"/>
  <c r="G47" i="26"/>
  <c r="E47" i="26"/>
  <c r="C47" i="26"/>
  <c r="R46" i="26"/>
  <c r="R45" i="26"/>
  <c r="L45" i="26"/>
  <c r="K45" i="26"/>
  <c r="H45" i="26"/>
  <c r="F45" i="26"/>
  <c r="E45" i="26"/>
  <c r="R44" i="26"/>
  <c r="J44" i="26"/>
  <c r="I44" i="26"/>
  <c r="R43" i="26"/>
  <c r="R42" i="26"/>
  <c r="K42" i="26"/>
  <c r="J42" i="26"/>
  <c r="I42" i="26"/>
  <c r="G42" i="26"/>
  <c r="F42" i="26"/>
  <c r="E42" i="26"/>
  <c r="C42" i="26"/>
  <c r="R41" i="26"/>
  <c r="L41" i="26"/>
  <c r="I41" i="26"/>
  <c r="H41" i="26"/>
  <c r="E41" i="26"/>
  <c r="R40" i="26"/>
  <c r="L40" i="26"/>
  <c r="I40" i="26"/>
  <c r="G40" i="26"/>
  <c r="E40" i="26"/>
  <c r="R39" i="26"/>
  <c r="E39" i="26"/>
  <c r="B38" i="26"/>
  <c r="R34" i="26"/>
  <c r="L34" i="26"/>
  <c r="J34" i="26"/>
  <c r="C34" i="26"/>
  <c r="R33" i="26"/>
  <c r="L33" i="26"/>
  <c r="K33" i="26"/>
  <c r="J33" i="26"/>
  <c r="I33" i="26"/>
  <c r="H33" i="26"/>
  <c r="G33" i="26"/>
  <c r="F33" i="26"/>
  <c r="C33" i="26"/>
  <c r="R32" i="26"/>
  <c r="L32" i="26"/>
  <c r="J32" i="26"/>
  <c r="I32" i="26"/>
  <c r="H32" i="26"/>
  <c r="G32" i="26"/>
  <c r="F32" i="26"/>
  <c r="R31" i="26"/>
  <c r="C31" i="26"/>
  <c r="R30" i="26"/>
  <c r="I30" i="26"/>
  <c r="H30" i="26"/>
  <c r="R29" i="26"/>
  <c r="C29" i="26"/>
  <c r="R28" i="26"/>
  <c r="L28" i="26"/>
  <c r="K28" i="26"/>
  <c r="J28" i="26"/>
  <c r="I28" i="26"/>
  <c r="H28" i="26"/>
  <c r="R27" i="26"/>
  <c r="L27" i="26"/>
  <c r="K27" i="26"/>
  <c r="J27" i="26"/>
  <c r="I27" i="26"/>
  <c r="H27" i="26"/>
  <c r="G27" i="26"/>
  <c r="R26" i="26"/>
  <c r="R25" i="26"/>
  <c r="K25" i="26"/>
  <c r="R24" i="26"/>
  <c r="K24" i="26"/>
  <c r="R23" i="26"/>
  <c r="K23" i="26"/>
  <c r="J23" i="26"/>
  <c r="I23" i="26"/>
  <c r="E23" i="26"/>
  <c r="R22" i="26"/>
  <c r="L22" i="26"/>
  <c r="H22" i="26"/>
  <c r="R21" i="26"/>
  <c r="M21" i="26"/>
  <c r="J21" i="26"/>
  <c r="H21" i="26"/>
  <c r="E21" i="26"/>
  <c r="B20" i="26"/>
  <c r="R16" i="26"/>
  <c r="R15" i="26"/>
  <c r="R14" i="26"/>
  <c r="R13" i="26"/>
  <c r="R12" i="26"/>
  <c r="R11" i="26"/>
  <c r="R10" i="26"/>
  <c r="R9" i="26"/>
  <c r="R8" i="26"/>
  <c r="R7" i="26"/>
  <c r="R6" i="26"/>
  <c r="R5" i="26"/>
  <c r="R4" i="26"/>
  <c r="R3" i="26"/>
  <c r="B2" i="26"/>
  <c r="X621" i="4" l="1"/>
  <c r="X452" i="4"/>
  <c r="X534" i="4"/>
  <c r="X378" i="4"/>
  <c r="X289" i="4"/>
  <c r="X577" i="4"/>
  <c r="X508" i="4"/>
  <c r="X392" i="4"/>
  <c r="X327" i="4"/>
  <c r="X479" i="4"/>
  <c r="X543" i="4"/>
  <c r="X403" i="4"/>
  <c r="X315" i="4"/>
  <c r="X594" i="4"/>
  <c r="X502" i="4"/>
  <c r="X387" i="4"/>
  <c r="AF85" i="8"/>
  <c r="X276" i="4"/>
  <c r="X610" i="4"/>
  <c r="X532" i="4"/>
  <c r="X405" i="4"/>
  <c r="X307" i="4"/>
  <c r="X623" i="4"/>
  <c r="X450" i="4"/>
  <c r="X542" i="4"/>
  <c r="X414" i="4"/>
  <c r="X316" i="4"/>
  <c r="X579" i="4"/>
  <c r="X461" i="4"/>
  <c r="X377" i="4"/>
  <c r="X313" i="4"/>
  <c r="X390" i="4"/>
  <c r="X339" i="4"/>
  <c r="X615" i="4"/>
  <c r="X525" i="4"/>
  <c r="X440" i="4"/>
  <c r="X346" i="4"/>
  <c r="X578" i="4"/>
  <c r="X478" i="4"/>
  <c r="X418" i="4"/>
  <c r="X293" i="4"/>
  <c r="X572" i="4"/>
  <c r="X480" i="4"/>
  <c r="X367" i="4"/>
  <c r="X337" i="4"/>
  <c r="X563" i="4"/>
  <c r="X465" i="4"/>
  <c r="X429" i="4"/>
  <c r="X340" i="4"/>
  <c r="X630" i="4"/>
  <c r="X538" i="4"/>
  <c r="X474" i="4"/>
  <c r="X399" i="4"/>
  <c r="X291" i="4"/>
  <c r="X604" i="4"/>
  <c r="X476" i="4"/>
  <c r="X406" i="4"/>
  <c r="X304" i="4"/>
  <c r="X599" i="4"/>
  <c r="X470" i="4"/>
  <c r="X434" i="4"/>
  <c r="X333" i="4"/>
  <c r="X607" i="4"/>
  <c r="X528" i="4"/>
  <c r="X401" i="4"/>
  <c r="X328" i="4"/>
  <c r="X587" i="4"/>
  <c r="X460" i="4"/>
  <c r="X437" i="4"/>
  <c r="X336" i="4"/>
  <c r="X581" i="4"/>
  <c r="X475" i="4"/>
  <c r="X416" i="4"/>
  <c r="X306" i="4"/>
  <c r="X608" i="4"/>
  <c r="X527" i="4"/>
  <c r="X409" i="4"/>
  <c r="X302" i="4"/>
  <c r="AF103" i="8"/>
  <c r="X412" i="4"/>
  <c r="X507" i="4"/>
  <c r="X554" i="4"/>
  <c r="X372" i="4"/>
  <c r="X331" i="4"/>
  <c r="X626" i="4"/>
  <c r="X453" i="4"/>
  <c r="X550" i="4"/>
  <c r="X370" i="4"/>
  <c r="X273" i="4"/>
  <c r="X597" i="4"/>
  <c r="X520" i="4"/>
  <c r="X433" i="4"/>
  <c r="X282" i="4"/>
  <c r="X613" i="4"/>
  <c r="X529" i="4"/>
  <c r="X443" i="4"/>
  <c r="X351" i="4"/>
  <c r="X505" i="4"/>
  <c r="X548" i="4"/>
  <c r="X428" i="4"/>
  <c r="X300" i="4"/>
  <c r="X564" i="4"/>
  <c r="X514" i="4"/>
  <c r="X430" i="4"/>
  <c r="X308" i="4"/>
  <c r="X568" i="4"/>
  <c r="X459" i="4"/>
  <c r="X423" i="4"/>
  <c r="X318" i="4"/>
  <c r="X591" i="4"/>
  <c r="X469" i="4"/>
  <c r="X407" i="4"/>
  <c r="AF45" i="8"/>
  <c r="X284" i="4"/>
  <c r="X616" i="4"/>
  <c r="X445" i="4"/>
  <c r="X350" i="4"/>
  <c r="X574" i="4"/>
  <c r="X493" i="4"/>
  <c r="X344" i="4"/>
  <c r="X598" i="4"/>
  <c r="X484" i="4"/>
  <c r="X420" i="4"/>
  <c r="X301" i="4"/>
  <c r="X620" i="4"/>
  <c r="X539" i="4"/>
  <c r="X467" i="4"/>
  <c r="X361" i="4"/>
  <c r="X565" i="4"/>
  <c r="X499" i="4"/>
  <c r="X373" i="4"/>
  <c r="X272" i="4"/>
  <c r="X468" i="4"/>
  <c r="X286" i="4"/>
  <c r="X369" i="4"/>
  <c r="X559" i="4"/>
  <c r="X462" i="4"/>
  <c r="X379" i="4"/>
  <c r="X322" i="4"/>
  <c r="X556" i="4"/>
  <c r="X495" i="4"/>
  <c r="X393" i="4"/>
  <c r="X584" i="4"/>
  <c r="X511" i="4"/>
  <c r="X398" i="4"/>
  <c r="X332" i="4"/>
  <c r="X617" i="4"/>
  <c r="X531" i="4"/>
  <c r="X410" i="4"/>
  <c r="X325" i="4"/>
  <c r="X436" i="4"/>
  <c r="X356" i="4"/>
  <c r="X541" i="4"/>
  <c r="X411" i="4"/>
  <c r="AF86" i="8"/>
  <c r="X275" i="4"/>
  <c r="X200" i="4"/>
  <c r="X463" i="4"/>
  <c r="X536" i="4"/>
  <c r="X383" i="4"/>
  <c r="X330" i="4"/>
  <c r="X601" i="4"/>
  <c r="X521" i="4"/>
  <c r="X408" i="4"/>
  <c r="X305" i="4"/>
  <c r="X600" i="4"/>
  <c r="X523" i="4"/>
  <c r="X381" i="4"/>
  <c r="AF64" i="8"/>
  <c r="X268" i="4"/>
  <c r="X609" i="4"/>
  <c r="X530" i="4"/>
  <c r="X439" i="4"/>
  <c r="X347" i="4"/>
  <c r="X570" i="4"/>
  <c r="X464" i="4"/>
  <c r="X374" i="4"/>
  <c r="X287" i="4"/>
  <c r="X485" i="4"/>
  <c r="X555" i="4"/>
  <c r="X288" i="4"/>
  <c r="X375" i="4"/>
  <c r="X585" i="4"/>
  <c r="X526" i="4"/>
  <c r="X389" i="4"/>
  <c r="X317" i="4"/>
  <c r="X602" i="4"/>
  <c r="X488" i="4"/>
  <c r="X438" i="4"/>
  <c r="X343" i="4"/>
  <c r="X605" i="4"/>
  <c r="X504" i="4"/>
  <c r="X404" i="4"/>
  <c r="X354" i="4"/>
  <c r="AF102" i="8"/>
  <c r="X324" i="4"/>
  <c r="X622" i="4"/>
  <c r="X537" i="4"/>
  <c r="X447" i="4"/>
  <c r="X341" i="4"/>
  <c r="X359" i="4"/>
  <c r="X582" i="4"/>
  <c r="X473" i="4"/>
  <c r="X384" i="4"/>
  <c r="X349" i="4"/>
  <c r="X487" i="4"/>
  <c r="X402" i="4"/>
  <c r="X274" i="4"/>
  <c r="X592" i="4"/>
  <c r="X491" i="4"/>
  <c r="X413" i="4"/>
  <c r="X329" i="4"/>
  <c r="X596" i="4"/>
  <c r="X482" i="4"/>
  <c r="X400" i="4"/>
  <c r="X314" i="4"/>
  <c r="X589" i="4"/>
  <c r="X498" i="4"/>
  <c r="X358" i="4"/>
  <c r="X269" i="4"/>
  <c r="X535" i="4"/>
  <c r="X477" i="4"/>
  <c r="X278" i="4"/>
  <c r="X371" i="4"/>
  <c r="X631" i="4"/>
  <c r="X583" i="4"/>
  <c r="X489" i="4"/>
  <c r="X432" i="4"/>
  <c r="X326" i="4"/>
  <c r="X424" i="4"/>
  <c r="X310" i="4"/>
  <c r="X603" i="4"/>
  <c r="X512" i="4"/>
  <c r="X431" i="4"/>
  <c r="X309" i="4"/>
  <c r="X595" i="4"/>
  <c r="X448" i="4"/>
  <c r="X444" i="4"/>
  <c r="X345" i="4"/>
  <c r="X629" i="4"/>
  <c r="X586" i="4"/>
  <c r="X454" i="4"/>
  <c r="X388" i="4"/>
  <c r="X320" i="4"/>
  <c r="X29" i="4"/>
  <c r="X100" i="4"/>
  <c r="AF82" i="8"/>
  <c r="X249" i="4"/>
  <c r="X41" i="4"/>
  <c r="X175" i="4"/>
  <c r="AF55" i="8"/>
  <c r="X265" i="4"/>
  <c r="AF57" i="8"/>
  <c r="X48" i="4"/>
  <c r="X177" i="4"/>
  <c r="X23" i="4"/>
  <c r="AF48" i="8"/>
  <c r="X191" i="4"/>
  <c r="X133" i="4"/>
  <c r="X167" i="4"/>
  <c r="X192" i="4"/>
  <c r="X53" i="4"/>
  <c r="AF63" i="8"/>
  <c r="X262" i="4"/>
  <c r="AF51" i="8"/>
  <c r="X77" i="4"/>
  <c r="X173" i="4"/>
  <c r="X235" i="4"/>
  <c r="AF78" i="8"/>
  <c r="X55" i="4"/>
  <c r="X194" i="4"/>
  <c r="X62" i="4"/>
  <c r="AF2" i="8"/>
  <c r="X104" i="4"/>
  <c r="X190" i="4"/>
  <c r="X128" i="4"/>
  <c r="X37" i="4"/>
  <c r="AF56" i="8"/>
  <c r="AF41" i="8"/>
  <c r="X186" i="4"/>
  <c r="X103" i="4"/>
  <c r="X202" i="4"/>
  <c r="X40" i="4"/>
  <c r="AF96" i="8"/>
  <c r="X154" i="4"/>
  <c r="X242" i="4"/>
  <c r="X111" i="4"/>
  <c r="AF50" i="8"/>
  <c r="X14" i="4"/>
  <c r="X232" i="4"/>
  <c r="X5" i="4"/>
  <c r="AF18" i="8"/>
  <c r="X129" i="4"/>
  <c r="X217" i="4"/>
  <c r="X156" i="4"/>
  <c r="X22" i="4"/>
  <c r="AF33" i="8"/>
  <c r="X214" i="4"/>
  <c r="X15" i="4"/>
  <c r="X151" i="4"/>
  <c r="AF66" i="8"/>
  <c r="X203" i="4"/>
  <c r="X97" i="4"/>
  <c r="X4" i="4"/>
  <c r="AF42" i="8"/>
  <c r="X126" i="4"/>
  <c r="X65" i="4"/>
  <c r="X237" i="4"/>
  <c r="X110" i="4"/>
  <c r="X73" i="4"/>
  <c r="AF61" i="8"/>
  <c r="X253" i="4"/>
  <c r="X147" i="4"/>
  <c r="X16" i="4"/>
  <c r="AF43" i="8"/>
  <c r="X227" i="4"/>
  <c r="X24" i="4"/>
  <c r="X130" i="4"/>
  <c r="AF36" i="8"/>
  <c r="X201" i="4"/>
  <c r="X152" i="4"/>
  <c r="AF54" i="8"/>
  <c r="X18" i="4"/>
  <c r="X198" i="4"/>
  <c r="X38" i="4"/>
  <c r="AF32" i="8"/>
  <c r="X144" i="4"/>
  <c r="X196" i="4"/>
  <c r="AF24" i="8"/>
  <c r="X96" i="4"/>
  <c r="X9" i="4"/>
  <c r="X247" i="4"/>
  <c r="AF80" i="8"/>
  <c r="X70" i="4"/>
  <c r="X159" i="4"/>
  <c r="X212" i="4"/>
  <c r="X45" i="4"/>
  <c r="AF39" i="8"/>
  <c r="X118" i="4"/>
  <c r="X195" i="4"/>
  <c r="X127" i="4"/>
  <c r="AF38" i="8"/>
  <c r="X60" i="4"/>
  <c r="X213" i="4"/>
  <c r="AF26" i="8"/>
  <c r="X93" i="4"/>
  <c r="X90" i="4"/>
  <c r="X239" i="4"/>
  <c r="X124" i="4"/>
  <c r="X71" i="4"/>
  <c r="AF21" i="8"/>
  <c r="X259" i="4"/>
  <c r="X178" i="4"/>
  <c r="AF58" i="8"/>
  <c r="X88" i="4"/>
  <c r="X226" i="4"/>
  <c r="AF59" i="8"/>
  <c r="X69" i="4"/>
  <c r="X125" i="4"/>
  <c r="X251" i="4"/>
  <c r="X42" i="4"/>
  <c r="X112" i="4"/>
  <c r="AF46" i="8"/>
  <c r="X257" i="4"/>
  <c r="X82" i="4"/>
  <c r="X172" i="4"/>
  <c r="AF16" i="8"/>
  <c r="X258" i="4"/>
  <c r="X80" i="4"/>
  <c r="X180" i="4"/>
  <c r="AF6" i="8"/>
  <c r="X238" i="4"/>
  <c r="X115" i="4"/>
  <c r="X84" i="4"/>
  <c r="AF12" i="8"/>
  <c r="X219" i="4"/>
  <c r="AF53" i="8"/>
  <c r="X165" i="4"/>
  <c r="X25" i="4"/>
  <c r="X215" i="4"/>
  <c r="X11" i="4"/>
  <c r="AF4" i="8"/>
  <c r="X105" i="4"/>
  <c r="X241" i="4"/>
  <c r="X176" i="4"/>
  <c r="AF11" i="8"/>
  <c r="X87" i="4"/>
  <c r="X255" i="4"/>
  <c r="X44" i="4"/>
  <c r="AF29" i="8"/>
  <c r="X164" i="4"/>
  <c r="X245" i="4"/>
  <c r="X153" i="4"/>
  <c r="AF13" i="8"/>
  <c r="X66" i="4"/>
  <c r="X185" i="4"/>
  <c r="X136" i="4"/>
  <c r="X51" i="4"/>
  <c r="AF79" i="8"/>
  <c r="X254" i="4"/>
  <c r="AF5" i="8"/>
  <c r="X52" i="4"/>
  <c r="X174" i="4"/>
  <c r="X266" i="4"/>
  <c r="AF19" i="8"/>
  <c r="X86" i="4"/>
  <c r="X101" i="4"/>
  <c r="AF34" i="8"/>
  <c r="X59" i="4"/>
  <c r="X189" i="4"/>
  <c r="X114" i="4"/>
  <c r="X230" i="4"/>
  <c r="X123" i="4"/>
  <c r="AF71" i="8"/>
  <c r="X231" i="4"/>
  <c r="X134" i="4"/>
  <c r="AF15" i="8"/>
  <c r="X79" i="4"/>
  <c r="X260" i="4"/>
  <c r="X171" i="4"/>
  <c r="X32" i="4"/>
  <c r="AF8" i="8"/>
  <c r="X7" i="4"/>
  <c r="AF105" i="8"/>
  <c r="X161" i="4"/>
  <c r="X244" i="4"/>
  <c r="AF67" i="8"/>
  <c r="X56" i="4"/>
  <c r="X116" i="4"/>
  <c r="X243" i="4"/>
  <c r="X120" i="4"/>
  <c r="X61" i="4"/>
  <c r="AF35" i="8"/>
  <c r="X2" i="4"/>
  <c r="X183" i="4"/>
  <c r="AF44" i="8"/>
  <c r="X162" i="4"/>
  <c r="X205" i="4"/>
  <c r="X149" i="4"/>
  <c r="AF14" i="8"/>
  <c r="X20" i="4"/>
  <c r="X216" i="4"/>
  <c r="X43" i="4"/>
  <c r="X140" i="4"/>
  <c r="AF3" i="8"/>
  <c r="X248" i="4"/>
  <c r="X76" i="4"/>
  <c r="AF60" i="8"/>
  <c r="X108" i="4"/>
  <c r="X207" i="4"/>
  <c r="X46" i="4"/>
  <c r="X146" i="4"/>
  <c r="AF10" i="8"/>
  <c r="X229" i="4"/>
  <c r="X6" i="4"/>
  <c r="AF30" i="8"/>
  <c r="X92" i="4"/>
  <c r="X199" i="4"/>
  <c r="X155" i="4"/>
  <c r="AF23" i="8"/>
  <c r="X30" i="4"/>
  <c r="X246" i="4"/>
  <c r="X106" i="4"/>
  <c r="X50" i="4"/>
  <c r="AF9" i="8"/>
  <c r="X222" i="4"/>
  <c r="X35" i="4"/>
  <c r="AF88" i="8"/>
  <c r="X148" i="4"/>
  <c r="E80" i="13"/>
  <c r="E64" i="25"/>
  <c r="E57" i="13"/>
  <c r="E7" i="13"/>
  <c r="E45" i="25"/>
  <c r="E33" i="12"/>
  <c r="E28" i="13"/>
  <c r="E53" i="13"/>
  <c r="E54" i="13"/>
  <c r="E67" i="13"/>
  <c r="E61" i="13"/>
  <c r="E31" i="13"/>
  <c r="E3" i="25"/>
  <c r="E17" i="12"/>
  <c r="E19" i="12"/>
  <c r="E46" i="13"/>
  <c r="E42" i="13"/>
  <c r="E8" i="25"/>
  <c r="E5" i="12"/>
  <c r="E29" i="12"/>
  <c r="E8" i="12"/>
  <c r="E27" i="13"/>
  <c r="E39" i="13"/>
  <c r="E22" i="25"/>
  <c r="D45" i="26"/>
  <c r="D62" i="26"/>
  <c r="D43" i="26"/>
  <c r="D79" i="26"/>
  <c r="D61" i="26"/>
  <c r="D63" i="26"/>
  <c r="D74" i="26"/>
  <c r="D40" i="26"/>
  <c r="D60" i="26"/>
  <c r="D42" i="26"/>
  <c r="D41" i="26"/>
  <c r="T98" i="22"/>
  <c r="C8" i="25" l="1"/>
  <c r="C5" i="12"/>
  <c r="D29" i="12" l="1"/>
  <c r="C60" i="26"/>
  <c r="R96" i="8" l="1"/>
  <c r="R66" i="8"/>
  <c r="S66" i="8" s="1"/>
  <c r="R47" i="25" l="1"/>
  <c r="D39" i="25"/>
  <c r="D21" i="13"/>
  <c r="D17" i="25"/>
  <c r="D53" i="13"/>
  <c r="D8" i="25"/>
  <c r="D5" i="12"/>
  <c r="D26" i="13"/>
  <c r="D75" i="13"/>
  <c r="D23" i="13"/>
  <c r="D7" i="12"/>
  <c r="D32" i="12"/>
  <c r="D26" i="25"/>
  <c r="D3" i="12"/>
  <c r="D17" i="12"/>
  <c r="S17" i="12" s="1"/>
  <c r="D64" i="25"/>
  <c r="D57" i="13"/>
  <c r="D42" i="13"/>
  <c r="D40" i="13"/>
  <c r="D19" i="12"/>
  <c r="D12" i="12"/>
  <c r="D12" i="25"/>
  <c r="D28" i="13"/>
  <c r="D15" i="12"/>
  <c r="D53" i="25"/>
  <c r="D59" i="13"/>
  <c r="D33" i="13"/>
  <c r="D8" i="12"/>
  <c r="D67" i="13"/>
  <c r="C62" i="26"/>
  <c r="C77" i="26"/>
  <c r="C40" i="26"/>
  <c r="C43" i="26"/>
  <c r="C75" i="26"/>
  <c r="C41" i="26"/>
  <c r="C21" i="26"/>
  <c r="C26" i="26"/>
  <c r="C45" i="26"/>
  <c r="C23" i="26"/>
  <c r="C74" i="26"/>
  <c r="C61" i="26"/>
  <c r="C58" i="26"/>
  <c r="C8" i="26"/>
  <c r="F44" i="8" l="1"/>
  <c r="U44" i="8"/>
  <c r="F37" i="13"/>
  <c r="T37" i="13"/>
  <c r="R56" i="8" l="1"/>
  <c r="R24" i="8"/>
  <c r="R22" i="13" s="1"/>
  <c r="R18" i="8"/>
  <c r="R98" i="8"/>
  <c r="R36" i="8"/>
  <c r="R42" i="8"/>
  <c r="R35" i="13" s="1"/>
  <c r="R8" i="8"/>
  <c r="R8" i="13" s="1"/>
  <c r="R54" i="8"/>
  <c r="R84" i="8"/>
  <c r="R88" i="8"/>
  <c r="R62" i="13" s="1"/>
  <c r="R100" i="8"/>
  <c r="R71" i="13" s="1"/>
  <c r="R79" i="8"/>
  <c r="R99" i="8"/>
  <c r="R49" i="8"/>
  <c r="C39" i="26"/>
  <c r="R40" i="25" l="1"/>
  <c r="R58" i="13"/>
  <c r="R27" i="25"/>
  <c r="R45" i="13"/>
  <c r="R25" i="25"/>
  <c r="S25" i="25" s="1"/>
  <c r="R70" i="13"/>
  <c r="R50" i="25"/>
  <c r="R17" i="25"/>
  <c r="R31" i="13"/>
  <c r="R49" i="25"/>
  <c r="R69" i="13"/>
  <c r="R8" i="25"/>
  <c r="R17" i="13"/>
  <c r="R36" i="25"/>
  <c r="R55" i="13"/>
  <c r="R28" i="25"/>
  <c r="R33" i="8"/>
  <c r="R47" i="8"/>
  <c r="R39" i="13" s="1"/>
  <c r="R22" i="8"/>
  <c r="R21" i="13" s="1"/>
  <c r="R20" i="8"/>
  <c r="R40" i="8"/>
  <c r="R33" i="13" s="1"/>
  <c r="R14" i="8"/>
  <c r="R48" i="8"/>
  <c r="R40" i="13" s="1"/>
  <c r="R57" i="8"/>
  <c r="R76" i="8"/>
  <c r="S76" i="8" s="1"/>
  <c r="R29" i="8"/>
  <c r="R4" i="8"/>
  <c r="R109" i="8"/>
  <c r="S109" i="8" s="1"/>
  <c r="R82" i="8"/>
  <c r="S82" i="8" s="1"/>
  <c r="R62" i="8"/>
  <c r="R23" i="8"/>
  <c r="R31" i="8"/>
  <c r="R116" i="8"/>
  <c r="S116" i="8" s="1"/>
  <c r="C17" i="25"/>
  <c r="C30" i="25"/>
  <c r="C23" i="13"/>
  <c r="C32" i="12"/>
  <c r="C12" i="12"/>
  <c r="C45" i="25"/>
  <c r="C33" i="12"/>
  <c r="C64" i="25"/>
  <c r="S64" i="25" s="1"/>
  <c r="C57" i="13"/>
  <c r="C42" i="13"/>
  <c r="S42" i="13" s="1"/>
  <c r="C58" i="25"/>
  <c r="C41" i="13"/>
  <c r="C10" i="25"/>
  <c r="C75" i="13"/>
  <c r="C40" i="13"/>
  <c r="C27" i="13"/>
  <c r="C19" i="12"/>
  <c r="C15" i="12"/>
  <c r="C33" i="13"/>
  <c r="C54" i="13"/>
  <c r="D46" i="13"/>
  <c r="C8" i="12"/>
  <c r="C79" i="26"/>
  <c r="R11" i="25" l="1"/>
  <c r="R38" i="25"/>
  <c r="S38" i="25" s="1"/>
  <c r="R57" i="25"/>
  <c r="S57" i="25" s="1"/>
  <c r="R78" i="13"/>
  <c r="S78" i="13" s="1"/>
  <c r="R9" i="25"/>
  <c r="R19" i="13"/>
  <c r="R2" i="25"/>
  <c r="R4" i="13"/>
  <c r="R16" i="25"/>
  <c r="R14" i="25"/>
  <c r="R63" i="25"/>
  <c r="S63" i="25" s="1"/>
  <c r="R6" i="25"/>
  <c r="R14" i="13"/>
  <c r="R30" i="8"/>
  <c r="R27" i="13" s="1"/>
  <c r="R105" i="8"/>
  <c r="R94" i="8"/>
  <c r="R28" i="8"/>
  <c r="R26" i="13" s="1"/>
  <c r="R112" i="8"/>
  <c r="R52" i="8"/>
  <c r="R43" i="13" s="1"/>
  <c r="R45" i="25" l="1"/>
  <c r="R67" i="13"/>
  <c r="R53" i="25"/>
  <c r="R75" i="13"/>
  <c r="R59" i="25"/>
  <c r="S59" i="25" s="1"/>
  <c r="R50" i="8"/>
  <c r="R41" i="13" l="1"/>
  <c r="R26" i="25"/>
  <c r="C53" i="13"/>
  <c r="W2" i="4"/>
  <c r="T2" i="4"/>
  <c r="R2" i="4"/>
  <c r="Q2" i="4"/>
  <c r="P2" i="4"/>
  <c r="O2" i="4"/>
  <c r="N2" i="4"/>
  <c r="G2" i="4"/>
  <c r="I2" i="4" s="1"/>
  <c r="B2" i="4"/>
  <c r="T4" i="3"/>
  <c r="T5" i="3" s="1"/>
  <c r="T6" i="3" s="1"/>
  <c r="T7" i="3" s="1"/>
  <c r="T8" i="3" s="1"/>
  <c r="T9" i="3" s="1"/>
  <c r="T10" i="3" s="1"/>
  <c r="T11" i="3" s="1"/>
  <c r="T12" i="3" s="1"/>
  <c r="T13" i="3" s="1"/>
  <c r="T14" i="3" s="1"/>
  <c r="T15" i="3" s="1"/>
  <c r="T16" i="3" s="1"/>
  <c r="T17" i="3" s="1"/>
  <c r="T18" i="3" s="1"/>
  <c r="T19" i="3" s="1"/>
  <c r="T20" i="3" s="1"/>
  <c r="T21" i="3" s="1"/>
  <c r="T22" i="3" s="1"/>
  <c r="T23" i="3" s="1"/>
  <c r="T24" i="3" s="1"/>
  <c r="T25" i="3" s="1"/>
  <c r="T26" i="3" s="1"/>
  <c r="T27" i="3" s="1"/>
  <c r="T28" i="3" s="1"/>
  <c r="T29" i="3" s="1"/>
  <c r="T30" i="3" s="1"/>
  <c r="T31" i="3" s="1"/>
  <c r="T32" i="3" s="1"/>
  <c r="T33" i="3" s="1"/>
  <c r="T34" i="3" s="1"/>
  <c r="T35" i="3" s="1"/>
  <c r="M3" i="3"/>
  <c r="M4" i="3" s="1"/>
  <c r="M5" i="3" s="1"/>
  <c r="M6" i="3" s="1"/>
  <c r="M7" i="3" s="1"/>
  <c r="M8" i="3" s="1"/>
  <c r="M9" i="3" s="1"/>
  <c r="M10" i="3" s="1"/>
  <c r="M11" i="3" s="1"/>
  <c r="M12" i="3" s="1"/>
  <c r="M13" i="3" s="1"/>
  <c r="M14" i="3" s="1"/>
  <c r="M15" i="3" s="1"/>
  <c r="M16" i="3" s="1"/>
  <c r="N2" i="3"/>
  <c r="N3" i="3" s="1"/>
  <c r="N4" i="3" s="1"/>
  <c r="N5" i="3" s="1"/>
  <c r="N6" i="3" s="1"/>
  <c r="N7" i="3" s="1"/>
  <c r="N8" i="3" s="1"/>
  <c r="N9" i="3" s="1"/>
  <c r="N10" i="3" s="1"/>
  <c r="N11" i="3" s="1"/>
  <c r="N12" i="3" s="1"/>
  <c r="N13" i="3" s="1"/>
  <c r="N14" i="3" s="1"/>
  <c r="N15" i="3" s="1"/>
  <c r="N16" i="3" s="1"/>
  <c r="R1232" i="4" l="1"/>
  <c r="U1232" i="4" s="1"/>
  <c r="R1148" i="4"/>
  <c r="U1148" i="4" s="1"/>
  <c r="R1124" i="4"/>
  <c r="U1124" i="4" s="1"/>
  <c r="R1055" i="4"/>
  <c r="U1055" i="4" s="1"/>
  <c r="R1061" i="4"/>
  <c r="U1061" i="4" s="1"/>
  <c r="R1085" i="4"/>
  <c r="U1085" i="4" s="1"/>
  <c r="R1113" i="4"/>
  <c r="U1113" i="4" s="1"/>
  <c r="R1130" i="4"/>
  <c r="U1130" i="4" s="1"/>
  <c r="R1231" i="4"/>
  <c r="U1231" i="4" s="1"/>
  <c r="R1084" i="4"/>
  <c r="U1084" i="4" s="1"/>
  <c r="R1103" i="4"/>
  <c r="U1103" i="4" s="1"/>
  <c r="R1128" i="4"/>
  <c r="U1128" i="4" s="1"/>
  <c r="R1118" i="4"/>
  <c r="U1118" i="4" s="1"/>
  <c r="R1230" i="4"/>
  <c r="U1230" i="4" s="1"/>
  <c r="R1041" i="4"/>
  <c r="U1041" i="4" s="1"/>
  <c r="R1071" i="4"/>
  <c r="U1071" i="4" s="1"/>
  <c r="R1102" i="4"/>
  <c r="U1102" i="4" s="1"/>
  <c r="R1108" i="4"/>
  <c r="U1108" i="4" s="1"/>
  <c r="R1158" i="4"/>
  <c r="U1158" i="4" s="1"/>
  <c r="R1134" i="4"/>
  <c r="U1134" i="4" s="1"/>
  <c r="R1229" i="4"/>
  <c r="U1229" i="4" s="1"/>
  <c r="R1235" i="4"/>
  <c r="U1235" i="4" s="1"/>
  <c r="R1052" i="4"/>
  <c r="U1052" i="4" s="1"/>
  <c r="R1058" i="4"/>
  <c r="U1058" i="4" s="1"/>
  <c r="R1064" i="4"/>
  <c r="U1064" i="4" s="1"/>
  <c r="R1082" i="4"/>
  <c r="U1082" i="4" s="1"/>
  <c r="R1107" i="4"/>
  <c r="U1107" i="4" s="1"/>
  <c r="R1163" i="4"/>
  <c r="U1163" i="4" s="1"/>
  <c r="R1228" i="4"/>
  <c r="U1228" i="4" s="1"/>
  <c r="R1240" i="4"/>
  <c r="U1240" i="4" s="1"/>
  <c r="R1183" i="4"/>
  <c r="U1183" i="4" s="1"/>
  <c r="R1174" i="4"/>
  <c r="U1174" i="4" s="1"/>
  <c r="R1197" i="4"/>
  <c r="U1197" i="4" s="1"/>
  <c r="R1209" i="4"/>
  <c r="U1209" i="4" s="1"/>
  <c r="R1017" i="4"/>
  <c r="U1017" i="4" s="1"/>
  <c r="R989" i="4"/>
  <c r="U989" i="4" s="1"/>
  <c r="R983" i="4"/>
  <c r="U983" i="4" s="1"/>
  <c r="R1184" i="4"/>
  <c r="U1184" i="4" s="1"/>
  <c r="R1032" i="4"/>
  <c r="U1032" i="4" s="1"/>
  <c r="R1016" i="4"/>
  <c r="U1016" i="4" s="1"/>
  <c r="R1000" i="4"/>
  <c r="U1000" i="4" s="1"/>
  <c r="R1025" i="4"/>
  <c r="U1025" i="4" s="1"/>
  <c r="R993" i="4"/>
  <c r="U993" i="4" s="1"/>
  <c r="R999" i="4"/>
  <c r="U999" i="4" s="1"/>
  <c r="R1005" i="4"/>
  <c r="U1005" i="4" s="1"/>
  <c r="R1129" i="4"/>
  <c r="U1129" i="4" s="1"/>
  <c r="R1212" i="4"/>
  <c r="U1212" i="4" s="1"/>
  <c r="R992" i="4"/>
  <c r="U992" i="4" s="1"/>
  <c r="R986" i="4"/>
  <c r="U986" i="4" s="1"/>
  <c r="R1176" i="4"/>
  <c r="U1176" i="4" s="1"/>
  <c r="R1217" i="4"/>
  <c r="U1217" i="4" s="1"/>
  <c r="R985" i="4"/>
  <c r="U985" i="4" s="1"/>
  <c r="R1182" i="4"/>
  <c r="U1182" i="4" s="1"/>
  <c r="R1222" i="4"/>
  <c r="U1222" i="4" s="1"/>
  <c r="R1028" i="4"/>
  <c r="U1028" i="4" s="1"/>
  <c r="R1012" i="4"/>
  <c r="U1012" i="4" s="1"/>
  <c r="R1018" i="4"/>
  <c r="U1018" i="4" s="1"/>
  <c r="R996" i="4"/>
  <c r="U996" i="4" s="1"/>
  <c r="R1057" i="4"/>
  <c r="U1057" i="4" s="1"/>
  <c r="R1087" i="4"/>
  <c r="U1087" i="4" s="1"/>
  <c r="R1100" i="4"/>
  <c r="U1100" i="4" s="1"/>
  <c r="R1106" i="4"/>
  <c r="U1106" i="4" s="1"/>
  <c r="R1175" i="4"/>
  <c r="U1175" i="4" s="1"/>
  <c r="R1233" i="4"/>
  <c r="U1233" i="4" s="1"/>
  <c r="R1050" i="4"/>
  <c r="U1050" i="4" s="1"/>
  <c r="R1056" i="4"/>
  <c r="U1056" i="4" s="1"/>
  <c r="R1062" i="4"/>
  <c r="U1062" i="4" s="1"/>
  <c r="R1068" i="4"/>
  <c r="U1068" i="4" s="1"/>
  <c r="R970" i="4"/>
  <c r="U970" i="4" s="1"/>
  <c r="R975" i="4"/>
  <c r="U975" i="4" s="1"/>
  <c r="R974" i="4"/>
  <c r="U974" i="4" s="1"/>
  <c r="R961" i="4"/>
  <c r="U961" i="4" s="1"/>
  <c r="R978" i="4"/>
  <c r="U978" i="4" s="1"/>
  <c r="R982" i="4"/>
  <c r="U982" i="4" s="1"/>
  <c r="R964" i="4"/>
  <c r="U964" i="4" s="1"/>
  <c r="R944" i="4"/>
  <c r="U944" i="4" s="1"/>
  <c r="R956" i="4"/>
  <c r="U956" i="4" s="1"/>
  <c r="R902" i="4"/>
  <c r="U902" i="4" s="1"/>
  <c r="R866" i="4"/>
  <c r="U866" i="4" s="1"/>
  <c r="R933" i="4"/>
  <c r="U933" i="4" s="1"/>
  <c r="R909" i="4"/>
  <c r="U909" i="4" s="1"/>
  <c r="R897" i="4"/>
  <c r="U897" i="4" s="1"/>
  <c r="R867" i="4"/>
  <c r="U867" i="4" s="1"/>
  <c r="R949" i="4"/>
  <c r="U949" i="4" s="1"/>
  <c r="R943" i="4"/>
  <c r="U943" i="4" s="1"/>
  <c r="R903" i="4"/>
  <c r="U903" i="4" s="1"/>
  <c r="R954" i="4"/>
  <c r="U954" i="4" s="1"/>
  <c r="R922" i="4"/>
  <c r="U922" i="4" s="1"/>
  <c r="R898" i="4"/>
  <c r="U898" i="4" s="1"/>
  <c r="R852" i="4"/>
  <c r="U852" i="4" s="1"/>
  <c r="R839" i="4"/>
  <c r="U839" i="4" s="1"/>
  <c r="R912" i="4"/>
  <c r="U912" i="4" s="1"/>
  <c r="R947" i="4"/>
  <c r="U947" i="4" s="1"/>
  <c r="R917" i="4"/>
  <c r="U917" i="4" s="1"/>
  <c r="R911" i="4"/>
  <c r="U911" i="4" s="1"/>
  <c r="R857" i="4"/>
  <c r="U857" i="4" s="1"/>
  <c r="R863" i="4"/>
  <c r="U863" i="4" s="1"/>
  <c r="R930" i="4"/>
  <c r="U930" i="4" s="1"/>
  <c r="R888" i="4"/>
  <c r="U888" i="4" s="1"/>
  <c r="R957" i="4"/>
  <c r="U957" i="4" s="1"/>
  <c r="R877" i="4"/>
  <c r="U877" i="4" s="1"/>
  <c r="R855" i="4"/>
  <c r="U855" i="4" s="1"/>
  <c r="R873" i="4"/>
  <c r="U873" i="4" s="1"/>
  <c r="R894" i="4"/>
  <c r="U894" i="4" s="1"/>
  <c r="R856" i="4"/>
  <c r="U856" i="4" s="1"/>
  <c r="R843" i="4"/>
  <c r="U843" i="4" s="1"/>
  <c r="R889" i="4"/>
  <c r="U889" i="4" s="1"/>
  <c r="R932" i="4"/>
  <c r="U932" i="4" s="1"/>
  <c r="R842" i="4"/>
  <c r="U842" i="4" s="1"/>
  <c r="R848" i="4"/>
  <c r="U848" i="4" s="1"/>
  <c r="R908" i="4"/>
  <c r="U908" i="4" s="1"/>
  <c r="R761" i="4"/>
  <c r="U761" i="4" s="1"/>
  <c r="R785" i="4"/>
  <c r="U785" i="4" s="1"/>
  <c r="R803" i="4"/>
  <c r="U803" i="4" s="1"/>
  <c r="R711" i="4"/>
  <c r="U711" i="4" s="1"/>
  <c r="R741" i="4"/>
  <c r="U741" i="4" s="1"/>
  <c r="R747" i="4"/>
  <c r="U747" i="4" s="1"/>
  <c r="R672" i="4"/>
  <c r="U672" i="4" s="1"/>
  <c r="R645" i="4"/>
  <c r="U645" i="4" s="1"/>
  <c r="R710" i="4"/>
  <c r="U710" i="4" s="1"/>
  <c r="R698" i="4"/>
  <c r="U698" i="4" s="1"/>
  <c r="R653" i="4"/>
  <c r="U653" i="4" s="1"/>
  <c r="R685" i="4"/>
  <c r="U685" i="4" s="1"/>
  <c r="R760" i="4"/>
  <c r="U760" i="4" s="1"/>
  <c r="R778" i="4"/>
  <c r="U778" i="4" s="1"/>
  <c r="R796" i="4"/>
  <c r="U796" i="4" s="1"/>
  <c r="R808" i="4"/>
  <c r="U808" i="4" s="1"/>
  <c r="R820" i="4"/>
  <c r="U820" i="4" s="1"/>
  <c r="R832" i="4"/>
  <c r="U832" i="4" s="1"/>
  <c r="R838" i="4"/>
  <c r="U838" i="4" s="1"/>
  <c r="R650" i="4"/>
  <c r="U650" i="4" s="1"/>
  <c r="R673" i="4"/>
  <c r="U673" i="4" s="1"/>
  <c r="R765" i="4"/>
  <c r="U765" i="4" s="1"/>
  <c r="R771" i="4"/>
  <c r="U771" i="4" s="1"/>
  <c r="R777" i="4"/>
  <c r="U777" i="4" s="1"/>
  <c r="R783" i="4"/>
  <c r="U783" i="4" s="1"/>
  <c r="R819" i="4"/>
  <c r="U819" i="4" s="1"/>
  <c r="R831" i="4"/>
  <c r="U831" i="4" s="1"/>
  <c r="R837" i="4"/>
  <c r="U837" i="4" s="1"/>
  <c r="R733" i="4"/>
  <c r="U733" i="4" s="1"/>
  <c r="R739" i="4"/>
  <c r="U739" i="4" s="1"/>
  <c r="R751" i="4"/>
  <c r="U751" i="4" s="1"/>
  <c r="R705" i="4"/>
  <c r="U705" i="4" s="1"/>
  <c r="R676" i="4"/>
  <c r="U676" i="4" s="1"/>
  <c r="R682" i="4"/>
  <c r="U682" i="4" s="1"/>
  <c r="R688" i="4"/>
  <c r="U688" i="4" s="1"/>
  <c r="R668" i="4"/>
  <c r="U668" i="4" s="1"/>
  <c r="R649" i="4"/>
  <c r="U649" i="4" s="1"/>
  <c r="R655" i="4"/>
  <c r="U655" i="4" s="1"/>
  <c r="R794" i="4"/>
  <c r="U794" i="4" s="1"/>
  <c r="R812" i="4"/>
  <c r="U812" i="4" s="1"/>
  <c r="R830" i="4"/>
  <c r="U830" i="4" s="1"/>
  <c r="L12" i="25" s="1"/>
  <c r="R836" i="4"/>
  <c r="U836" i="4" s="1"/>
  <c r="R726" i="4"/>
  <c r="U726" i="4" s="1"/>
  <c r="R732" i="4"/>
  <c r="U732" i="4" s="1"/>
  <c r="R738" i="4"/>
  <c r="U738" i="4" s="1"/>
  <c r="R697" i="4"/>
  <c r="U697" i="4" s="1"/>
  <c r="R665" i="4"/>
  <c r="U665" i="4" s="1"/>
  <c r="R646" i="4"/>
  <c r="U646" i="4" s="1"/>
  <c r="J4" i="12" s="1"/>
  <c r="R704" i="4"/>
  <c r="U704" i="4" s="1"/>
  <c r="R687" i="4"/>
  <c r="U687" i="4" s="1"/>
  <c r="R636" i="4"/>
  <c r="U636" i="4" s="1"/>
  <c r="R763" i="4"/>
  <c r="U763" i="4" s="1"/>
  <c r="R769" i="4"/>
  <c r="U769" i="4" s="1"/>
  <c r="R811" i="4"/>
  <c r="U811" i="4" s="1"/>
  <c r="R817" i="4"/>
  <c r="U817" i="4" s="1"/>
  <c r="R835" i="4"/>
  <c r="U835" i="4" s="1"/>
  <c r="R725" i="4"/>
  <c r="U725" i="4" s="1"/>
  <c r="R737" i="4"/>
  <c r="U737" i="4" s="1"/>
  <c r="R674" i="4"/>
  <c r="U674" i="4" s="1"/>
  <c r="R647" i="4"/>
  <c r="U647" i="4" s="1"/>
  <c r="R768" i="4"/>
  <c r="U768" i="4" s="1"/>
  <c r="R774" i="4"/>
  <c r="U774" i="4" s="1"/>
  <c r="R718" i="4"/>
  <c r="U718" i="4" s="1"/>
  <c r="R736" i="4"/>
  <c r="U736" i="4" s="1"/>
  <c r="R659" i="4"/>
  <c r="U659" i="4" s="1"/>
  <c r="S2" i="4"/>
  <c r="R622" i="4"/>
  <c r="U622" i="4" s="1"/>
  <c r="I10" i="26" s="1"/>
  <c r="R628" i="4"/>
  <c r="U628" i="4" s="1"/>
  <c r="R624" i="4"/>
  <c r="U624" i="4" s="1"/>
  <c r="J27" i="25" s="1"/>
  <c r="R606" i="4"/>
  <c r="U606" i="4" s="1"/>
  <c r="R605" i="4"/>
  <c r="U605" i="4" s="1"/>
  <c r="R604" i="4"/>
  <c r="U604" i="4" s="1"/>
  <c r="R607" i="4"/>
  <c r="U607" i="4" s="1"/>
  <c r="R611" i="4"/>
  <c r="U611" i="4" s="1"/>
  <c r="R615" i="4"/>
  <c r="U615" i="4" s="1"/>
  <c r="R598" i="4"/>
  <c r="U598" i="4" s="1"/>
  <c r="R583" i="4"/>
  <c r="U583" i="4" s="1"/>
  <c r="R561" i="4"/>
  <c r="U561" i="4" s="1"/>
  <c r="R597" i="4"/>
  <c r="U597" i="4" s="1"/>
  <c r="H3" i="26" s="1"/>
  <c r="R560" i="4"/>
  <c r="U560" i="4" s="1"/>
  <c r="R572" i="4"/>
  <c r="U572" i="4" s="1"/>
  <c r="R571" i="4"/>
  <c r="U571" i="4" s="1"/>
  <c r="I12" i="25" s="1"/>
  <c r="R570" i="4"/>
  <c r="U570" i="4" s="1"/>
  <c r="R581" i="4"/>
  <c r="U581" i="4" s="1"/>
  <c r="R587" i="4"/>
  <c r="U587" i="4" s="1"/>
  <c r="R586" i="4"/>
  <c r="U586" i="4" s="1"/>
  <c r="R585" i="4"/>
  <c r="U585" i="4" s="1"/>
  <c r="H12" i="26" s="1"/>
  <c r="R591" i="4"/>
  <c r="U591" i="4" s="1"/>
  <c r="R563" i="4"/>
  <c r="U563" i="4" s="1"/>
  <c r="R593" i="4"/>
  <c r="U593" i="4" s="1"/>
  <c r="R590" i="4"/>
  <c r="U590" i="4" s="1"/>
  <c r="I27" i="25" s="1"/>
  <c r="R518" i="4"/>
  <c r="U518" i="4" s="1"/>
  <c r="R508" i="4"/>
  <c r="U508" i="4" s="1"/>
  <c r="R520" i="4"/>
  <c r="U520" i="4" s="1"/>
  <c r="G3" i="26" s="1"/>
  <c r="R547" i="4"/>
  <c r="U547" i="4" s="1"/>
  <c r="R476" i="4"/>
  <c r="U476" i="4" s="1"/>
  <c r="R489" i="4"/>
  <c r="U489" i="4" s="1"/>
  <c r="R525" i="4"/>
  <c r="U525" i="4" s="1"/>
  <c r="R537" i="4"/>
  <c r="U537" i="4" s="1"/>
  <c r="R526" i="4"/>
  <c r="U526" i="4" s="1"/>
  <c r="R550" i="4"/>
  <c r="U550" i="4" s="1"/>
  <c r="R481" i="4"/>
  <c r="U481" i="4" s="1"/>
  <c r="R517" i="4"/>
  <c r="U517" i="4" s="1"/>
  <c r="R543" i="4"/>
  <c r="U543" i="4" s="1"/>
  <c r="R534" i="4"/>
  <c r="U534" i="4" s="1"/>
  <c r="R479" i="4"/>
  <c r="U479" i="4" s="1"/>
  <c r="R491" i="4"/>
  <c r="U491" i="4" s="1"/>
  <c r="R503" i="4"/>
  <c r="U503" i="4" s="1"/>
  <c r="R504" i="4"/>
  <c r="U504" i="4" s="1"/>
  <c r="R528" i="4"/>
  <c r="U528" i="4" s="1"/>
  <c r="R540" i="4"/>
  <c r="U540" i="4" s="1"/>
  <c r="R505" i="4"/>
  <c r="U505" i="4" s="1"/>
  <c r="R483" i="4"/>
  <c r="U483" i="4" s="1"/>
  <c r="R519" i="4"/>
  <c r="U519" i="4" s="1"/>
  <c r="R555" i="4"/>
  <c r="U555" i="4" s="1"/>
  <c r="R544" i="4"/>
  <c r="U544" i="4" s="1"/>
  <c r="R459" i="4"/>
  <c r="U459" i="4" s="1"/>
  <c r="R465" i="4"/>
  <c r="U465" i="4" s="1"/>
  <c r="R471" i="4"/>
  <c r="U471" i="4" s="1"/>
  <c r="R458" i="4"/>
  <c r="U458" i="4" s="1"/>
  <c r="R470" i="4"/>
  <c r="U470" i="4" s="1"/>
  <c r="R457" i="4"/>
  <c r="U457" i="4" s="1"/>
  <c r="R461" i="4"/>
  <c r="U461" i="4" s="1"/>
  <c r="R467" i="4"/>
  <c r="U467" i="4" s="1"/>
  <c r="R473" i="4"/>
  <c r="U473" i="4" s="1"/>
  <c r="R469" i="4"/>
  <c r="U469" i="4" s="1"/>
  <c r="R475" i="4"/>
  <c r="U475" i="4" s="1"/>
  <c r="R446" i="4"/>
  <c r="U446" i="4" s="1"/>
  <c r="R425" i="4"/>
  <c r="U425" i="4" s="1"/>
  <c r="R423" i="4"/>
  <c r="U423" i="4" s="1"/>
  <c r="R420" i="4"/>
  <c r="U420" i="4" s="1"/>
  <c r="R439" i="4"/>
  <c r="U439" i="4" s="1"/>
  <c r="R437" i="4"/>
  <c r="U437" i="4" s="1"/>
  <c r="R404" i="4"/>
  <c r="U404" i="4" s="1"/>
  <c r="R407" i="4"/>
  <c r="U407" i="4" s="1"/>
  <c r="R400" i="4"/>
  <c r="U400" i="4" s="1"/>
  <c r="R428" i="4"/>
  <c r="U428" i="4" s="1"/>
  <c r="R415" i="4"/>
  <c r="U415" i="4" s="1"/>
  <c r="R440" i="4"/>
  <c r="U440" i="4" s="1"/>
  <c r="F23" i="26" s="1"/>
  <c r="R434" i="4"/>
  <c r="U434" i="4" s="1"/>
  <c r="R418" i="4"/>
  <c r="U418" i="4" s="1"/>
  <c r="R406" i="4"/>
  <c r="U406" i="4" s="1"/>
  <c r="R401" i="4"/>
  <c r="U401" i="4" s="1"/>
  <c r="R432" i="4"/>
  <c r="U432" i="4" s="1"/>
  <c r="R416" i="4"/>
  <c r="U416" i="4" s="1"/>
  <c r="R427" i="4"/>
  <c r="U427" i="4" s="1"/>
  <c r="R384" i="4"/>
  <c r="U384" i="4" s="1"/>
  <c r="R390" i="4"/>
  <c r="U390" i="4" s="1"/>
  <c r="F5" i="26" s="1"/>
  <c r="R389" i="4"/>
  <c r="U389" i="4" s="1"/>
  <c r="R382" i="4"/>
  <c r="U382" i="4" s="1"/>
  <c r="G40" i="13" s="1"/>
  <c r="R298" i="4"/>
  <c r="U298" i="4" s="1"/>
  <c r="F11" i="25" s="1"/>
  <c r="R304" i="4"/>
  <c r="U304" i="4" s="1"/>
  <c r="R357" i="4"/>
  <c r="U357" i="4" s="1"/>
  <c r="R317" i="4"/>
  <c r="U317" i="4" s="1"/>
  <c r="R328" i="4"/>
  <c r="U328" i="4" s="1"/>
  <c r="R334" i="4"/>
  <c r="U334" i="4" s="1"/>
  <c r="R320" i="4"/>
  <c r="U320" i="4" s="1"/>
  <c r="R313" i="4"/>
  <c r="U313" i="4" s="1"/>
  <c r="R294" i="4"/>
  <c r="U294" i="4" s="1"/>
  <c r="R318" i="4"/>
  <c r="U318" i="4" s="1"/>
  <c r="F3" i="25" s="1"/>
  <c r="R293" i="4"/>
  <c r="U293" i="4" s="1"/>
  <c r="R353" i="4"/>
  <c r="U353" i="4" s="1"/>
  <c r="R333" i="4"/>
  <c r="U333" i="4" s="1"/>
  <c r="R339" i="4"/>
  <c r="U339" i="4" s="1"/>
  <c r="R363" i="4"/>
  <c r="U363" i="4" s="1"/>
  <c r="R300" i="4"/>
  <c r="U300" i="4" s="1"/>
  <c r="R306" i="4"/>
  <c r="U306" i="4" s="1"/>
  <c r="R291" i="4"/>
  <c r="U291" i="4" s="1"/>
  <c r="R356" i="4"/>
  <c r="U356" i="4" s="1"/>
  <c r="R278" i="4"/>
  <c r="U278" i="4" s="1"/>
  <c r="F4" i="12" s="1"/>
  <c r="R284" i="4"/>
  <c r="U284" i="4" s="1"/>
  <c r="R290" i="4"/>
  <c r="U290" i="4" s="1"/>
  <c r="R295" i="4"/>
  <c r="U295" i="4" s="1"/>
  <c r="R282" i="4"/>
  <c r="U282" i="4" s="1"/>
  <c r="R354" i="4"/>
  <c r="U354" i="4" s="1"/>
  <c r="R330" i="4"/>
  <c r="U330" i="4" s="1"/>
  <c r="R377" i="4"/>
  <c r="U377" i="4" s="1"/>
  <c r="R271" i="4"/>
  <c r="U271" i="4" s="1"/>
  <c r="F27" i="25" s="1"/>
  <c r="R266" i="4"/>
  <c r="U266" i="4" s="1"/>
  <c r="R265" i="4"/>
  <c r="U265" i="4" s="1"/>
  <c r="R258" i="4"/>
  <c r="U258" i="4" s="1"/>
  <c r="R270" i="4"/>
  <c r="U270" i="4" s="1"/>
  <c r="R257" i="4"/>
  <c r="U257" i="4" s="1"/>
  <c r="R239" i="4"/>
  <c r="U239" i="4" s="1"/>
  <c r="R254" i="4"/>
  <c r="U254" i="4" s="1"/>
  <c r="R238" i="4"/>
  <c r="U238" i="4" s="1"/>
  <c r="R231" i="4"/>
  <c r="U231" i="4" s="1"/>
  <c r="R242" i="4"/>
  <c r="U242" i="4" s="1"/>
  <c r="R241" i="4"/>
  <c r="U241" i="4" s="1"/>
  <c r="R199" i="4"/>
  <c r="U199" i="4" s="1"/>
  <c r="R222" i="4"/>
  <c r="U222" i="4" s="1"/>
  <c r="R194" i="4"/>
  <c r="U194" i="4" s="1"/>
  <c r="R216" i="4"/>
  <c r="U216" i="4" s="1"/>
  <c r="R205" i="4"/>
  <c r="U205" i="4" s="1"/>
  <c r="R229" i="4"/>
  <c r="U229" i="4" s="1"/>
  <c r="R221" i="4"/>
  <c r="U221" i="4" s="1"/>
  <c r="R211" i="4"/>
  <c r="U211" i="4" s="1"/>
  <c r="R184" i="4"/>
  <c r="U184" i="4" s="1"/>
  <c r="R188" i="4"/>
  <c r="U188" i="4" s="1"/>
  <c r="E27" i="25" s="1"/>
  <c r="R192" i="4"/>
  <c r="U192" i="4" s="1"/>
  <c r="R164" i="4"/>
  <c r="U164" i="4" s="1"/>
  <c r="R180" i="4"/>
  <c r="U180" i="4" s="1"/>
  <c r="R146" i="4"/>
  <c r="U146" i="4" s="1"/>
  <c r="R166" i="4"/>
  <c r="U166" i="4" s="1"/>
  <c r="R189" i="4"/>
  <c r="U189" i="4" s="1"/>
  <c r="R153" i="4"/>
  <c r="U153" i="4" s="1"/>
  <c r="R148" i="4"/>
  <c r="U148" i="4" s="1"/>
  <c r="R187" i="4"/>
  <c r="U187" i="4" s="1"/>
  <c r="R140" i="4"/>
  <c r="U140" i="4" s="1"/>
  <c r="R149" i="4"/>
  <c r="U149" i="4" s="1"/>
  <c r="R182" i="4"/>
  <c r="U182" i="4" s="1"/>
  <c r="R162" i="4"/>
  <c r="U162" i="4" s="1"/>
  <c r="R181" i="4"/>
  <c r="U181" i="4" s="1"/>
  <c r="R101" i="4"/>
  <c r="U101" i="4" s="1"/>
  <c r="R111" i="4"/>
  <c r="U111" i="4" s="1"/>
  <c r="R105" i="4"/>
  <c r="U105" i="4" s="1"/>
  <c r="R109" i="4"/>
  <c r="U109" i="4" s="1"/>
  <c r="R104" i="4"/>
  <c r="U104" i="4" s="1"/>
  <c r="R124" i="4"/>
  <c r="U124" i="4" s="1"/>
  <c r="R106" i="4"/>
  <c r="U106" i="4" s="1"/>
  <c r="R114" i="4"/>
  <c r="U114" i="4" s="1"/>
  <c r="R92" i="4"/>
  <c r="U92" i="4" s="1"/>
  <c r="R96" i="4"/>
  <c r="U96" i="4" s="1"/>
  <c r="R82" i="4"/>
  <c r="U82" i="4" s="1"/>
  <c r="R63" i="4"/>
  <c r="U63" i="4" s="1"/>
  <c r="R91" i="4"/>
  <c r="U91" i="4" s="1"/>
  <c r="R62" i="4"/>
  <c r="U62" i="4" s="1"/>
  <c r="R57" i="4"/>
  <c r="U57" i="4" s="1"/>
  <c r="R80" i="4"/>
  <c r="U80" i="4" s="1"/>
  <c r="R52" i="4"/>
  <c r="U52" i="4" s="1"/>
  <c r="R89" i="4"/>
  <c r="U89" i="4" s="1"/>
  <c r="R71" i="4"/>
  <c r="U71" i="4" s="1"/>
  <c r="R55" i="4"/>
  <c r="U55" i="4" s="1"/>
  <c r="R46" i="4"/>
  <c r="U46" i="4" s="1"/>
  <c r="R50" i="4"/>
  <c r="U50" i="4" s="1"/>
  <c r="R35" i="4"/>
  <c r="U35" i="4" s="1"/>
  <c r="C88" i="8" s="1"/>
  <c r="R43" i="4"/>
  <c r="U43" i="4" s="1"/>
  <c r="R20" i="4"/>
  <c r="U20" i="4" s="1"/>
  <c r="R28" i="4"/>
  <c r="U28" i="4" s="1"/>
  <c r="R32" i="4"/>
  <c r="U32" i="4" s="1"/>
  <c r="R40" i="4"/>
  <c r="U40" i="4" s="1"/>
  <c r="R34" i="4"/>
  <c r="U34" i="4" s="1"/>
  <c r="R3" i="4"/>
  <c r="U3" i="4" s="1"/>
  <c r="J2" i="4"/>
  <c r="K2" i="4" s="1"/>
  <c r="T36" i="3"/>
  <c r="T37" i="3" s="1"/>
  <c r="T38" i="3" s="1"/>
  <c r="T39" i="3" s="1"/>
  <c r="T40" i="3" s="1"/>
  <c r="T41" i="3" s="1"/>
  <c r="I7" i="26" l="1"/>
  <c r="J11" i="8"/>
  <c r="J11" i="13"/>
  <c r="J4" i="25"/>
  <c r="J7" i="26"/>
  <c r="K11" i="8"/>
  <c r="K11" i="13"/>
  <c r="K4" i="25"/>
  <c r="L4" i="8"/>
  <c r="L4" i="13"/>
  <c r="L2" i="25"/>
  <c r="N11" i="25"/>
  <c r="N23" i="8"/>
  <c r="N3" i="12"/>
  <c r="M26" i="26"/>
  <c r="N5" i="8"/>
  <c r="N5" i="13"/>
  <c r="K34" i="25"/>
  <c r="K52" i="13"/>
  <c r="K73" i="8"/>
  <c r="K11" i="26"/>
  <c r="L13" i="8"/>
  <c r="L13" i="13"/>
  <c r="L5" i="25"/>
  <c r="K57" i="8"/>
  <c r="S57" i="8" s="1"/>
  <c r="K13" i="12"/>
  <c r="S13" i="12" s="1"/>
  <c r="L14" i="8"/>
  <c r="L14" i="13"/>
  <c r="L6" i="25"/>
  <c r="K30" i="26"/>
  <c r="M5" i="8"/>
  <c r="M5" i="13"/>
  <c r="L26" i="26"/>
  <c r="M9" i="25"/>
  <c r="M20" i="8"/>
  <c r="M19" i="13"/>
  <c r="L44" i="26"/>
  <c r="N16" i="13"/>
  <c r="N7" i="25"/>
  <c r="N17" i="8"/>
  <c r="M30" i="26"/>
  <c r="N14" i="13"/>
  <c r="N6" i="25"/>
  <c r="N14" i="8"/>
  <c r="P3" i="25"/>
  <c r="O22" i="26"/>
  <c r="P7" i="8"/>
  <c r="P7" i="13"/>
  <c r="P11" i="26"/>
  <c r="Q13" i="8"/>
  <c r="Q5" i="25"/>
  <c r="Q13" i="13"/>
  <c r="P48" i="26"/>
  <c r="P38" i="26" s="1"/>
  <c r="Q26" i="25"/>
  <c r="Q41" i="13"/>
  <c r="Q50" i="8"/>
  <c r="N58" i="26"/>
  <c r="O8" i="25"/>
  <c r="O17" i="13"/>
  <c r="O18" i="8"/>
  <c r="K4" i="26"/>
  <c r="L26" i="13"/>
  <c r="L28" i="8"/>
  <c r="J6" i="13"/>
  <c r="J6" i="8"/>
  <c r="I46" i="26"/>
  <c r="I6" i="26"/>
  <c r="J8" i="8"/>
  <c r="J8" i="13"/>
  <c r="M14" i="8"/>
  <c r="M14" i="13"/>
  <c r="M6" i="25"/>
  <c r="L30" i="26"/>
  <c r="N10" i="13"/>
  <c r="N10" i="8"/>
  <c r="M39" i="26"/>
  <c r="R1030" i="4"/>
  <c r="U1030" i="4" s="1"/>
  <c r="N81" i="26"/>
  <c r="O2" i="13"/>
  <c r="O2" i="8"/>
  <c r="R383" i="4"/>
  <c r="U383" i="4" s="1"/>
  <c r="F11" i="26" s="1"/>
  <c r="J21" i="25"/>
  <c r="J36" i="13"/>
  <c r="J43" i="8"/>
  <c r="I34" i="26"/>
  <c r="R818" i="4"/>
  <c r="U818" i="4" s="1"/>
  <c r="K22" i="8"/>
  <c r="K21" i="13"/>
  <c r="J45" i="26"/>
  <c r="L75" i="8"/>
  <c r="S75" i="8" s="1"/>
  <c r="L23" i="12"/>
  <c r="S23" i="12" s="1"/>
  <c r="K2" i="8"/>
  <c r="K2" i="13"/>
  <c r="J81" i="26"/>
  <c r="M48" i="8"/>
  <c r="M40" i="13"/>
  <c r="M10" i="8"/>
  <c r="M10" i="13"/>
  <c r="M17" i="8"/>
  <c r="M16" i="13"/>
  <c r="M7" i="25"/>
  <c r="N13" i="26"/>
  <c r="O14" i="12"/>
  <c r="O58" i="8"/>
  <c r="M45" i="26"/>
  <c r="N22" i="8"/>
  <c r="N21" i="13"/>
  <c r="N9" i="25"/>
  <c r="M44" i="26"/>
  <c r="N20" i="8"/>
  <c r="N19" i="13"/>
  <c r="Q48" i="8"/>
  <c r="Q40" i="13"/>
  <c r="P26" i="26"/>
  <c r="Q5" i="13"/>
  <c r="Q5" i="8"/>
  <c r="P9" i="26"/>
  <c r="Q35" i="8"/>
  <c r="Q30" i="13"/>
  <c r="L2" i="12"/>
  <c r="L15" i="8"/>
  <c r="K21" i="26"/>
  <c r="I9" i="26"/>
  <c r="J30" i="13"/>
  <c r="J35" i="8"/>
  <c r="M15" i="8"/>
  <c r="M2" i="12"/>
  <c r="L21" i="26"/>
  <c r="N46" i="26"/>
  <c r="O6" i="8"/>
  <c r="O6" i="13"/>
  <c r="K7" i="8"/>
  <c r="K7" i="13"/>
  <c r="K3" i="25"/>
  <c r="J22" i="26"/>
  <c r="K6" i="13"/>
  <c r="K6" i="8"/>
  <c r="J46" i="26"/>
  <c r="J93" i="8"/>
  <c r="S93" i="8" s="1"/>
  <c r="J44" i="25"/>
  <c r="S44" i="25" s="1"/>
  <c r="J66" i="13"/>
  <c r="S66" i="13" s="1"/>
  <c r="L5" i="8"/>
  <c r="L5" i="13"/>
  <c r="K26" i="26"/>
  <c r="L2" i="8"/>
  <c r="L2" i="13"/>
  <c r="K81" i="26"/>
  <c r="L16" i="13"/>
  <c r="L17" i="8"/>
  <c r="L7" i="25"/>
  <c r="K14" i="8"/>
  <c r="K14" i="13"/>
  <c r="K6" i="25"/>
  <c r="J30" i="26"/>
  <c r="L9" i="25"/>
  <c r="L19" i="13"/>
  <c r="L20" i="8"/>
  <c r="K44" i="26"/>
  <c r="K7" i="26"/>
  <c r="L11" i="8"/>
  <c r="L4" i="25"/>
  <c r="L11" i="13"/>
  <c r="O45" i="8"/>
  <c r="O9" i="12"/>
  <c r="O23" i="25"/>
  <c r="N85" i="26"/>
  <c r="N72" i="26" s="1"/>
  <c r="M47" i="26"/>
  <c r="N19" i="8"/>
  <c r="N18" i="13"/>
  <c r="M64" i="26"/>
  <c r="N67" i="8"/>
  <c r="N49" i="13"/>
  <c r="N30" i="25"/>
  <c r="P2" i="25"/>
  <c r="P4" i="13"/>
  <c r="P4" i="8"/>
  <c r="O46" i="26"/>
  <c r="P6" i="8"/>
  <c r="P6" i="13"/>
  <c r="O23" i="26"/>
  <c r="P9" i="8"/>
  <c r="P9" i="13"/>
  <c r="K90" i="8"/>
  <c r="K64" i="13"/>
  <c r="R693" i="4"/>
  <c r="U693" i="4" s="1"/>
  <c r="L38" i="13"/>
  <c r="L46" i="8"/>
  <c r="L24" i="25"/>
  <c r="K49" i="26"/>
  <c r="L7" i="13"/>
  <c r="L3" i="25"/>
  <c r="K22" i="26"/>
  <c r="L19" i="25"/>
  <c r="L38" i="8"/>
  <c r="L8" i="12"/>
  <c r="L6" i="13"/>
  <c r="L6" i="8"/>
  <c r="K46" i="26"/>
  <c r="K9" i="26"/>
  <c r="L30" i="13"/>
  <c r="L35" i="8"/>
  <c r="L12" i="26"/>
  <c r="M3" i="8"/>
  <c r="M3" i="13"/>
  <c r="O22" i="13"/>
  <c r="O24" i="8"/>
  <c r="P12" i="26"/>
  <c r="Q3" i="8"/>
  <c r="Q3" i="13"/>
  <c r="M29" i="26"/>
  <c r="N12" i="13"/>
  <c r="N12" i="8"/>
  <c r="O6" i="26"/>
  <c r="P8" i="13"/>
  <c r="P8" i="8"/>
  <c r="P19" i="25"/>
  <c r="P8" i="12"/>
  <c r="P38" i="8"/>
  <c r="O12" i="26"/>
  <c r="O2" i="26" s="1"/>
  <c r="P3" i="8"/>
  <c r="P3" i="13"/>
  <c r="K4" i="12"/>
  <c r="S4" i="12" s="1"/>
  <c r="J56" i="26"/>
  <c r="J5" i="8"/>
  <c r="J5" i="13"/>
  <c r="I26" i="26"/>
  <c r="M41" i="8"/>
  <c r="S41" i="8" s="1"/>
  <c r="M34" i="13"/>
  <c r="S34" i="13" s="1"/>
  <c r="L42" i="26"/>
  <c r="L49" i="13"/>
  <c r="L67" i="8"/>
  <c r="L30" i="25"/>
  <c r="K64" i="26"/>
  <c r="N12" i="26"/>
  <c r="O3" i="8"/>
  <c r="O3" i="13"/>
  <c r="M6" i="26"/>
  <c r="N8" i="8"/>
  <c r="N8" i="13"/>
  <c r="O40" i="26"/>
  <c r="P24" i="13"/>
  <c r="P26" i="8"/>
  <c r="K56" i="13"/>
  <c r="K81" i="8"/>
  <c r="L45" i="8"/>
  <c r="L9" i="12"/>
  <c r="L23" i="25"/>
  <c r="K85" i="26"/>
  <c r="M27" i="8"/>
  <c r="M25" i="13"/>
  <c r="M13" i="25"/>
  <c r="N48" i="8"/>
  <c r="N40" i="13"/>
  <c r="Q7" i="25"/>
  <c r="Q17" i="8"/>
  <c r="Q16" i="13"/>
  <c r="N6" i="26"/>
  <c r="O8" i="13"/>
  <c r="O8" i="8"/>
  <c r="K5" i="13"/>
  <c r="K5" i="8"/>
  <c r="J26" i="26"/>
  <c r="J34" i="25"/>
  <c r="J52" i="13"/>
  <c r="J73" i="8"/>
  <c r="J12" i="13"/>
  <c r="J12" i="8"/>
  <c r="I29" i="26"/>
  <c r="J22" i="8"/>
  <c r="J21" i="13"/>
  <c r="I45" i="26"/>
  <c r="L24" i="13"/>
  <c r="L26" i="8"/>
  <c r="K32" i="13"/>
  <c r="K39" i="8"/>
  <c r="K20" i="25"/>
  <c r="J12" i="26"/>
  <c r="K3" i="13"/>
  <c r="K3" i="8"/>
  <c r="M54" i="8"/>
  <c r="M27" i="25"/>
  <c r="M29" i="8"/>
  <c r="M4" i="12"/>
  <c r="M6" i="13"/>
  <c r="M6" i="8"/>
  <c r="L46" i="26"/>
  <c r="O16" i="13"/>
  <c r="O7" i="25"/>
  <c r="O17" i="8"/>
  <c r="P36" i="13"/>
  <c r="P21" i="25"/>
  <c r="P43" i="8"/>
  <c r="O34" i="26"/>
  <c r="M12" i="26"/>
  <c r="N3" i="8"/>
  <c r="N3" i="13"/>
  <c r="P6" i="26"/>
  <c r="Q8" i="13"/>
  <c r="Q8" i="8"/>
  <c r="O73" i="8"/>
  <c r="O34" i="25"/>
  <c r="O52" i="13"/>
  <c r="O23" i="13"/>
  <c r="O12" i="25"/>
  <c r="O25" i="8"/>
  <c r="I11" i="26"/>
  <c r="J5" i="25"/>
  <c r="J32" i="8"/>
  <c r="J15" i="25"/>
  <c r="J28" i="13"/>
  <c r="I62" i="26"/>
  <c r="K19" i="8"/>
  <c r="K18" i="13"/>
  <c r="J47" i="26"/>
  <c r="K39" i="25"/>
  <c r="K83" i="8"/>
  <c r="S83" i="8" s="1"/>
  <c r="K57" i="13"/>
  <c r="S57" i="13" s="1"/>
  <c r="J9" i="26"/>
  <c r="K30" i="13"/>
  <c r="K35" i="8"/>
  <c r="N27" i="25"/>
  <c r="N45" i="13"/>
  <c r="N54" i="8"/>
  <c r="M19" i="25"/>
  <c r="M38" i="8"/>
  <c r="M8" i="12"/>
  <c r="M9" i="8"/>
  <c r="M9" i="13"/>
  <c r="L23" i="26"/>
  <c r="P27" i="26"/>
  <c r="Q29" i="13"/>
  <c r="Q34" i="8"/>
  <c r="M81" i="26"/>
  <c r="N2" i="13"/>
  <c r="N2" i="8"/>
  <c r="N18" i="12"/>
  <c r="N65" i="8"/>
  <c r="P81" i="26"/>
  <c r="Q2" i="13"/>
  <c r="Q2" i="8"/>
  <c r="O14" i="25"/>
  <c r="S14" i="25" s="1"/>
  <c r="N57" i="26"/>
  <c r="O31" i="8"/>
  <c r="O5" i="12"/>
  <c r="N4" i="26"/>
  <c r="O26" i="13"/>
  <c r="O28" i="8"/>
  <c r="K26" i="8"/>
  <c r="K24" i="13"/>
  <c r="J40" i="26"/>
  <c r="J17" i="25"/>
  <c r="J31" i="13"/>
  <c r="J36" i="8"/>
  <c r="J25" i="8"/>
  <c r="J12" i="25"/>
  <c r="K12" i="13"/>
  <c r="K12" i="8"/>
  <c r="J29" i="26"/>
  <c r="J17" i="8"/>
  <c r="J7" i="25"/>
  <c r="J16" i="13"/>
  <c r="L11" i="26"/>
  <c r="M13" i="8"/>
  <c r="M5" i="25"/>
  <c r="M13" i="13"/>
  <c r="M21" i="8"/>
  <c r="M10" i="25"/>
  <c r="L59" i="26"/>
  <c r="M4" i="8"/>
  <c r="M4" i="13"/>
  <c r="M2" i="25"/>
  <c r="N73" i="8"/>
  <c r="N34" i="25"/>
  <c r="N52" i="13"/>
  <c r="O29" i="26"/>
  <c r="P12" i="13"/>
  <c r="P12" i="8"/>
  <c r="P64" i="26"/>
  <c r="Q30" i="25"/>
  <c r="Q67" i="8"/>
  <c r="Q49" i="13"/>
  <c r="N50" i="25"/>
  <c r="S50" i="25" s="1"/>
  <c r="N70" i="13"/>
  <c r="S70" i="13" s="1"/>
  <c r="N99" i="8"/>
  <c r="O26" i="26"/>
  <c r="P5" i="13"/>
  <c r="P5" i="8"/>
  <c r="N47" i="26"/>
  <c r="O19" i="8"/>
  <c r="O18" i="13"/>
  <c r="N59" i="26"/>
  <c r="O21" i="8"/>
  <c r="O20" i="13"/>
  <c r="O10" i="25"/>
  <c r="K15" i="25"/>
  <c r="K28" i="13"/>
  <c r="J62" i="26"/>
  <c r="J40" i="8"/>
  <c r="J33" i="13"/>
  <c r="J8" i="25"/>
  <c r="J17" i="13"/>
  <c r="I58" i="26"/>
  <c r="K10" i="8"/>
  <c r="K10" i="13"/>
  <c r="J3" i="25"/>
  <c r="I22" i="26"/>
  <c r="L26" i="25"/>
  <c r="L50" i="8"/>
  <c r="L41" i="13"/>
  <c r="K48" i="26"/>
  <c r="L10" i="26"/>
  <c r="M44" i="8"/>
  <c r="M11" i="25"/>
  <c r="M23" i="8"/>
  <c r="M3" i="12"/>
  <c r="N23" i="26"/>
  <c r="N20" i="26" s="1"/>
  <c r="O9" i="8"/>
  <c r="O9" i="13"/>
  <c r="P73" i="8"/>
  <c r="P52" i="13"/>
  <c r="P34" i="25"/>
  <c r="N2" i="25"/>
  <c r="N4" i="13"/>
  <c r="N4" i="8"/>
  <c r="N9" i="26"/>
  <c r="O30" i="13"/>
  <c r="O35" i="8"/>
  <c r="O27" i="25"/>
  <c r="O45" i="13"/>
  <c r="O54" i="8"/>
  <c r="P17" i="8"/>
  <c r="P16" i="13"/>
  <c r="P7" i="25"/>
  <c r="L10" i="8"/>
  <c r="L10" i="13"/>
  <c r="K7" i="25"/>
  <c r="K17" i="8"/>
  <c r="K16" i="13"/>
  <c r="J26" i="25"/>
  <c r="J50" i="8"/>
  <c r="J41" i="13"/>
  <c r="I48" i="26"/>
  <c r="K22" i="13"/>
  <c r="K24" i="8"/>
  <c r="I12" i="26"/>
  <c r="I2" i="26" s="1"/>
  <c r="J3" i="8"/>
  <c r="J3" i="13"/>
  <c r="L81" i="8"/>
  <c r="L56" i="13"/>
  <c r="L12" i="13"/>
  <c r="L12" i="8"/>
  <c r="K29" i="26"/>
  <c r="M40" i="8"/>
  <c r="M33" i="13"/>
  <c r="L76" i="26"/>
  <c r="M50" i="26"/>
  <c r="N62" i="8"/>
  <c r="S62" i="8" s="1"/>
  <c r="N16" i="12"/>
  <c r="S16" i="12" s="1"/>
  <c r="N62" i="26"/>
  <c r="O32" i="8"/>
  <c r="O15" i="25"/>
  <c r="O28" i="13"/>
  <c r="M22" i="26"/>
  <c r="M20" i="26" s="1"/>
  <c r="N7" i="13"/>
  <c r="N7" i="8"/>
  <c r="N3" i="25"/>
  <c r="Q54" i="8"/>
  <c r="Q27" i="25"/>
  <c r="Q45" i="13"/>
  <c r="O63" i="13"/>
  <c r="S63" i="13" s="1"/>
  <c r="O89" i="8"/>
  <c r="S89" i="8" s="1"/>
  <c r="O42" i="25"/>
  <c r="S42" i="25" s="1"/>
  <c r="P77" i="26"/>
  <c r="P72" i="26" s="1"/>
  <c r="Q59" i="8"/>
  <c r="Q15" i="12"/>
  <c r="P9" i="25"/>
  <c r="O44" i="26"/>
  <c r="P19" i="13"/>
  <c r="P20" i="8"/>
  <c r="L21" i="25"/>
  <c r="L36" i="13"/>
  <c r="L43" i="8"/>
  <c r="K34" i="26"/>
  <c r="J4" i="26"/>
  <c r="K28" i="8"/>
  <c r="K26" i="13"/>
  <c r="J15" i="8"/>
  <c r="J2" i="12"/>
  <c r="I21" i="26"/>
  <c r="J50" i="13"/>
  <c r="J68" i="8"/>
  <c r="I78" i="26"/>
  <c r="K27" i="13"/>
  <c r="K30" i="8"/>
  <c r="J24" i="26"/>
  <c r="M34" i="25"/>
  <c r="M52" i="13"/>
  <c r="M73" i="8"/>
  <c r="L21" i="12"/>
  <c r="S21" i="12" s="1"/>
  <c r="L71" i="8"/>
  <c r="S71" i="8" s="1"/>
  <c r="L33" i="25"/>
  <c r="S33" i="25" s="1"/>
  <c r="K32" i="26"/>
  <c r="M12" i="8"/>
  <c r="M12" i="13"/>
  <c r="L29" i="26"/>
  <c r="M59" i="26"/>
  <c r="N21" i="8"/>
  <c r="N20" i="13"/>
  <c r="N10" i="25"/>
  <c r="N22" i="26"/>
  <c r="O7" i="8"/>
  <c r="O3" i="25"/>
  <c r="O7" i="13"/>
  <c r="N24" i="8"/>
  <c r="N22" i="13"/>
  <c r="N31" i="13"/>
  <c r="N17" i="25"/>
  <c r="N36" i="8"/>
  <c r="N56" i="26"/>
  <c r="O29" i="8"/>
  <c r="O4" i="12"/>
  <c r="P25" i="13"/>
  <c r="P27" i="8"/>
  <c r="P13" i="25"/>
  <c r="Q13" i="25"/>
  <c r="Q25" i="13"/>
  <c r="Q27" i="8"/>
  <c r="H9" i="26"/>
  <c r="I30" i="13"/>
  <c r="I35" i="8"/>
  <c r="C20" i="8"/>
  <c r="C9" i="25"/>
  <c r="C19" i="13"/>
  <c r="D11" i="8"/>
  <c r="D4" i="25"/>
  <c r="C7" i="26"/>
  <c r="D11" i="13"/>
  <c r="E11" i="25"/>
  <c r="E3" i="12"/>
  <c r="E25" i="13"/>
  <c r="E27" i="8"/>
  <c r="E13" i="25"/>
  <c r="E9" i="25"/>
  <c r="E19" i="13"/>
  <c r="E20" i="8"/>
  <c r="D44" i="26"/>
  <c r="F19" i="25"/>
  <c r="S19" i="25" s="1"/>
  <c r="F8" i="12"/>
  <c r="S8" i="12" s="1"/>
  <c r="H15" i="13"/>
  <c r="H16" i="8"/>
  <c r="G28" i="26"/>
  <c r="I10" i="25"/>
  <c r="H59" i="26"/>
  <c r="I48" i="8"/>
  <c r="I40" i="13"/>
  <c r="C2" i="25"/>
  <c r="C4" i="8"/>
  <c r="C4" i="13"/>
  <c r="D88" i="8"/>
  <c r="D62" i="13"/>
  <c r="E19" i="8"/>
  <c r="E18" i="13"/>
  <c r="D47" i="26"/>
  <c r="F24" i="8"/>
  <c r="F22" i="13"/>
  <c r="H30" i="8"/>
  <c r="H27" i="13"/>
  <c r="G24" i="26"/>
  <c r="H6" i="26"/>
  <c r="I8" i="8"/>
  <c r="I8" i="13"/>
  <c r="C17" i="8"/>
  <c r="C7" i="25"/>
  <c r="C16" i="13"/>
  <c r="D14" i="8"/>
  <c r="D14" i="13"/>
  <c r="D6" i="25"/>
  <c r="C30" i="26"/>
  <c r="F12" i="25"/>
  <c r="F25" i="8"/>
  <c r="G16" i="8"/>
  <c r="G15" i="13"/>
  <c r="F28" i="26"/>
  <c r="H2" i="8"/>
  <c r="H2" i="13"/>
  <c r="G81" i="26"/>
  <c r="I43" i="8"/>
  <c r="I36" i="13"/>
  <c r="I21" i="25"/>
  <c r="H34" i="26"/>
  <c r="C6" i="8"/>
  <c r="C6" i="13"/>
  <c r="E29" i="13"/>
  <c r="D27" i="26"/>
  <c r="E34" i="8"/>
  <c r="D12" i="26"/>
  <c r="E3" i="13"/>
  <c r="E3" i="8"/>
  <c r="F68" i="8"/>
  <c r="F50" i="13"/>
  <c r="F63" i="8"/>
  <c r="F29" i="25"/>
  <c r="F48" i="13"/>
  <c r="E82" i="26"/>
  <c r="G16" i="13"/>
  <c r="G17" i="8"/>
  <c r="G7" i="25"/>
  <c r="G6" i="8"/>
  <c r="G6" i="13"/>
  <c r="F46" i="26"/>
  <c r="H41" i="25"/>
  <c r="S41" i="25" s="1"/>
  <c r="H60" i="13"/>
  <c r="S60" i="13" s="1"/>
  <c r="H86" i="8"/>
  <c r="S86" i="8" s="1"/>
  <c r="H12" i="8"/>
  <c r="H12" i="13"/>
  <c r="G29" i="26"/>
  <c r="H9" i="13"/>
  <c r="G23" i="26"/>
  <c r="I9" i="13"/>
  <c r="I9" i="8"/>
  <c r="H23" i="26"/>
  <c r="C55" i="13"/>
  <c r="C79" i="8"/>
  <c r="C36" i="25"/>
  <c r="S36" i="25" s="1"/>
  <c r="D54" i="8"/>
  <c r="D27" i="25"/>
  <c r="E40" i="8"/>
  <c r="E33" i="13"/>
  <c r="S33" i="13" s="1"/>
  <c r="F55" i="13"/>
  <c r="F79" i="8"/>
  <c r="F36" i="25"/>
  <c r="G24" i="13"/>
  <c r="G26" i="8"/>
  <c r="H5" i="8"/>
  <c r="H5" i="13"/>
  <c r="H10" i="13"/>
  <c r="H10" i="8"/>
  <c r="I4" i="8"/>
  <c r="I2" i="25"/>
  <c r="I4" i="13"/>
  <c r="C2" i="8"/>
  <c r="C2" i="13"/>
  <c r="D8" i="8"/>
  <c r="D8" i="13"/>
  <c r="D28" i="26"/>
  <c r="E15" i="13"/>
  <c r="E16" i="8"/>
  <c r="E29" i="26"/>
  <c r="F12" i="8"/>
  <c r="F12" i="13"/>
  <c r="G19" i="8"/>
  <c r="G18" i="13"/>
  <c r="F47" i="26"/>
  <c r="H85" i="8"/>
  <c r="H59" i="13"/>
  <c r="H2" i="25"/>
  <c r="H4" i="13"/>
  <c r="H4" i="8"/>
  <c r="G7" i="26"/>
  <c r="H11" i="8"/>
  <c r="H4" i="25"/>
  <c r="H11" i="13"/>
  <c r="I24" i="13"/>
  <c r="I26" i="8"/>
  <c r="I12" i="8"/>
  <c r="I12" i="13"/>
  <c r="H29" i="26"/>
  <c r="C13" i="8"/>
  <c r="C5" i="25"/>
  <c r="D27" i="8"/>
  <c r="D25" i="13"/>
  <c r="S25" i="13" s="1"/>
  <c r="D13" i="25"/>
  <c r="S13" i="25" s="1"/>
  <c r="D15" i="13"/>
  <c r="D16" i="8"/>
  <c r="C28" i="26"/>
  <c r="D6" i="8"/>
  <c r="D6" i="13"/>
  <c r="D4" i="26"/>
  <c r="E28" i="8"/>
  <c r="E26" i="13"/>
  <c r="E30" i="26"/>
  <c r="F14" i="8"/>
  <c r="F14" i="13"/>
  <c r="F6" i="25"/>
  <c r="E12" i="26"/>
  <c r="F3" i="8"/>
  <c r="F3" i="13"/>
  <c r="G12" i="8"/>
  <c r="G12" i="13"/>
  <c r="F29" i="26"/>
  <c r="F9" i="26"/>
  <c r="G30" i="13"/>
  <c r="G35" i="8"/>
  <c r="H11" i="25"/>
  <c r="H3" i="12"/>
  <c r="G13" i="26"/>
  <c r="H14" i="12"/>
  <c r="S14" i="12" s="1"/>
  <c r="H58" i="8"/>
  <c r="S58" i="8" s="1"/>
  <c r="I17" i="8"/>
  <c r="I16" i="13"/>
  <c r="I9" i="25"/>
  <c r="I19" i="13"/>
  <c r="I20" i="8"/>
  <c r="H44" i="26"/>
  <c r="H7" i="26"/>
  <c r="I11" i="8"/>
  <c r="I11" i="13"/>
  <c r="I4" i="25"/>
  <c r="H14" i="8"/>
  <c r="H14" i="13"/>
  <c r="H6" i="25"/>
  <c r="G30" i="26"/>
  <c r="I10" i="8"/>
  <c r="I10" i="13"/>
  <c r="H39" i="26"/>
  <c r="D2" i="13"/>
  <c r="D2" i="8"/>
  <c r="C81" i="26"/>
  <c r="D11" i="26"/>
  <c r="E5" i="25"/>
  <c r="F2" i="13"/>
  <c r="F2" i="8"/>
  <c r="E81" i="26"/>
  <c r="G43" i="8"/>
  <c r="G36" i="13"/>
  <c r="G21" i="25"/>
  <c r="F34" i="26"/>
  <c r="H10" i="26"/>
  <c r="I44" i="8"/>
  <c r="I37" i="13"/>
  <c r="C96" i="8"/>
  <c r="S96" i="8" s="1"/>
  <c r="C47" i="25"/>
  <c r="S47" i="25" s="1"/>
  <c r="C29" i="12"/>
  <c r="S29" i="12" s="1"/>
  <c r="D4" i="13"/>
  <c r="D2" i="25"/>
  <c r="D4" i="8"/>
  <c r="E6" i="13"/>
  <c r="E6" i="8"/>
  <c r="D46" i="26"/>
  <c r="C9" i="8"/>
  <c r="C9" i="13"/>
  <c r="D7" i="8"/>
  <c r="D7" i="13"/>
  <c r="D3" i="25"/>
  <c r="C22" i="26"/>
  <c r="E2" i="13"/>
  <c r="E2" i="8"/>
  <c r="D81" i="26"/>
  <c r="F74" i="8"/>
  <c r="F53" i="13"/>
  <c r="E66" i="26"/>
  <c r="G9" i="25"/>
  <c r="G20" i="8"/>
  <c r="G19" i="13"/>
  <c r="F44" i="26"/>
  <c r="H6" i="13"/>
  <c r="H6" i="8"/>
  <c r="G46" i="26"/>
  <c r="I63" i="8"/>
  <c r="I29" i="25"/>
  <c r="H82" i="26"/>
  <c r="C101" i="8"/>
  <c r="C51" i="25"/>
  <c r="S51" i="25" s="1"/>
  <c r="C31" i="12"/>
  <c r="S31" i="12" s="1"/>
  <c r="D63" i="8"/>
  <c r="C82" i="26"/>
  <c r="D29" i="25"/>
  <c r="D48" i="13"/>
  <c r="D5" i="26"/>
  <c r="E88" i="8"/>
  <c r="E62" i="13"/>
  <c r="F9" i="25"/>
  <c r="F20" i="8"/>
  <c r="F19" i="13"/>
  <c r="E44" i="26"/>
  <c r="G10" i="8"/>
  <c r="G10" i="13"/>
  <c r="C3" i="8"/>
  <c r="C3" i="13"/>
  <c r="C104" i="8"/>
  <c r="S104" i="8" s="1"/>
  <c r="C74" i="13"/>
  <c r="S74" i="13" s="1"/>
  <c r="E25" i="8"/>
  <c r="E12" i="25"/>
  <c r="E23" i="13"/>
  <c r="D30" i="8"/>
  <c r="D27" i="13"/>
  <c r="C24" i="26"/>
  <c r="D29" i="26"/>
  <c r="E12" i="13"/>
  <c r="E12" i="8"/>
  <c r="G2" i="8"/>
  <c r="G2" i="13"/>
  <c r="F81" i="26"/>
  <c r="G36" i="8"/>
  <c r="G31" i="13"/>
  <c r="F7" i="26"/>
  <c r="G4" i="25"/>
  <c r="G11" i="8"/>
  <c r="G6" i="26"/>
  <c r="H8" i="8"/>
  <c r="H8" i="13"/>
  <c r="H61" i="13"/>
  <c r="G80" i="26"/>
  <c r="I28" i="25"/>
  <c r="S28" i="25" s="1"/>
  <c r="I56" i="8"/>
  <c r="I12" i="12"/>
  <c r="S12" i="12" s="1"/>
  <c r="H75" i="26"/>
  <c r="I6" i="13"/>
  <c r="I6" i="8"/>
  <c r="H46" i="26"/>
  <c r="I64" i="13"/>
  <c r="S64" i="13" s="1"/>
  <c r="I90" i="8"/>
  <c r="S90" i="8" s="1"/>
  <c r="G14" i="8"/>
  <c r="G14" i="13"/>
  <c r="G6" i="25"/>
  <c r="F30" i="26"/>
  <c r="H48" i="8"/>
  <c r="H40" i="13"/>
  <c r="I22" i="13"/>
  <c r="I24" i="8"/>
  <c r="C54" i="8"/>
  <c r="C27" i="25"/>
  <c r="D19" i="13"/>
  <c r="D20" i="8"/>
  <c r="D9" i="25"/>
  <c r="C44" i="26"/>
  <c r="C38" i="26" s="1"/>
  <c r="D3" i="26"/>
  <c r="E42" i="8"/>
  <c r="E35" i="13"/>
  <c r="E34" i="26"/>
  <c r="F36" i="13"/>
  <c r="F21" i="25"/>
  <c r="S21" i="25" s="1"/>
  <c r="F43" i="8"/>
  <c r="G15" i="8"/>
  <c r="G2" i="12"/>
  <c r="G12" i="26"/>
  <c r="H3" i="8"/>
  <c r="H3" i="13"/>
  <c r="C5" i="8"/>
  <c r="C5" i="13"/>
  <c r="C19" i="8"/>
  <c r="C18" i="13"/>
  <c r="D44" i="8"/>
  <c r="C10" i="26"/>
  <c r="D22" i="25"/>
  <c r="D37" i="13"/>
  <c r="E59" i="8"/>
  <c r="E15" i="12"/>
  <c r="S15" i="12" s="1"/>
  <c r="E63" i="8"/>
  <c r="D82" i="26"/>
  <c r="E29" i="25"/>
  <c r="E48" i="13"/>
  <c r="E11" i="26"/>
  <c r="F5" i="25"/>
  <c r="E5" i="26"/>
  <c r="F88" i="8"/>
  <c r="F62" i="13"/>
  <c r="E7" i="26"/>
  <c r="F4" i="25"/>
  <c r="F11" i="8"/>
  <c r="F11" i="13"/>
  <c r="G18" i="8"/>
  <c r="F58" i="26"/>
  <c r="G84" i="8"/>
  <c r="G58" i="13"/>
  <c r="G40" i="25"/>
  <c r="H3" i="25"/>
  <c r="H7" i="13"/>
  <c r="G22" i="26"/>
  <c r="H4" i="26"/>
  <c r="I26" i="13"/>
  <c r="H22" i="8"/>
  <c r="H21" i="13"/>
  <c r="G45" i="26"/>
  <c r="C11" i="8"/>
  <c r="C4" i="25"/>
  <c r="S4" i="25" s="1"/>
  <c r="C11" i="13"/>
  <c r="D21" i="8"/>
  <c r="C59" i="26"/>
  <c r="E65" i="8"/>
  <c r="S65" i="8" s="1"/>
  <c r="E18" i="12"/>
  <c r="D21" i="26"/>
  <c r="E15" i="8"/>
  <c r="E2" i="12"/>
  <c r="S2" i="12" s="1"/>
  <c r="F6" i="8"/>
  <c r="F6" i="13"/>
  <c r="F5" i="8"/>
  <c r="F5" i="13"/>
  <c r="E26" i="26"/>
  <c r="G5" i="8"/>
  <c r="G5" i="13"/>
  <c r="F26" i="26"/>
  <c r="I17" i="25"/>
  <c r="I36" i="8"/>
  <c r="I87" i="8"/>
  <c r="H80" i="26"/>
  <c r="H95" i="8"/>
  <c r="H46" i="25"/>
  <c r="S46" i="25" s="1"/>
  <c r="H68" i="13"/>
  <c r="S68" i="13" s="1"/>
  <c r="I16" i="25"/>
  <c r="S16" i="25" s="1"/>
  <c r="I6" i="12"/>
  <c r="I33" i="8"/>
  <c r="H61" i="26"/>
  <c r="H55" i="26" s="1"/>
  <c r="F39" i="8"/>
  <c r="F32" i="13"/>
  <c r="F20" i="25"/>
  <c r="H9" i="25"/>
  <c r="H20" i="8"/>
  <c r="H19" i="13"/>
  <c r="G44" i="26"/>
  <c r="I45" i="8"/>
  <c r="S45" i="8" s="1"/>
  <c r="I23" i="25"/>
  <c r="S23" i="25" s="1"/>
  <c r="I9" i="12"/>
  <c r="S9" i="12" s="1"/>
  <c r="H85" i="26"/>
  <c r="H34" i="25"/>
  <c r="S34" i="25" s="1"/>
  <c r="H52" i="13"/>
  <c r="S52" i="13" s="1"/>
  <c r="H73" i="8"/>
  <c r="I46" i="25"/>
  <c r="I95" i="8"/>
  <c r="I68" i="13"/>
  <c r="J98" i="8"/>
  <c r="S98" i="8" s="1"/>
  <c r="J49" i="25"/>
  <c r="S49" i="25" s="1"/>
  <c r="J69" i="13"/>
  <c r="S69" i="13" s="1"/>
  <c r="I58" i="13"/>
  <c r="I84" i="8"/>
  <c r="I40" i="25"/>
  <c r="C8" i="8"/>
  <c r="C8" i="13"/>
  <c r="D42" i="8"/>
  <c r="C3" i="26"/>
  <c r="D13" i="8"/>
  <c r="C11" i="26"/>
  <c r="D5" i="25"/>
  <c r="D13" i="13"/>
  <c r="E35" i="12"/>
  <c r="S35" i="12" s="1"/>
  <c r="E114" i="8"/>
  <c r="S114" i="8" s="1"/>
  <c r="E61" i="25"/>
  <c r="S61" i="25" s="1"/>
  <c r="E10" i="8"/>
  <c r="E10" i="13"/>
  <c r="E3" i="26"/>
  <c r="F42" i="8"/>
  <c r="F35" i="13"/>
  <c r="C68" i="8"/>
  <c r="C50" i="13"/>
  <c r="S50" i="13" s="1"/>
  <c r="D29" i="13"/>
  <c r="S29" i="13" s="1"/>
  <c r="D34" i="8"/>
  <c r="C27" i="26"/>
  <c r="D3" i="8"/>
  <c r="C12" i="26"/>
  <c r="D3" i="13"/>
  <c r="E7" i="25"/>
  <c r="E17" i="8"/>
  <c r="E16" i="13"/>
  <c r="D26" i="26"/>
  <c r="E5" i="8"/>
  <c r="E5" i="13"/>
  <c r="F17" i="8"/>
  <c r="F7" i="25"/>
  <c r="F18" i="8"/>
  <c r="F17" i="13"/>
  <c r="F8" i="25"/>
  <c r="E58" i="26"/>
  <c r="F12" i="26"/>
  <c r="G3" i="8"/>
  <c r="G3" i="13"/>
  <c r="G55" i="13"/>
  <c r="G79" i="8"/>
  <c r="G36" i="25"/>
  <c r="H43" i="8"/>
  <c r="H36" i="13"/>
  <c r="H21" i="25"/>
  <c r="G34" i="26"/>
  <c r="H17" i="8"/>
  <c r="H16" i="13"/>
  <c r="H7" i="25"/>
  <c r="H22" i="13"/>
  <c r="H24" i="8"/>
  <c r="R599" i="4"/>
  <c r="U599" i="4" s="1"/>
  <c r="E9" i="8"/>
  <c r="E7" i="12"/>
  <c r="J112" i="8"/>
  <c r="J20" i="13"/>
  <c r="I25" i="26"/>
  <c r="C67" i="13"/>
  <c r="C71" i="13"/>
  <c r="C76" i="26"/>
  <c r="D44" i="13"/>
  <c r="E23" i="8"/>
  <c r="E13" i="13"/>
  <c r="F78" i="8"/>
  <c r="S78" i="8" s="1"/>
  <c r="F3" i="12"/>
  <c r="F26" i="25"/>
  <c r="F117" i="8"/>
  <c r="F22" i="25"/>
  <c r="F23" i="13"/>
  <c r="E43" i="26"/>
  <c r="G85" i="8"/>
  <c r="G39" i="13"/>
  <c r="F57" i="26"/>
  <c r="G21" i="8"/>
  <c r="G67" i="13"/>
  <c r="H87" i="8"/>
  <c r="H32" i="12"/>
  <c r="S32" i="12" s="1"/>
  <c r="G26" i="26"/>
  <c r="H31" i="8"/>
  <c r="H17" i="13"/>
  <c r="G73" i="26"/>
  <c r="I42" i="8"/>
  <c r="I35" i="13"/>
  <c r="J48" i="8"/>
  <c r="J46" i="13"/>
  <c r="I79" i="26"/>
  <c r="K99" i="8"/>
  <c r="K59" i="13"/>
  <c r="K53" i="25"/>
  <c r="J77" i="26"/>
  <c r="L29" i="8"/>
  <c r="L61" i="13"/>
  <c r="M67" i="13"/>
  <c r="F112" i="8"/>
  <c r="F20" i="13"/>
  <c r="E25" i="26"/>
  <c r="J21" i="8"/>
  <c r="J67" i="13"/>
  <c r="C13" i="13"/>
  <c r="C7" i="12"/>
  <c r="S7" i="12" s="1"/>
  <c r="C6" i="26"/>
  <c r="D71" i="13"/>
  <c r="E47" i="8"/>
  <c r="E71" i="13"/>
  <c r="F29" i="8"/>
  <c r="F61" i="13"/>
  <c r="F7" i="8"/>
  <c r="F82" i="13"/>
  <c r="E56" i="26"/>
  <c r="F39" i="26"/>
  <c r="G44" i="8"/>
  <c r="G37" i="13"/>
  <c r="G47" i="8"/>
  <c r="G71" i="13"/>
  <c r="H117" i="8"/>
  <c r="H23" i="13"/>
  <c r="H22" i="25"/>
  <c r="G43" i="26"/>
  <c r="I28" i="8"/>
  <c r="I80" i="13"/>
  <c r="H42" i="26"/>
  <c r="I21" i="8"/>
  <c r="I67" i="13"/>
  <c r="J23" i="8"/>
  <c r="J13" i="13"/>
  <c r="K18" i="8"/>
  <c r="L99" i="8"/>
  <c r="L53" i="25"/>
  <c r="L59" i="13"/>
  <c r="K77" i="26"/>
  <c r="K72" i="26" s="1"/>
  <c r="M19" i="12"/>
  <c r="L74" i="26"/>
  <c r="H7" i="8"/>
  <c r="H82" i="13"/>
  <c r="G56" i="26"/>
  <c r="G55" i="26" s="1"/>
  <c r="M56" i="26"/>
  <c r="M55" i="26" s="1"/>
  <c r="C12" i="25"/>
  <c r="C28" i="13"/>
  <c r="G53" i="8"/>
  <c r="G26" i="13"/>
  <c r="F22" i="26"/>
  <c r="C44" i="13"/>
  <c r="C31" i="13"/>
  <c r="D17" i="13"/>
  <c r="C73" i="26"/>
  <c r="E54" i="8"/>
  <c r="E45" i="13"/>
  <c r="F23" i="8"/>
  <c r="F13" i="13"/>
  <c r="F54" i="8"/>
  <c r="F45" i="13"/>
  <c r="G54" i="8"/>
  <c r="G45" i="13"/>
  <c r="G101" i="8"/>
  <c r="G45" i="25"/>
  <c r="G33" i="12"/>
  <c r="F63" i="26"/>
  <c r="H13" i="8"/>
  <c r="H44" i="13"/>
  <c r="G76" i="26"/>
  <c r="I29" i="8"/>
  <c r="I61" i="13"/>
  <c r="I25" i="8"/>
  <c r="I48" i="13"/>
  <c r="H40" i="26"/>
  <c r="J117" i="8"/>
  <c r="J23" i="13"/>
  <c r="J22" i="25"/>
  <c r="I43" i="26"/>
  <c r="J39" i="26"/>
  <c r="K44" i="8"/>
  <c r="K37" i="13"/>
  <c r="L54" i="8"/>
  <c r="L45" i="13"/>
  <c r="M7" i="13"/>
  <c r="L24" i="26"/>
  <c r="L20" i="26" s="1"/>
  <c r="M73" i="26"/>
  <c r="M72" i="26" s="1"/>
  <c r="G30" i="8"/>
  <c r="G27" i="13"/>
  <c r="E99" i="8"/>
  <c r="D77" i="26"/>
  <c r="E53" i="25"/>
  <c r="E59" i="13"/>
  <c r="G7" i="8"/>
  <c r="G82" i="13"/>
  <c r="F56" i="26"/>
  <c r="K85" i="8"/>
  <c r="K39" i="13"/>
  <c r="J57" i="26"/>
  <c r="J55" i="26" s="1"/>
  <c r="C46" i="13"/>
  <c r="C20" i="13"/>
  <c r="D61" i="13"/>
  <c r="E13" i="8"/>
  <c r="D76" i="26"/>
  <c r="E44" i="13"/>
  <c r="F100" i="8"/>
  <c r="F10" i="25"/>
  <c r="F9" i="13"/>
  <c r="G23" i="8"/>
  <c r="G13" i="13"/>
  <c r="G22" i="8"/>
  <c r="G39" i="25"/>
  <c r="G21" i="13"/>
  <c r="F59" i="26"/>
  <c r="G56" i="8"/>
  <c r="G12" i="25"/>
  <c r="G28" i="13"/>
  <c r="F62" i="26"/>
  <c r="H112" i="8"/>
  <c r="H20" i="13"/>
  <c r="G25" i="26"/>
  <c r="I50" i="8"/>
  <c r="I58" i="25"/>
  <c r="I41" i="13"/>
  <c r="I117" i="8"/>
  <c r="I23" i="13"/>
  <c r="I22" i="25"/>
  <c r="H43" i="26"/>
  <c r="J54" i="8"/>
  <c r="J45" i="13"/>
  <c r="K50" i="8"/>
  <c r="K41" i="13"/>
  <c r="K58" i="25"/>
  <c r="K39" i="26"/>
  <c r="L37" i="13"/>
  <c r="L44" i="8"/>
  <c r="M75" i="13"/>
  <c r="L78" i="26"/>
  <c r="D16" i="13"/>
  <c r="C46" i="26"/>
  <c r="G42" i="8"/>
  <c r="G35" i="13"/>
  <c r="K49" i="8"/>
  <c r="K40" i="13"/>
  <c r="J75" i="26"/>
  <c r="C63" i="26"/>
  <c r="D45" i="25"/>
  <c r="S45" i="25" s="1"/>
  <c r="D33" i="12"/>
  <c r="S33" i="12" s="1"/>
  <c r="H33" i="8"/>
  <c r="H19" i="12"/>
  <c r="G74" i="26"/>
  <c r="C80" i="13"/>
  <c r="D82" i="13"/>
  <c r="C56" i="26"/>
  <c r="E7" i="8"/>
  <c r="E82" i="13"/>
  <c r="D56" i="26"/>
  <c r="D55" i="26" s="1"/>
  <c r="F13" i="8"/>
  <c r="F44" i="13"/>
  <c r="E76" i="26"/>
  <c r="G13" i="8"/>
  <c r="G44" i="13"/>
  <c r="F76" i="26"/>
  <c r="G29" i="8"/>
  <c r="G61" i="13"/>
  <c r="G88" i="8"/>
  <c r="G3" i="25"/>
  <c r="G62" i="13"/>
  <c r="F27" i="26"/>
  <c r="H9" i="8"/>
  <c r="H7" i="12"/>
  <c r="G21" i="26"/>
  <c r="I54" i="8"/>
  <c r="I45" i="13"/>
  <c r="I39" i="26"/>
  <c r="J37" i="13"/>
  <c r="J44" i="8"/>
  <c r="J29" i="8"/>
  <c r="J61" i="13"/>
  <c r="K117" i="8"/>
  <c r="K23" i="13"/>
  <c r="K22" i="25"/>
  <c r="J43" i="26"/>
  <c r="L7" i="8"/>
  <c r="L82" i="13"/>
  <c r="K56" i="26"/>
  <c r="K55" i="26" s="1"/>
  <c r="L39" i="26"/>
  <c r="M37" i="13"/>
  <c r="C7" i="13"/>
  <c r="I3" i="8"/>
  <c r="I7" i="25"/>
  <c r="I3" i="13"/>
  <c r="M61" i="13"/>
  <c r="C53" i="25"/>
  <c r="C59" i="13"/>
  <c r="C17" i="13"/>
  <c r="D54" i="13"/>
  <c r="S54" i="13" s="1"/>
  <c r="E50" i="8"/>
  <c r="E41" i="13"/>
  <c r="S41" i="13" s="1"/>
  <c r="E58" i="25"/>
  <c r="F33" i="8"/>
  <c r="F19" i="12"/>
  <c r="S19" i="12" s="1"/>
  <c r="E74" i="26"/>
  <c r="G100" i="8"/>
  <c r="G10" i="25"/>
  <c r="G9" i="13"/>
  <c r="G94" i="8"/>
  <c r="G7" i="13"/>
  <c r="F24" i="26"/>
  <c r="G51" i="8"/>
  <c r="G17" i="25"/>
  <c r="G11" i="13"/>
  <c r="H52" i="8"/>
  <c r="H5" i="25"/>
  <c r="H43" i="13"/>
  <c r="I23" i="8"/>
  <c r="I13" i="13"/>
  <c r="J47" i="8"/>
  <c r="J71" i="13"/>
  <c r="J99" i="8"/>
  <c r="J53" i="25"/>
  <c r="J59" i="13"/>
  <c r="I77" i="26"/>
  <c r="K63" i="8"/>
  <c r="K27" i="25"/>
  <c r="K53" i="13"/>
  <c r="J41" i="26"/>
  <c r="L24" i="8"/>
  <c r="L36" i="25"/>
  <c r="L22" i="13"/>
  <c r="M31" i="13"/>
  <c r="C3" i="25"/>
  <c r="C62" i="13"/>
  <c r="S62" i="13" s="1"/>
  <c r="C35" i="13"/>
  <c r="S35" i="13" s="1"/>
  <c r="D9" i="13"/>
  <c r="D10" i="25"/>
  <c r="S10" i="25" s="1"/>
  <c r="C5" i="26"/>
  <c r="E100" i="8"/>
  <c r="E10" i="25"/>
  <c r="E9" i="13"/>
  <c r="F99" i="8"/>
  <c r="F59" i="13"/>
  <c r="F53" i="25"/>
  <c r="E77" i="26"/>
  <c r="G31" i="8"/>
  <c r="G17" i="13"/>
  <c r="F73" i="26"/>
  <c r="G112" i="8"/>
  <c r="G20" i="13"/>
  <c r="F25" i="26"/>
  <c r="G52" i="8"/>
  <c r="G5" i="25"/>
  <c r="G43" i="13"/>
  <c r="S43" i="13" s="1"/>
  <c r="H21" i="8"/>
  <c r="H67" i="13"/>
  <c r="I13" i="8"/>
  <c r="I44" i="13"/>
  <c r="H76" i="26"/>
  <c r="J18" i="8"/>
  <c r="J64" i="8"/>
  <c r="S64" i="8" s="1"/>
  <c r="J6" i="25"/>
  <c r="J6" i="12"/>
  <c r="K21" i="8"/>
  <c r="K67" i="13"/>
  <c r="L25" i="8"/>
  <c r="L48" i="13"/>
  <c r="K40" i="26"/>
  <c r="M82" i="13"/>
  <c r="L56" i="26"/>
  <c r="L55" i="26" s="1"/>
  <c r="E105" i="8"/>
  <c r="E75" i="13"/>
  <c r="D78" i="26"/>
  <c r="C39" i="25"/>
  <c r="C21" i="13"/>
  <c r="F53" i="8"/>
  <c r="F26" i="13"/>
  <c r="E22" i="26"/>
  <c r="I105" i="8"/>
  <c r="I75" i="13"/>
  <c r="H78" i="26"/>
  <c r="M17" i="13"/>
  <c r="L73" i="26"/>
  <c r="C26" i="25"/>
  <c r="S26" i="25" s="1"/>
  <c r="C3" i="12"/>
  <c r="C48" i="13"/>
  <c r="D20" i="13"/>
  <c r="C25" i="26"/>
  <c r="E112" i="8"/>
  <c r="E20" i="13"/>
  <c r="F94" i="8"/>
  <c r="F7" i="13"/>
  <c r="E24" i="26"/>
  <c r="G9" i="8"/>
  <c r="G7" i="12"/>
  <c r="F21" i="26"/>
  <c r="G48" i="8"/>
  <c r="G46" i="13"/>
  <c r="F79" i="26"/>
  <c r="G25" i="8"/>
  <c r="G48" i="13"/>
  <c r="F40" i="26"/>
  <c r="H47" i="8"/>
  <c r="H71" i="13"/>
  <c r="I32" i="8"/>
  <c r="I31" i="13"/>
  <c r="J13" i="8"/>
  <c r="J44" i="13"/>
  <c r="I76" i="26"/>
  <c r="K32" i="8"/>
  <c r="K31" i="13"/>
  <c r="K105" i="8"/>
  <c r="K75" i="13"/>
  <c r="J78" i="26"/>
  <c r="L105" i="8"/>
  <c r="L75" i="13"/>
  <c r="K78" i="26"/>
  <c r="M20" i="13"/>
  <c r="L25" i="26"/>
  <c r="C45" i="13"/>
  <c r="G39" i="26"/>
  <c r="H44" i="8"/>
  <c r="H37" i="13"/>
  <c r="L117" i="8"/>
  <c r="L23" i="13"/>
  <c r="L22" i="25"/>
  <c r="K43" i="26"/>
  <c r="C82" i="13"/>
  <c r="S82" i="13" s="1"/>
  <c r="D45" i="13"/>
  <c r="C9" i="26"/>
  <c r="E51" i="8"/>
  <c r="S51" i="8" s="1"/>
  <c r="E17" i="25"/>
  <c r="E11" i="13"/>
  <c r="D39" i="26"/>
  <c r="E44" i="8"/>
  <c r="E37" i="13"/>
  <c r="F38" i="8"/>
  <c r="S38" i="8" s="1"/>
  <c r="F16" i="13"/>
  <c r="E46" i="26"/>
  <c r="G63" i="8"/>
  <c r="G53" i="13"/>
  <c r="G27" i="25"/>
  <c r="F41" i="26"/>
  <c r="G74" i="8"/>
  <c r="G8" i="25"/>
  <c r="G5" i="12"/>
  <c r="S5" i="12" s="1"/>
  <c r="F61" i="26"/>
  <c r="H42" i="8"/>
  <c r="H35" i="13"/>
  <c r="H63" i="8"/>
  <c r="H27" i="25"/>
  <c r="H53" i="13"/>
  <c r="G41" i="26"/>
  <c r="I94" i="8"/>
  <c r="I7" i="13"/>
  <c r="H24" i="26"/>
  <c r="J94" i="8"/>
  <c r="J7" i="13"/>
  <c r="I24" i="26"/>
  <c r="K29" i="8"/>
  <c r="K61" i="13"/>
  <c r="K112" i="8"/>
  <c r="K20" i="13"/>
  <c r="J25" i="26"/>
  <c r="M53" i="25"/>
  <c r="M59" i="13"/>
  <c r="L77" i="26"/>
  <c r="M45" i="13"/>
  <c r="F22" i="8"/>
  <c r="F39" i="25"/>
  <c r="F21" i="13"/>
  <c r="E59" i="26"/>
  <c r="H54" i="8"/>
  <c r="H45" i="13"/>
  <c r="L63" i="8"/>
  <c r="L27" i="25"/>
  <c r="L53" i="13"/>
  <c r="K41" i="26"/>
  <c r="C39" i="13"/>
  <c r="C61" i="13"/>
  <c r="S61" i="13" s="1"/>
  <c r="D35" i="13"/>
  <c r="C4" i="26"/>
  <c r="E31" i="8"/>
  <c r="D73" i="26"/>
  <c r="E17" i="13"/>
  <c r="E49" i="8"/>
  <c r="D75" i="26"/>
  <c r="E40" i="13"/>
  <c r="S40" i="13" s="1"/>
  <c r="F105" i="8"/>
  <c r="F75" i="13"/>
  <c r="E78" i="26"/>
  <c r="G60" i="8"/>
  <c r="S60" i="8" s="1"/>
  <c r="G29" i="12"/>
  <c r="F60" i="26"/>
  <c r="G117" i="8"/>
  <c r="G22" i="25"/>
  <c r="G23" i="13"/>
  <c r="F43" i="26"/>
  <c r="H105" i="8"/>
  <c r="H75" i="13"/>
  <c r="G78" i="26"/>
  <c r="H23" i="8"/>
  <c r="H13" i="13"/>
  <c r="I112" i="8"/>
  <c r="I20" i="13"/>
  <c r="H25" i="26"/>
  <c r="J7" i="8"/>
  <c r="J82" i="13"/>
  <c r="I56" i="26"/>
  <c r="I55" i="26" s="1"/>
  <c r="K33" i="8"/>
  <c r="K19" i="12"/>
  <c r="J74" i="26"/>
  <c r="K54" i="8"/>
  <c r="K45" i="13"/>
  <c r="M23" i="13"/>
  <c r="M22" i="25"/>
  <c r="L43" i="26"/>
  <c r="Z2" i="4"/>
  <c r="U2" i="4"/>
  <c r="C44" i="8" s="1"/>
  <c r="S53" i="25" l="1"/>
  <c r="S11" i="25"/>
  <c r="S5" i="25"/>
  <c r="S7" i="25"/>
  <c r="S12" i="25"/>
  <c r="S39" i="25"/>
  <c r="S27" i="25"/>
  <c r="S9" i="25"/>
  <c r="S30" i="25"/>
  <c r="S58" i="25"/>
  <c r="S17" i="25"/>
  <c r="S40" i="25"/>
  <c r="S3" i="25"/>
  <c r="S8" i="25"/>
  <c r="S6" i="25"/>
  <c r="S3" i="12"/>
  <c r="S18" i="12"/>
  <c r="S6" i="12"/>
  <c r="S59" i="13"/>
  <c r="S14" i="13"/>
  <c r="S55" i="13"/>
  <c r="S16" i="13"/>
  <c r="S12" i="13"/>
  <c r="S30" i="13"/>
  <c r="S24" i="13"/>
  <c r="S21" i="13"/>
  <c r="S13" i="13"/>
  <c r="S27" i="13"/>
  <c r="S2" i="13"/>
  <c r="S7" i="13"/>
  <c r="S80" i="13"/>
  <c r="S19" i="13"/>
  <c r="S45" i="13"/>
  <c r="S75" i="13"/>
  <c r="S8" i="13"/>
  <c r="S23" i="13"/>
  <c r="S39" i="13"/>
  <c r="S36" i="13"/>
  <c r="S56" i="13"/>
  <c r="S20" i="13"/>
  <c r="S31" i="13"/>
  <c r="S71" i="13"/>
  <c r="S18" i="13"/>
  <c r="S49" i="13"/>
  <c r="S17" i="13"/>
  <c r="S46" i="13"/>
  <c r="S67" i="13"/>
  <c r="S11" i="13"/>
  <c r="S58" i="13"/>
  <c r="S15" i="13"/>
  <c r="S22" i="13"/>
  <c r="P2" i="26"/>
  <c r="P20" i="26"/>
  <c r="S34" i="8"/>
  <c r="S40" i="8"/>
  <c r="S100" i="8"/>
  <c r="S52" i="8"/>
  <c r="S59" i="8"/>
  <c r="S68" i="8"/>
  <c r="S56" i="8"/>
  <c r="J2" i="26"/>
  <c r="S15" i="8"/>
  <c r="S22" i="8"/>
  <c r="S48" i="8"/>
  <c r="S73" i="8"/>
  <c r="S19" i="8"/>
  <c r="S12" i="8"/>
  <c r="S35" i="8"/>
  <c r="S31" i="8"/>
  <c r="L2" i="26"/>
  <c r="S49" i="8"/>
  <c r="S27" i="8"/>
  <c r="S88" i="8"/>
  <c r="S50" i="8"/>
  <c r="S8" i="8"/>
  <c r="S94" i="8"/>
  <c r="S18" i="8"/>
  <c r="S11" i="8"/>
  <c r="S79" i="8"/>
  <c r="S14" i="8"/>
  <c r="S47" i="8"/>
  <c r="S117" i="8"/>
  <c r="S7" i="8"/>
  <c r="S112" i="8"/>
  <c r="S95" i="8"/>
  <c r="S26" i="8"/>
  <c r="S13" i="8"/>
  <c r="S17" i="8"/>
  <c r="S87" i="8"/>
  <c r="S28" i="8"/>
  <c r="S33" i="8"/>
  <c r="S101" i="8"/>
  <c r="S23" i="8"/>
  <c r="S42" i="8"/>
  <c r="S43" i="8"/>
  <c r="S54" i="8"/>
  <c r="S30" i="8"/>
  <c r="S81" i="8"/>
  <c r="S105" i="8"/>
  <c r="S99" i="8"/>
  <c r="S20" i="8"/>
  <c r="S67" i="8"/>
  <c r="S85" i="8"/>
  <c r="S21" i="8"/>
  <c r="S36" i="8"/>
  <c r="S25" i="8"/>
  <c r="S16" i="8"/>
  <c r="S29" i="8"/>
  <c r="S84" i="8"/>
  <c r="S24" i="8"/>
  <c r="O20" i="26"/>
  <c r="N2" i="26"/>
  <c r="Q8" i="19" a="1"/>
  <c r="Q8" i="19" s="1"/>
  <c r="Q5" i="19"/>
  <c r="Q4" i="19"/>
  <c r="M2" i="26"/>
  <c r="N38" i="26"/>
  <c r="I38" i="26"/>
  <c r="N55" i="26"/>
  <c r="J4" i="13"/>
  <c r="S4" i="13" s="1"/>
  <c r="J2" i="25"/>
  <c r="S2" i="25" s="1"/>
  <c r="J4" i="8"/>
  <c r="S4" i="8" s="1"/>
  <c r="M46" i="26"/>
  <c r="M38" i="26" s="1"/>
  <c r="N6" i="8"/>
  <c r="S6" i="8" s="1"/>
  <c r="N6" i="13"/>
  <c r="S6" i="13" s="1"/>
  <c r="J20" i="26"/>
  <c r="R39" i="8"/>
  <c r="S39" i="8" s="1"/>
  <c r="K20" i="26"/>
  <c r="K12" i="26"/>
  <c r="L3" i="8"/>
  <c r="L3" i="13"/>
  <c r="S3" i="13" s="1"/>
  <c r="O38" i="26"/>
  <c r="K2" i="26"/>
  <c r="S2" i="8"/>
  <c r="C72" i="26"/>
  <c r="I72" i="26"/>
  <c r="J72" i="26"/>
  <c r="H72" i="26"/>
  <c r="E72" i="26"/>
  <c r="D72" i="26"/>
  <c r="F72" i="26"/>
  <c r="G72" i="26"/>
  <c r="L72" i="26"/>
  <c r="L38" i="26"/>
  <c r="R46" i="8"/>
  <c r="S46" i="8" s="1"/>
  <c r="R74" i="8"/>
  <c r="R53" i="13" s="1"/>
  <c r="S53" i="13" s="1"/>
  <c r="K38" i="26"/>
  <c r="J38" i="26"/>
  <c r="I20" i="26"/>
  <c r="F2" i="26"/>
  <c r="H2" i="26"/>
  <c r="G38" i="26"/>
  <c r="G2" i="26"/>
  <c r="I5" i="8"/>
  <c r="S5" i="8" s="1"/>
  <c r="I5" i="13"/>
  <c r="S5" i="13" s="1"/>
  <c r="H26" i="26"/>
  <c r="G20" i="26"/>
  <c r="E2" i="26"/>
  <c r="E38" i="26"/>
  <c r="C20" i="26"/>
  <c r="D20" i="26"/>
  <c r="D38" i="26"/>
  <c r="D2" i="26"/>
  <c r="H20" i="26"/>
  <c r="H38" i="26"/>
  <c r="R55" i="8"/>
  <c r="S55" i="8" s="1"/>
  <c r="R9" i="8"/>
  <c r="R9" i="13" s="1"/>
  <c r="S9" i="13" s="1"/>
  <c r="R3" i="8"/>
  <c r="R3" i="13" s="1"/>
  <c r="R63" i="8"/>
  <c r="S63" i="8" s="1"/>
  <c r="F20" i="26"/>
  <c r="F38" i="26"/>
  <c r="F55" i="26"/>
  <c r="E20" i="26"/>
  <c r="E55" i="26"/>
  <c r="R32" i="8"/>
  <c r="S32" i="8" s="1"/>
  <c r="R10" i="8"/>
  <c r="R10" i="13" s="1"/>
  <c r="S10" i="13" s="1"/>
  <c r="C2" i="26"/>
  <c r="C55" i="26"/>
  <c r="R107" i="8"/>
  <c r="S107" i="8" s="1"/>
  <c r="C37" i="13"/>
  <c r="C22" i="25"/>
  <c r="C26" i="13"/>
  <c r="S26" i="13" s="1"/>
  <c r="Q7" i="19" l="1" a="1"/>
  <c r="Q7" i="19" s="1"/>
  <c r="Q6" i="19"/>
  <c r="S3" i="8"/>
  <c r="N4" i="19"/>
  <c r="P4" i="19"/>
  <c r="S74" i="8"/>
  <c r="S10" i="8"/>
  <c r="S9" i="8"/>
  <c r="R32" i="13"/>
  <c r="S32" i="13" s="1"/>
  <c r="R20" i="25"/>
  <c r="S20" i="25" s="1"/>
  <c r="N7" i="19" a="1"/>
  <c r="N7" i="19" s="1"/>
  <c r="N8" i="19" a="1"/>
  <c r="N8" i="19" s="1"/>
  <c r="N5" i="19"/>
  <c r="N6" i="19"/>
  <c r="P5" i="19"/>
  <c r="P7" i="19" a="1"/>
  <c r="P7" i="19" s="1"/>
  <c r="P8" i="19" a="1"/>
  <c r="P8" i="19" s="1"/>
  <c r="P6" i="19"/>
  <c r="O4" i="19"/>
  <c r="O5" i="19"/>
  <c r="O6" i="19"/>
  <c r="O8" i="19" a="1"/>
  <c r="O8" i="19" s="1"/>
  <c r="O7" i="19" a="1"/>
  <c r="O7" i="19" s="1"/>
  <c r="R55" i="25"/>
  <c r="S55" i="25" s="1"/>
  <c r="R15" i="25"/>
  <c r="S15" i="25" s="1"/>
  <c r="R28" i="13"/>
  <c r="S28" i="13" s="1"/>
  <c r="R24" i="25"/>
  <c r="S24" i="25" s="1"/>
  <c r="R38" i="13"/>
  <c r="S38" i="13" s="1"/>
  <c r="R29" i="25"/>
  <c r="S29" i="25" s="1"/>
  <c r="R48" i="13"/>
  <c r="S48" i="13" s="1"/>
  <c r="R53" i="8"/>
  <c r="S53" i="8" s="1"/>
  <c r="R44" i="8"/>
  <c r="S44" i="8" s="1"/>
  <c r="U2" i="25"/>
  <c r="M8" i="19" a="1"/>
  <c r="M8" i="19" s="1"/>
  <c r="K8" i="19" a="1"/>
  <c r="K8" i="19" s="1"/>
  <c r="Q2" i="26"/>
  <c r="Q38" i="26"/>
  <c r="E4" i="19"/>
  <c r="E5" i="19"/>
  <c r="E8" i="19" a="1"/>
  <c r="E8" i="19" s="1"/>
  <c r="E7" i="19" a="1"/>
  <c r="E7" i="19" s="1"/>
  <c r="E6" i="19"/>
  <c r="M6" i="19"/>
  <c r="L6" i="19"/>
  <c r="L8" i="19" a="1"/>
  <c r="L8" i="19" s="1"/>
  <c r="L7" i="19" a="1"/>
  <c r="L7" i="19" s="1"/>
  <c r="L4" i="19"/>
  <c r="L5" i="19"/>
  <c r="M5" i="19"/>
  <c r="Q72" i="26"/>
  <c r="M4" i="19"/>
  <c r="I4" i="19"/>
  <c r="I5" i="19"/>
  <c r="I8" i="19" a="1"/>
  <c r="I8" i="19" s="1"/>
  <c r="I7" i="19" a="1"/>
  <c r="I7" i="19" s="1"/>
  <c r="I6" i="19"/>
  <c r="M7" i="19" a="1"/>
  <c r="M7" i="19" s="1"/>
  <c r="K6" i="19"/>
  <c r="Q55" i="26"/>
  <c r="Q20" i="26"/>
  <c r="F4" i="19"/>
  <c r="F5" i="19"/>
  <c r="F8" i="19" a="1"/>
  <c r="F8" i="19" s="1"/>
  <c r="F7" i="19" a="1"/>
  <c r="F7" i="19" s="1"/>
  <c r="F6" i="19"/>
  <c r="G4" i="19"/>
  <c r="G5" i="19"/>
  <c r="G8" i="19" a="1"/>
  <c r="G8" i="19" s="1"/>
  <c r="G7" i="19" a="1"/>
  <c r="G7" i="19" s="1"/>
  <c r="G6" i="19"/>
  <c r="K5" i="19"/>
  <c r="H4" i="19"/>
  <c r="H5" i="19"/>
  <c r="H8" i="19" a="1"/>
  <c r="H8" i="19" s="1"/>
  <c r="H7" i="19" a="1"/>
  <c r="H7" i="19" s="1"/>
  <c r="H6" i="19"/>
  <c r="J4" i="19"/>
  <c r="J5" i="19"/>
  <c r="J8" i="19" a="1"/>
  <c r="J8" i="19" s="1"/>
  <c r="J7" i="19" a="1"/>
  <c r="J7" i="19" s="1"/>
  <c r="J6" i="19"/>
  <c r="K4" i="19"/>
  <c r="K7" i="19" a="1"/>
  <c r="K7" i="19" s="1"/>
  <c r="D7" i="19" a="1"/>
  <c r="D7" i="19" s="1"/>
  <c r="D8" i="19" a="1"/>
  <c r="D8" i="19" s="1"/>
  <c r="D5" i="19"/>
  <c r="D6" i="19"/>
  <c r="D4" i="19"/>
  <c r="R44" i="13" l="1"/>
  <c r="S44" i="13" s="1"/>
  <c r="R37" i="13"/>
  <c r="S37" i="13" s="1"/>
  <c r="R22" i="25"/>
  <c r="S22" i="25" s="1"/>
  <c r="R8" i="19"/>
  <c r="R7" i="19"/>
  <c r="R5" i="19"/>
  <c r="R6" i="19"/>
  <c r="R4" i="1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<sst xmlns="http://schemas.openxmlformats.org/spreadsheetml/2006/main" count="5894" uniqueCount="518">
  <si>
    <t>Editie pilot</t>
  </si>
  <si>
    <t>Casu Igor</t>
  </si>
  <si>
    <t>Florin Ionita</t>
  </si>
  <si>
    <t>Adrian Chiru</t>
  </si>
  <si>
    <t>decembrie 2017</t>
  </si>
  <si>
    <t>Cristina Man</t>
  </si>
  <si>
    <t>Eduard Ene</t>
  </si>
  <si>
    <t>Silviu Burcea</t>
  </si>
  <si>
    <t>ian-mar 2018</t>
  </si>
  <si>
    <t>apr-iun 2018</t>
  </si>
  <si>
    <t>Cristian Dumitru C</t>
  </si>
  <si>
    <t>Distanta: </t>
  </si>
  <si>
    <t>Viteza (min/km) </t>
  </si>
  <si>
    <t>Puncte Fete Baieti</t>
  </si>
  <si>
    <t>5 max 4:30/max 4:00</t>
  </si>
  <si>
    <t>4.5 max 4.45/max 4:15</t>
  </si>
  <si>
    <t>4 max 5:00/max 4:30</t>
  </si>
  <si>
    <t>3.5 max 5:15/max 4:45</t>
  </si>
  <si>
    <t>3 max 5:30/max 5:00</t>
  </si>
  <si>
    <t>2.5 max 5:45/max 5:15</t>
  </si>
  <si>
    <t>1.5 max 6:30/max 6:00</t>
  </si>
  <si>
    <t>Hashtagul de #LigaSYR</t>
  </si>
  <si>
    <t>se posteaza o singura data. Dacă ați postat de mai multe ori eu o sa iau in calcul prima alergare așa că dacă postați o alergare mai buna intrați pe postarea veche și ștergeți hashtag-ul.</t>
  </si>
  <si>
    <t>Deadline postari alergari</t>
  </si>
  <si>
    <t>min</t>
  </si>
  <si>
    <t>pct/dist</t>
  </si>
  <si>
    <t>max</t>
  </si>
  <si>
    <t>pct/viteza</t>
  </si>
  <si>
    <t>Etapa</t>
  </si>
  <si>
    <t>F</t>
  </si>
  <si>
    <t>M</t>
  </si>
  <si>
    <t>Nume</t>
  </si>
  <si>
    <t>M/F</t>
  </si>
  <si>
    <t>Distanta</t>
  </si>
  <si>
    <t>Timp</t>
  </si>
  <si>
    <t>Viteza</t>
  </si>
  <si>
    <t>Pct distanta</t>
  </si>
  <si>
    <t>Pct viteza</t>
  </si>
  <si>
    <t>TOTAL ETAPA</t>
  </si>
  <si>
    <t>Check single entry</t>
  </si>
  <si>
    <t>oct-dec 2018</t>
  </si>
  <si>
    <t>Catalin Holban</t>
  </si>
  <si>
    <t>Ana-Maria Rusu</t>
  </si>
  <si>
    <t>Catalin Tintareanu</t>
  </si>
  <si>
    <t>Oana Elena</t>
  </si>
  <si>
    <t>Oana Trif</t>
  </si>
  <si>
    <t>Andrei Mezofii</t>
  </si>
  <si>
    <t>Dan Spataru</t>
  </si>
  <si>
    <t>Ovidiu Gavrilovici</t>
  </si>
  <si>
    <t>Robert Herman</t>
  </si>
  <si>
    <t>Andrei Diaconescu</t>
  </si>
  <si>
    <t>Bogdan Tala</t>
  </si>
  <si>
    <t>Anamaria Catalina</t>
  </si>
  <si>
    <t>Constandan Cornelius</t>
  </si>
  <si>
    <t>Marius Iulian Alecu</t>
  </si>
  <si>
    <t>Alex Ionut Husariu</t>
  </si>
  <si>
    <t>Cosmin Niculescu</t>
  </si>
  <si>
    <t>Adrico Adrian</t>
  </si>
  <si>
    <t>Flo Dum</t>
  </si>
  <si>
    <t>Vasi Minzatu</t>
  </si>
  <si>
    <t>Dan Mihaescu</t>
  </si>
  <si>
    <t>Giuliana Sadovei</t>
  </si>
  <si>
    <t>Marius Enescu</t>
  </si>
  <si>
    <t>Cosmin Constantin Popa</t>
  </si>
  <si>
    <t>Silvia Medinschi</t>
  </si>
  <si>
    <t>Daniel Moldoveanu</t>
  </si>
  <si>
    <t>Regulament:</t>
  </si>
  <si>
    <t>Loc</t>
  </si>
  <si>
    <t>DISTANTA</t>
  </si>
  <si>
    <t>TOTAL</t>
  </si>
  <si>
    <t>VITEZA</t>
  </si>
  <si>
    <t>Bonus elevatie</t>
  </si>
  <si>
    <t>Naidin Marian Laurentiu</t>
  </si>
  <si>
    <t>Gen</t>
  </si>
  <si>
    <t>ian-apr 2019</t>
  </si>
  <si>
    <t>Bonus distanta</t>
  </si>
  <si>
    <t>In fiecare LUNI, ora 23:59 (ora Romaniei). Ce se posteaza dupa aceasta data/ora nu va fi luat in considerare. Alergarea trebuie insa sa fie tot din saptamana etapei.</t>
  </si>
  <si>
    <t>Cristian Ungureanu</t>
  </si>
  <si>
    <t>Codrin Constantin</t>
  </si>
  <si>
    <t>Razvan Dobrovici</t>
  </si>
  <si>
    <t>Gorcioaia Flor Ionut</t>
  </si>
  <si>
    <t>mai-aug 2019</t>
  </si>
  <si>
    <t>Sistem de punctaj: </t>
  </si>
  <si>
    <t>Bonus viteza</t>
  </si>
  <si>
    <t>Bonus varsta</t>
  </si>
  <si>
    <t>Elevatie</t>
  </si>
  <si>
    <t>Borza Ionut</t>
  </si>
  <si>
    <t>sep-dec 2019</t>
  </si>
  <si>
    <t>ian-apr 2020</t>
  </si>
  <si>
    <t>BONUS VITEZA</t>
  </si>
  <si>
    <t>BONUS DIST</t>
  </si>
  <si>
    <t>Prima zi</t>
  </si>
  <si>
    <t>Ultima zi</t>
  </si>
  <si>
    <t>Andrei Ivanescu</t>
  </si>
  <si>
    <t>Oana Madalina Leonte</t>
  </si>
  <si>
    <t>Ioana Vaida</t>
  </si>
  <si>
    <t>Geo Ionut</t>
  </si>
  <si>
    <t>Elena Juganaru</t>
  </si>
  <si>
    <t>Teodor Petrut</t>
  </si>
  <si>
    <t>Hanchevici Codrut</t>
  </si>
  <si>
    <t>Ramona Matica</t>
  </si>
  <si>
    <t>Bogdan Covaci</t>
  </si>
  <si>
    <t>Old/new</t>
  </si>
  <si>
    <t>New</t>
  </si>
  <si>
    <t>iun-aug 2020</t>
  </si>
  <si>
    <t>Tip</t>
  </si>
  <si>
    <t>D</t>
  </si>
  <si>
    <t>V</t>
  </si>
  <si>
    <t>Viorel Tabara</t>
  </si>
  <si>
    <t>Mita Romanita</t>
  </si>
  <si>
    <t>Petru Dolhescu</t>
  </si>
  <si>
    <t>Tala Lucian</t>
  </si>
  <si>
    <t>Robea Ionut</t>
  </si>
  <si>
    <t>Tudor Cristian</t>
  </si>
  <si>
    <t>Mirea Gabriel Umberto</t>
  </si>
  <si>
    <t>Gorcioaia Florin Ionut</t>
  </si>
  <si>
    <t>Codruta Holban</t>
  </si>
  <si>
    <t>Echipa</t>
  </si>
  <si>
    <t>Dora J Whitlock</t>
  </si>
  <si>
    <t>sep-dec 2020</t>
  </si>
  <si>
    <t>Cristian Iancu</t>
  </si>
  <si>
    <t>Codruta Cioponea</t>
  </si>
  <si>
    <t>Steven White</t>
  </si>
  <si>
    <t>Alex Inger</t>
  </si>
  <si>
    <t>Danciu Alin Stelian</t>
  </si>
  <si>
    <t>Bogdan Cap</t>
  </si>
  <si>
    <t>Moving time</t>
  </si>
  <si>
    <t>Elapsed time</t>
  </si>
  <si>
    <t>Florin Zaharia</t>
  </si>
  <si>
    <t>Andrei Alexandru Gherasim</t>
  </si>
  <si>
    <t>1. Cine poate participa? Oricine, membru al grupului Share your run. Ma pot inscrie ORICAND, prin simpla postare de alergari cu #ligaSYR. De preferat, totusi, sa se anunte.</t>
  </si>
  <si>
    <r>
      <rPr>
        <b/>
        <sz val="9"/>
        <rFont val="Calibri"/>
        <family val="2"/>
        <scheme val="minor"/>
      </rPr>
      <t>VARSTA</t>
    </r>
    <r>
      <rPr>
        <sz val="9"/>
        <rFont val="Calibri"/>
        <family val="2"/>
        <scheme val="minor"/>
      </rPr>
      <t>: bonus acordat indiferent de punctele realizate in etapa. Se acorda 0,4 puncte bonus pt cei de 50 de ani si peste, 0,7p la 60 de ani si 1p la 70 si peste.  MENTIUNE: Trebuie ca participantul sa ne contacteze pentru a imi comunica varsta, in cazul in care doreste sa beneficieze de acest bonus.</t>
    </r>
  </si>
  <si>
    <t>Adriana Ionascu Dinu</t>
  </si>
  <si>
    <t>Cristi Borcan</t>
  </si>
  <si>
    <t>Dan Rusu</t>
  </si>
  <si>
    <t>Mirela Resteman</t>
  </si>
  <si>
    <t>Galia Stainfeld</t>
  </si>
  <si>
    <t>Ifrim Gheorghe</t>
  </si>
  <si>
    <t>Mihaela Zaharie</t>
  </si>
  <si>
    <t>Mariana Nenu</t>
  </si>
  <si>
    <t>ian-apr 2021</t>
  </si>
  <si>
    <t>Sezon 1</t>
  </si>
  <si>
    <t>Sezon 2</t>
  </si>
  <si>
    <t>Sezon 3</t>
  </si>
  <si>
    <t>Sezon 4</t>
  </si>
  <si>
    <t>Sezon 5</t>
  </si>
  <si>
    <t>Sezon 6</t>
  </si>
  <si>
    <t>Sezon 7</t>
  </si>
  <si>
    <t>Sezon 8</t>
  </si>
  <si>
    <t>Sezon 9</t>
  </si>
  <si>
    <t>Sezon 10</t>
  </si>
  <si>
    <t>Sezon 11</t>
  </si>
  <si>
    <t>Hall of Fame</t>
  </si>
  <si>
    <t>Points</t>
  </si>
  <si>
    <t>Fete</t>
  </si>
  <si>
    <t>Sub 2,5 km</t>
  </si>
  <si>
    <t>0p</t>
  </si>
  <si>
    <t>2,5-20 km</t>
  </si>
  <si>
    <t>Distanta/4</t>
  </si>
  <si>
    <t>Peste 20 km</t>
  </si>
  <si>
    <t>5p</t>
  </si>
  <si>
    <t>Baieti</t>
  </si>
  <si>
    <t>Sub 3 km</t>
  </si>
  <si>
    <t>3-21 km</t>
  </si>
  <si>
    <t>Distanta/4,2</t>
  </si>
  <si>
    <t>Peste 21 km</t>
  </si>
  <si>
    <t>13. Cum se face departajarea, in caz de egalitate de puncte? Distanta mai mare alergata, in cursul sezonului</t>
  </si>
  <si>
    <t>14. Fiecare participant, are dreptul la o saptamana de scutire (dupa ce a participat deja la macar una), pe motiv de sanatate, vacante etc, dar trebuie sa anunte in intervalul etapei. Va primi din oficiu 1,5 puncte</t>
  </si>
  <si>
    <t>12. Avem si bonusuri de elevatie, viteza, distanta si varsta (vedeti mai jos), ca EXCEPTIE la punctajele pentru distanta si viteza obisnuite</t>
  </si>
  <si>
    <r>
      <rPr>
        <b/>
        <sz val="9"/>
        <rFont val="Calibri"/>
        <family val="2"/>
        <scheme val="minor"/>
      </rPr>
      <t>DISTANTA</t>
    </r>
    <r>
      <rPr>
        <sz val="9"/>
        <rFont val="Calibri"/>
        <family val="2"/>
        <scheme val="minor"/>
      </rPr>
      <t>: Pentru distanta peste semi: 0,1 puncte pentru fiecare 2 km in plus (de exemplu: la 36 de km alergati ai 36-21=15/2=7,... =&gt;0.7puncte bonus) pana la 99 km, intre 103 si 199 km se dau 0.1p pentru fiecare 4 km in plus, iar de aici in sus se dau cate 0.1p pt fiecare 8 km in plus. ATENTIE: Se acorda la fiecare etapa in plus fata de punctajul calculat obisnuit, drept compensatie pentru scaderea de viteza pe distanta si nu este conditionat de viteza minima.</t>
    </r>
  </si>
  <si>
    <t>Oana Solomon</t>
  </si>
  <si>
    <t>Magdalena Neagu</t>
  </si>
  <si>
    <t>Daniel Dragan</t>
  </si>
  <si>
    <t>dist/4</t>
  </si>
  <si>
    <t>pct</t>
  </si>
  <si>
    <t>dist/4.2</t>
  </si>
  <si>
    <t>Cristina Dumitru</t>
  </si>
  <si>
    <t>Visan Cristina Stefania</t>
  </si>
  <si>
    <t>Daniel Florin</t>
  </si>
  <si>
    <t>Asan Arun</t>
  </si>
  <si>
    <t>Medie</t>
  </si>
  <si>
    <t>Ghizela Vonica</t>
  </si>
  <si>
    <t>mai-aug 2021</t>
  </si>
  <si>
    <r>
      <rPr>
        <b/>
        <sz val="9"/>
        <rFont val="Calibri"/>
        <family val="2"/>
        <scheme val="minor"/>
      </rPr>
      <t>ELEVATIE</t>
    </r>
    <r>
      <rPr>
        <sz val="9"/>
        <rFont val="Calibri"/>
        <family val="2"/>
        <scheme val="minor"/>
      </rPr>
      <t>: Pentru diferenta de nivel pozitiva (elevation) de 50 m si peste se acorda proportional un nr de puncte egal cu elevatia impartita la 1500 (de exemplu: la o elevatie pozitiva de +300m vei avea 300/1500=0,2 puncte, la +1700m vei avea 1700/1500=1,13 puncte, iar la un +4000m vei avea 4000/1500=2,67 puncte bonus)
Se acorda la fiecare etapa in plus fata de punctajul calculat obisnuit, drept compensatie pentru scaderea de viteza pe urcare si nu e conditionat decat de faptul ca trebuie sa ai distanta de min 1p. 
Recomandabil sa se mentioneze in prezentare ca a fost cu diferenta de nivel</t>
    </r>
  </si>
  <si>
    <t>Sezon 12</t>
  </si>
  <si>
    <t>sep-dec 2021</t>
  </si>
  <si>
    <t>Drânceanu Bogdan Valentin</t>
  </si>
  <si>
    <t>1. Silvia Medinschi</t>
  </si>
  <si>
    <t>2. Magdalena Neagu</t>
  </si>
  <si>
    <t>3. Galia Stainfeld</t>
  </si>
  <si>
    <t>4. Ifrim Gheorghe</t>
  </si>
  <si>
    <t>5. Drânceanu Bogdan Valentin</t>
  </si>
  <si>
    <t>6. Viorel Tabara</t>
  </si>
  <si>
    <t>7. Cosmin Constantin Popa</t>
  </si>
  <si>
    <t>8. Elena Juganaru</t>
  </si>
  <si>
    <t>9. Visan Cristina Stefania</t>
  </si>
  <si>
    <t>10. Daniel Moldoveanu</t>
  </si>
  <si>
    <t>11. Mirea Gabriel Umberto</t>
  </si>
  <si>
    <t>12. Silviu Burcea</t>
  </si>
  <si>
    <t>13. Vasi Minzatu</t>
  </si>
  <si>
    <t>14. Mirela Resteman</t>
  </si>
  <si>
    <t>15. Ramona Matica</t>
  </si>
  <si>
    <t>Radu Lapadatoni</t>
  </si>
  <si>
    <t>Mircea Dominte</t>
  </si>
  <si>
    <t>Marian Ulita</t>
  </si>
  <si>
    <t>Valenky Opris</t>
  </si>
  <si>
    <t>Dinu Turcanu</t>
  </si>
  <si>
    <t>P</t>
  </si>
  <si>
    <t>Adrian Ivan</t>
  </si>
  <si>
    <t>Dark Granatroche</t>
  </si>
  <si>
    <t>Sezon 13</t>
  </si>
  <si>
    <t>ian-apr 2022</t>
  </si>
  <si>
    <t>6. Se accepta orice aplicatie (Garmin, Strava, Adidas etc). ATENTIE! POSTAREA SA FIE VIZIBILA DE CATRE TOTI si fara print screen, DOAR LINK DIN APLICATIE. 
Se accepta si alergari pe banda, dar nu introduse manual in aplicatie.  Atentie! Incercati sa nu dati block pe facebook celorlalti membri SYR. Riscati sa nu fiti punctat, daca juriul nu vede postarea</t>
  </si>
  <si>
    <t>3. Cum se desfasoara? O ETAPA PE SAPTAMANA (luni-duminica) cu cate o singura alergare care puncteaza la categoriile distanta, viteza si prezentare (vezi mai jos baremul) plus eventuale bonusuri.</t>
  </si>
  <si>
    <t>8. Pt cei care participa la curse, acceptam si link de pe pagina oficiala (cu detalii de distanta si elevatie), in caz ca nu puteti salva link din aplicatia de alergare. In acest caz, timpul pus va fi elapsed.</t>
  </si>
  <si>
    <t>9. Ca să punctezi la viteză, trebuie să alergi minim 2,5 km la fete/ 3 km la baieti. Daca esti sub aceste limite, vei primi 0 la punctajul de viteza, dar poti lua in continuare punctele meritate la bonus (vezi mai jos).</t>
  </si>
  <si>
    <t>10. Folosim media aritmetica intre moving si elapsed time.</t>
  </si>
  <si>
    <t>Afisare rezultate:</t>
  </si>
  <si>
    <t>Undeva in saptamana imediat urmatoare etapei, cel mai probabil marti</t>
  </si>
  <si>
    <t>Pct prezentare</t>
  </si>
  <si>
    <t>Prezentare</t>
  </si>
  <si>
    <t>Se apreciaza originalitatea, creativitatea. De asemenea, postarile similare repetitive duc la scaderea usoara a punctajului in timp.</t>
  </si>
  <si>
    <t>Prezentare (de la 0 la 5p in fiecare etapa, cu ponderi diferite)</t>
  </si>
  <si>
    <t>Ziua alergarii</t>
  </si>
  <si>
    <t>Nicolae Marian</t>
  </si>
  <si>
    <t>Amalia Florentina Ardeleanu</t>
  </si>
  <si>
    <t>Rusu Razvan</t>
  </si>
  <si>
    <t>Adrian Budaca</t>
  </si>
  <si>
    <t>8b. Pentru ultramaraton (minim 100 km), se pot posta 2 sau mai multe linkuri pe care de adunam, cu pauzele dintre ele adaugate la elapsed.</t>
  </si>
  <si>
    <t>Adelina Marcu</t>
  </si>
  <si>
    <t>Sezon 14</t>
  </si>
  <si>
    <t>iun-aug 2022</t>
  </si>
  <si>
    <t>14b. Fiecare participant are dreptul la o saptamana pe sezon in care sa posteze cu intarziere, dupa termenul de luni seara. In cazul in care s-au afisat deja rezultatele, actualizarea se va face saptamana urmatoare. Aceasta prevedere nu exclude pct 14</t>
  </si>
  <si>
    <t>1.75 max 6:15/max 5:45</t>
  </si>
  <si>
    <t>1.25 max 6:45/max 6:15</t>
  </si>
  <si>
    <t>1 max 7:00/max 6:30</t>
  </si>
  <si>
    <t>0.75 max 7:15/max 6:45</t>
  </si>
  <si>
    <t>0.5 max 7:30/max 7:00</t>
  </si>
  <si>
    <t>0.25 max 9:00/max 8:00</t>
  </si>
  <si>
    <t>3b. Adaugare: alergarea poate sa se intinda si in saptamana urmatoare, daca a inceput in saptamana etapei. Pentru ca e posibil sa avem si alergatori de ultramaraton, limita de finalizare a alergarii este lunea de dupa etapa, ora 23:59.</t>
  </si>
  <si>
    <t>Alina Nedelcu</t>
  </si>
  <si>
    <t>Mira Andreea</t>
  </si>
  <si>
    <t>Alin Rusu</t>
  </si>
  <si>
    <t>Mihai Straticiuc</t>
  </si>
  <si>
    <t>2 max 6:00/max 5:30</t>
  </si>
  <si>
    <t>Alin Darius</t>
  </si>
  <si>
    <t>Nedelcu Marius Florin</t>
  </si>
  <si>
    <t>Vali Echipmont</t>
  </si>
  <si>
    <t>Bogdan Dranceanu</t>
  </si>
  <si>
    <t>Luchian Alexandru</t>
  </si>
  <si>
    <t>Myra Cristina</t>
  </si>
  <si>
    <t>Floroiu Marian</t>
  </si>
  <si>
    <t>George Dinu</t>
  </si>
  <si>
    <t>Intarziat/cursa</t>
  </si>
  <si>
    <t>Inclinatie medie</t>
  </si>
  <si>
    <t>Bonus final viteza</t>
  </si>
  <si>
    <t>25%</t>
  </si>
  <si>
    <t>50%</t>
  </si>
  <si>
    <t>75%</t>
  </si>
  <si>
    <t>B</t>
  </si>
  <si>
    <t>sub 1km</t>
  </si>
  <si>
    <t>0%</t>
  </si>
  <si>
    <t>1-1.49 km</t>
  </si>
  <si>
    <t>1.5-1.99 km</t>
  </si>
  <si>
    <t>2-2.49 km</t>
  </si>
  <si>
    <t>1-1.59 km</t>
  </si>
  <si>
    <t>2.3-2.99 km</t>
  </si>
  <si>
    <t>1.6-2.29 km</t>
  </si>
  <si>
    <t>Diferenta de nivel pozitiva (nr de metri urcati) trebuie sa fie cel putin 75%  din diferenta de nivel negativa (metri coborati), altfel primesti 0p in etapa respectiva. Cine abuzeaza de regula (o foloseste de mai multe ori la limita), va primi de asemenea 0p.</t>
  </si>
  <si>
    <t>6b. Verificati linkul postat pentru ca este posibil sa se stearga o litera si sa nu putem evalua alergarea. De asemenea, verificati lungimea daca se incadreaza in limita minima (daca faceti sincronizare, Strava poate ajusta negativ si puteti cadea sub pragul minim).</t>
  </si>
  <si>
    <r>
      <t>11. Sunt avantajati vitezistii sau long-runnerii? Nu, pentru ca ponderea viteza vs distanta va fi diferita, de la o etapa la alta (</t>
    </r>
    <r>
      <rPr>
        <b/>
        <sz val="9"/>
        <rFont val="Calibri"/>
        <family val="2"/>
        <scheme val="minor"/>
      </rPr>
      <t>50%/25%</t>
    </r>
    <r>
      <rPr>
        <sz val="9"/>
        <rFont val="Calibri"/>
        <family val="2"/>
        <scheme val="minor"/>
      </rPr>
      <t>), avand totusi un echilibru pe tot sezonul intre categorii</t>
    </r>
  </si>
  <si>
    <t>Sendone.ro</t>
  </si>
  <si>
    <t>Partener (locatie)</t>
  </si>
  <si>
    <t>Premiu</t>
  </si>
  <si>
    <r>
      <rPr>
        <b/>
        <sz val="9"/>
        <rFont val="Calibri"/>
        <family val="2"/>
        <scheme val="minor"/>
      </rPr>
      <t>VITEZA</t>
    </r>
    <r>
      <rPr>
        <sz val="9"/>
        <rFont val="Calibri"/>
        <family val="2"/>
        <scheme val="minor"/>
      </rPr>
      <t>: bonusuri care cresc exponential pentru fiecare 5 secunde sub baremul de 5 puncte (4:30 la fete sau 4:00 la baieti). De ex: un baiat care fuge cu 3:25 pe mie va lua 5,4 puncte bonus, iar o fata care fuge cu 3:47 ia 6,75p bonus. Bonusul creste mai mult la viteze mai mari. ATENTIE: ca exceptie la art 8 din regulament, aici avem DISTANTA MINIMA de 1 km, pentru toata lumea, dar bonusul de viteza se ia doar procentual (25%/50%/75%) pana la pragul de distanta de 2.5km/F si 3 km/B.</t>
    </r>
  </si>
  <si>
    <t>Bogdan Gabor</t>
  </si>
  <si>
    <t>Bibi Dani</t>
  </si>
  <si>
    <t>Greculeasa Madalin</t>
  </si>
  <si>
    <t>Radu Popovici</t>
  </si>
  <si>
    <t>Bogdan Nicolae Vladu</t>
  </si>
  <si>
    <t>100%</t>
  </si>
  <si>
    <t>min 3.00 km</t>
  </si>
  <si>
    <t>min 2.50 km</t>
  </si>
  <si>
    <t>Marius Bercea</t>
  </si>
  <si>
    <t>Panainte Florin</t>
  </si>
  <si>
    <t>Iulian Bejan</t>
  </si>
  <si>
    <t>Elena Alina Gutu</t>
  </si>
  <si>
    <t>Liviu Marcu</t>
  </si>
  <si>
    <t>Florian Nastase</t>
  </si>
  <si>
    <t>Ilinca Maria Tempeanu</t>
  </si>
  <si>
    <t>Ramona Zota</t>
  </si>
  <si>
    <t>Magda Neagu</t>
  </si>
  <si>
    <t>Peter Simona</t>
  </si>
  <si>
    <t>Cosmin Gavagiuc</t>
  </si>
  <si>
    <t>Vasile Ramona</t>
  </si>
  <si>
    <t>UltraHaita lu' Borcan</t>
  </si>
  <si>
    <t>Daniel Fifi-nescu</t>
  </si>
  <si>
    <t>Zen Rituals</t>
  </si>
  <si>
    <t>Casa Jad</t>
  </si>
  <si>
    <t>Extragere:</t>
  </si>
  <si>
    <t>Catalin Stanescu</t>
  </si>
  <si>
    <t>Vladea Rachieru</t>
  </si>
  <si>
    <t>Patrick Arman</t>
  </si>
  <si>
    <t>Marica Cristina</t>
  </si>
  <si>
    <t>Mihaela Michelle</t>
  </si>
  <si>
    <t>Nicoleta Gonta</t>
  </si>
  <si>
    <t>Anisoara Moraru</t>
  </si>
  <si>
    <t>Dr. Codruța Cioponea - Medicină fizică şi Reabilitare Medicală</t>
  </si>
  <si>
    <t>Halcyon Faget Winter Trail (Cluj, 4 februarie 2023)</t>
  </si>
  <si>
    <t>Etape viteza</t>
  </si>
  <si>
    <t>Pilotbooks.ro (3)</t>
  </si>
  <si>
    <t>SG</t>
  </si>
  <si>
    <t>x</t>
  </si>
  <si>
    <t>Sezon 15</t>
  </si>
  <si>
    <t>sep-nov 2022</t>
  </si>
  <si>
    <t>B/F</t>
  </si>
  <si>
    <t>Echipe</t>
  </si>
  <si>
    <t>Sezon 16</t>
  </si>
  <si>
    <t>17. Orice lipsa de fairplay si aici se include diferenta neta de nivel (in speta, orice abatere evidenta: alergari la vale care pot avantaja concurentul, taierea de track-uri pentru a include portiuni in (usoara) coborare etc. dar si alte devieri pe parte de comportament sau atitudine fata de alti concurenti va fi sanctionata initial cu avertisment si ulterior cu excluderea din (minim) sezonul in curs al ligii. Ne dorim sa promovam bunul simt si respectul fata de toti participantii.</t>
  </si>
  <si>
    <t>19. Participantii la liga care au o legatura directa cu persoana care ii jurizeaza (i.e. sot, sotie, iubit/a si in general orice grad de rudenie + cazuri extreme care vor fi discutate punctual), vor fi jurizati de un alt membru desemnat (se aplica si in cazul contestatiilor, unde juratul respectiv se va abtine de la vot).</t>
  </si>
  <si>
    <t>16. Minim 10 etape prezente pentru a intra la tragerea la sorti pt premiile finale</t>
  </si>
  <si>
    <t>5. Cum se posteaza? Fiecare va posta alergarile din saptamana respectiva, OBLIGATORIU TREBUIND SA MENTIONEZE CU CARE PARTICIPA (HASTAG #ligaSYR si eventual #viteza/#distanta/#prezentare daca doreste) si o prezentare la latitudinea fiecaruia (poze, filmulete, descriere, ceva amuzant etc). IN CAZ DE LIPSA HASTAG, NU SE VA PUNCTA!!!. Daca ai mai multe alergari cu #ligaSYR, o luam doar pe prima. De calcule in excel ne ocupam noi. La capitolul prezentare se va pune mare pret pe originalitate.</t>
  </si>
  <si>
    <t>2. Poti participa la cate etape doresti/poti (nu eliminam pe motiv de absente), cu exceptia echipelor, vezi punctul 15.</t>
  </si>
  <si>
    <t>7. Daca alergati pe banda: obligatoriu si poza cu rezultatele de pe ecranul benzii, pe langa linkul din aplicatie (Garmin, Strava etc). Va rog, incercati sa limitati acest tip de alergari la maxim 3 pe sezon. Dupa aceea, veti primi 0p la astfel de alergari.</t>
  </si>
  <si>
    <t>18. Fiecare concurent va avea la dispozitie un numar de 3 posibilitati de a cere revizuirea punctajului primit, fie ca vorbim de calculul pe elevatie, dar si punctaj la prezentare etc. Abaterile / greselile de jurizare evidente care se vad si pe track-ul de alergare (i.e. distanta, timp, elevatie etc.) vor fi corectate automat, de indata ce sunt sesizate, cel tarziu la publicarea rezultatelor din etapa urmatoare. Cele 3 contestatii vor fi acordate pe modelul hawkeye challenge din tenis, unde in cazul in care concurentul primeste aviz pozitiv, numarul 3 se va pastra, in caz contrar acest numar va scadea proportional pana la 0. Revizuirea contestatiei se va face de subsemnatul + alti minim 2 membri desemnati. Foarte important: contestatia se poate face doar in nume propriu.</t>
  </si>
  <si>
    <t>The GOATs</t>
  </si>
  <si>
    <t>Almost Kenyan Runners</t>
  </si>
  <si>
    <t>MedgidiaRunning</t>
  </si>
  <si>
    <t xml:space="preserve">4. Alternativ, vor fi etape in care ponderea mai mare va fi pe Viteza/Distanta/Prezentare. Fiecare participant mentioneaza la ce vrea sa puncteze in fiecare etapa (viteza, prezentare sau distanta) si va conta cu 50% la categoria respectiva, cealelalte avand 25%. Daca nu se mentioneaza, se va puncta conform programului standard. Dupa epuizarea a 5 etape dintr-o anumita categorie, se va alege din cele ramase, pana epuizam </t>
  </si>
  <si>
    <t>15. Avem 5 echipe, avand drept capitani primele 2 fete si 3 baieti din sezonul anterior. In fiecare sunt maxim 2 membri din top 10 sezonul trecut si maxim 4 din top 20.
Punctajul de etapa se face din media echipei dupa ce se elimina primul si ultimul.
Toti cei care vor participa la #ligaSYR vor fi distribuiti automat in echipe (in cazul in care nu fac parte deja din una), doar in cazul in care doresc, dupa modelul, echipa cu cei mai putini membri SAU daca sunt mai multe echipe cu acelasi numar,pe modelul primul venit primul servit. Echipele devin active decat in momentul in care concurentul posteaza la #ligaSYR, incepand cu prima etapa. 
De asemenea, in decursul primelor 3 etape, concurentul care nu posteaza de minim 2 ori, va fi exclus din echipa in care se afla.
Totodata, este nevoie ca minim 60% dintre cei din echipa sa puncteze in fiecare etapa (primul si ultimul se exclud la punctaj, iar caculul se face din avg. celorlati care puncteaza). In cazul in care nu puncteaza minim 60% dintre membri timp de 3 etape consecutiv, echipa se dizolva din oficiu.</t>
  </si>
  <si>
    <t>#notSYRious</t>
  </si>
  <si>
    <t>Cornelia Cristea</t>
  </si>
  <si>
    <t>Florin Gheorghita</t>
  </si>
  <si>
    <t>Florian Micu</t>
  </si>
  <si>
    <t>10.01.2023</t>
  </si>
  <si>
    <t>Ioan Paraschiv</t>
  </si>
  <si>
    <t>Varga Csaba</t>
  </si>
  <si>
    <t>Adrian Tone</t>
  </si>
  <si>
    <t>Scarlat Ioana Bianca</t>
  </si>
  <si>
    <t>Cristea Ionut</t>
  </si>
  <si>
    <t>Vesa Marek</t>
  </si>
  <si>
    <t>Bogdan Olariu</t>
  </si>
  <si>
    <t>Costin Petcu</t>
  </si>
  <si>
    <t>Ionut Rece</t>
  </si>
  <si>
    <t>Dolores Panait</t>
  </si>
  <si>
    <t>Ana Maria Calin</t>
  </si>
  <si>
    <t>Radu Budan</t>
  </si>
  <si>
    <t>Mariana Ciuraru</t>
  </si>
  <si>
    <t>14.01.2023</t>
  </si>
  <si>
    <t>13.01.2023</t>
  </si>
  <si>
    <t>Oana Alexandra</t>
  </si>
  <si>
    <t xml:space="preserve">Lidia Stefania Nitu </t>
  </si>
  <si>
    <t>Stefan Lihaciu</t>
  </si>
  <si>
    <t>Andrei Savu</t>
  </si>
  <si>
    <t>Gyűjtő Robi</t>
  </si>
  <si>
    <t>Doina Dorina Casaru</t>
  </si>
  <si>
    <t>Gurex Best</t>
  </si>
  <si>
    <t>Andrei Nagy</t>
  </si>
  <si>
    <t>Gina Badescu</t>
  </si>
  <si>
    <t>Ionut Catana</t>
  </si>
  <si>
    <t>15.01.2023</t>
  </si>
  <si>
    <t>Razvan Farkas</t>
  </si>
  <si>
    <t>Cristian Seretan</t>
  </si>
  <si>
    <t>Maria Mihalache</t>
  </si>
  <si>
    <t>Alin Anastasoaie </t>
  </si>
  <si>
    <t>George Pascu</t>
  </si>
  <si>
    <t>Ionut Bogdan Bledea</t>
  </si>
  <si>
    <t>Oana Dadalica</t>
  </si>
  <si>
    <t>Alex Paraschiv</t>
  </si>
  <si>
    <t>Cornel Neagu</t>
  </si>
  <si>
    <t>Aly Nao</t>
  </si>
  <si>
    <t>Liliana Ciobanu</t>
  </si>
  <si>
    <t>16.01.2023</t>
  </si>
  <si>
    <t>Mariana Nasaudean</t>
  </si>
  <si>
    <t>Adrian Branescu</t>
  </si>
  <si>
    <t>Alin Ionita</t>
  </si>
  <si>
    <t>Robert Hajnal</t>
  </si>
  <si>
    <t>CLASAMENT ECHIPE</t>
  </si>
  <si>
    <t>Teodora Nadrag</t>
  </si>
  <si>
    <t>18.01.2023</t>
  </si>
  <si>
    <t>Greculeasa Madalin </t>
  </si>
  <si>
    <t>Postaru Andrei</t>
  </si>
  <si>
    <t>23.01.2023</t>
  </si>
  <si>
    <t>Misha Vasilescu</t>
  </si>
  <si>
    <t>Paul Ovidiu</t>
  </si>
  <si>
    <t>Andreea Izabela</t>
  </si>
  <si>
    <t>25.01.2023</t>
  </si>
  <si>
    <t>Amelia Diaconescu</t>
  </si>
  <si>
    <t>Poștaru Andrei</t>
  </si>
  <si>
    <t>27.01.2023</t>
  </si>
  <si>
    <t>Alexandra N Dragomir</t>
  </si>
  <si>
    <t>28.01.2023</t>
  </si>
  <si>
    <t>Narcis Marian</t>
  </si>
  <si>
    <t>Iulian Vimp</t>
  </si>
  <si>
    <t>Stefan Adrian Pomarac</t>
  </si>
  <si>
    <t>Razvan Rusu</t>
  </si>
  <si>
    <t>Alina Delia Ozcelik</t>
  </si>
  <si>
    <t>31.01.2023</t>
  </si>
  <si>
    <t>Maria Mocanu Ghinitoiu</t>
  </si>
  <si>
    <t>01.02.2023</t>
  </si>
  <si>
    <t>3;00:53</t>
  </si>
  <si>
    <t>02.02.2023</t>
  </si>
  <si>
    <t>03.02.2023</t>
  </si>
  <si>
    <t>Vali Munteanu</t>
  </si>
  <si>
    <t>04.02.2023</t>
  </si>
  <si>
    <t>05.02.2023</t>
  </si>
  <si>
    <t>Mihai Gabriel Rohozneanu</t>
  </si>
  <si>
    <t>06.02.2023</t>
  </si>
  <si>
    <t>Subcarpati Trail Run la oricare din curse (5/6.05.2023, Cocorastii Misli)</t>
  </si>
  <si>
    <t>2 inscrieri (1F+1M) la oricare dintre curse, prin tragere la sorti</t>
  </si>
  <si>
    <t>O inscriere prin tragere la sorti la oricare dintre curse</t>
  </si>
  <si>
    <t>O inscriere prin tragere la sorti (cursele de pana la 50k inclusiv)</t>
  </si>
  <si>
    <t>XRace (10 Iunie 2023, Poiana Valea Neagra)</t>
  </si>
  <si>
    <t>(un loc la semi - Vulturi si un loc la maraton - Malia), prin tragere la sorti</t>
  </si>
  <si>
    <t>Sendone/Vindem-ieftin.ro</t>
  </si>
  <si>
    <t>1 suport de medalii si 1 foita de ploaie/vant prin tragere la sorti</t>
  </si>
  <si>
    <t>Premii (doar cei cu minim 12 prezente)</t>
  </si>
  <si>
    <t>2 vouchere, prin tragere la sorti</t>
  </si>
  <si>
    <t>Latin Dent9 (cabinet stomatologic)</t>
  </si>
  <si>
    <t>Casa Jad (masaj)</t>
  </si>
  <si>
    <t>2 inscrieri (1F+1M) la oricare dintre curse (inclusiv ultra dar sa intre in conditiile cu punctajul ITRA)</t>
  </si>
  <si>
    <t>2 vouchere SportGuru</t>
  </si>
  <si>
    <t>1 voucher F si 1 Voucher M, fiecare a cate 500 lei, prin tragere la sorti</t>
  </si>
  <si>
    <t>o sesiune de refacere, prin tragere la sorti</t>
  </si>
  <si>
    <t>sesiune de refacere de la Dr. Codruta Ciuponea (centru refacere sportiva)</t>
  </si>
  <si>
    <t>Festivalul Sporturilor Iasi (2-4 Iunie, Iasi)</t>
  </si>
  <si>
    <t>3 premii oferite prin tragere ls sorti ce contin: consultatie, plan de tratament, igienizare completa - detartraj, periaj, air-flow; flourizare personala + periuta electrica ORAL-B</t>
  </si>
  <si>
    <t>3 galeti de sare de baie Epsoak Sport, 1 dedicata debutanti, 2 open (prin tragere la sorti)</t>
  </si>
  <si>
    <t>Zaiafet Wine Race (23 Iulie, Ferma Dacilor)</t>
  </si>
  <si>
    <t>07.02.2023</t>
  </si>
  <si>
    <t>Ciprian Gurau</t>
  </si>
  <si>
    <t>Rhoni Panait</t>
  </si>
  <si>
    <t>08.02.2023</t>
  </si>
  <si>
    <t>Florin Chirilus</t>
  </si>
  <si>
    <t>09.02.2023</t>
  </si>
  <si>
    <t>10.02.2023</t>
  </si>
  <si>
    <t>11.02.2023</t>
  </si>
  <si>
    <t>12.02.2023</t>
  </si>
  <si>
    <t>13.02.2023</t>
  </si>
  <si>
    <t>14.02.2023</t>
  </si>
  <si>
    <t>Bucovina Ultra Rocks (28 Iulie, Campulung Moldovenesc)</t>
  </si>
  <si>
    <t>2 inscrieri  48k (Lady's Rocks), 33k (Rocky) sau 15k (Rumble Rock), prin tragere la sorti</t>
  </si>
  <si>
    <t>15.02.2023</t>
  </si>
  <si>
    <t>16.02.2023</t>
  </si>
  <si>
    <t>17.02.2023</t>
  </si>
  <si>
    <t>18.02.2023</t>
  </si>
  <si>
    <t>19.02.2023</t>
  </si>
  <si>
    <t>20.02.2023</t>
  </si>
  <si>
    <t>Scrofan Catalin</t>
  </si>
  <si>
    <t>21.02.2023</t>
  </si>
  <si>
    <t>Pitesti Half Marathon (7 Mai, Pitesti)</t>
  </si>
  <si>
    <t>2 inscrieri la oricare dintre curse, prin tragere la sorti</t>
  </si>
  <si>
    <t>Semi Maraton Fetesti (20 Mai, Fetesti)</t>
  </si>
  <si>
    <t>Row Labels</t>
  </si>
  <si>
    <t>Grand Total</t>
  </si>
  <si>
    <t>Count of Etapa</t>
  </si>
  <si>
    <t>Column Labels</t>
  </si>
  <si>
    <t>22.02.2023</t>
  </si>
  <si>
    <t>23.02.2023</t>
  </si>
  <si>
    <t>S</t>
  </si>
  <si>
    <t>25.02.2023</t>
  </si>
  <si>
    <t>Stefan Tibi</t>
  </si>
  <si>
    <t>26.02.2023</t>
  </si>
  <si>
    <t>01.03.2023</t>
  </si>
  <si>
    <t>(blank)</t>
  </si>
  <si>
    <t>02.03.2023</t>
  </si>
  <si>
    <t>03.03.2023</t>
  </si>
  <si>
    <t>04.03.2023</t>
  </si>
  <si>
    <t>05.03.2023</t>
  </si>
  <si>
    <t>Julian Pipin</t>
  </si>
  <si>
    <t>Crosul Hoia by Runners Club (24 Iunie 2023, Cluj Napoca)</t>
  </si>
  <si>
    <t>Wizz Air Bucharest International Half Marathon By Constantina Dita (23 Aprilie, Bucuresti)</t>
  </si>
  <si>
    <t>Măcin Mountain Fun (9-11 Iunie, Macin)</t>
  </si>
  <si>
    <t>Transylvania 100 (27 Mai, Bran)</t>
  </si>
  <si>
    <t>Brasov Marathon (13/14 Mai, Brasov)</t>
  </si>
  <si>
    <t>Carpathia Trail Race (1 Iulie, Cheile Gradistei)</t>
  </si>
  <si>
    <t>Predeal Forrest Run (7-8 Iulie, Predeal)</t>
  </si>
  <si>
    <t>Retezat Skyrace (17 Iunie, Cheile Butii)</t>
  </si>
  <si>
    <t>08.03.2023</t>
  </si>
  <si>
    <t>09.03.2023</t>
  </si>
  <si>
    <t>10.03.2023</t>
  </si>
  <si>
    <t>11.03.2023</t>
  </si>
  <si>
    <t>12.03.2023</t>
  </si>
  <si>
    <t>Iulian Pop</t>
  </si>
  <si>
    <t>13.03.2023</t>
  </si>
  <si>
    <t>14.03.2023</t>
  </si>
  <si>
    <t>18.03.2023</t>
  </si>
  <si>
    <t>19.03.2023</t>
  </si>
  <si>
    <t>20.03.2023</t>
  </si>
  <si>
    <t>22.03.2023</t>
  </si>
  <si>
    <t>24.03.2023</t>
  </si>
  <si>
    <t>25.03.2023</t>
  </si>
  <si>
    <t>26.03.2023</t>
  </si>
  <si>
    <t>Red John</t>
  </si>
  <si>
    <t>28.03.2023</t>
  </si>
  <si>
    <t>29.03.2023</t>
  </si>
  <si>
    <t>01.04.2023</t>
  </si>
  <si>
    <t>02.04.2023</t>
  </si>
  <si>
    <t>Serban Tir</t>
  </si>
  <si>
    <t>04.04.2023</t>
  </si>
  <si>
    <t>07.04.2023</t>
  </si>
  <si>
    <t>09.04.2023</t>
  </si>
  <si>
    <t>10.04.2023</t>
  </si>
  <si>
    <t>Link puncte prezentare</t>
  </si>
  <si>
    <t>da</t>
  </si>
  <si>
    <t>15.04.2023</t>
  </si>
  <si>
    <t>13.04.2023</t>
  </si>
  <si>
    <t>11.04.2023</t>
  </si>
  <si>
    <t>12.04.2023</t>
  </si>
  <si>
    <t>14.04.2023</t>
  </si>
  <si>
    <t>Iulian Nedelcu</t>
  </si>
  <si>
    <t>16.04.2023</t>
  </si>
  <si>
    <t>19.04.2023</t>
  </si>
  <si>
    <t>20.04.2023</t>
  </si>
  <si>
    <t>22.04.2023</t>
  </si>
  <si>
    <t>23.04.2023</t>
  </si>
  <si>
    <r>
      <t xml:space="preserve">Bonus (la final) pentru cei care au un numar de </t>
    </r>
    <r>
      <rPr>
        <b/>
        <sz val="9"/>
        <rFont val="Calibri"/>
        <family val="2"/>
        <scheme val="minor"/>
      </rPr>
      <t>etape cu punctaj minim la viteza</t>
    </r>
    <r>
      <rPr>
        <sz val="9"/>
        <rFont val="Calibri"/>
        <family val="2"/>
        <scheme val="minor"/>
      </rPr>
      <t>. Se vor acorda gradual si incep cu 1p pentru cei cu 6-7 etape punctate la viteza, apoi 2p pt cei cu 8-9 etape, 3p pt cei cu 10-11 etape, 4p pt cei cu 12-13 etape, 5p pt cei cu 14-15 etape</t>
    </r>
  </si>
  <si>
    <t>ian-apr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</si>
</sst>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 #,##0.00_-;\-* #,##0.00_-;_-* &quot;-&quot;??_-;_-@_-"/>
    <numFmt numFmtId="165" formatCode="h:mm:ss;@"/>
    <numFmt numFmtId="166" formatCode="_(* #,##0.0_);_(* \(#,##0.0\);_(* &quot;-&quot;??_);_(@_)"/>
    <numFmt numFmtId="167" formatCode="_(* #,##0_);_(* \(#,##0\);_(* &quot;-&quot;??_);_(@_)"/>
    <numFmt numFmtId="168" formatCode="0.0"/>
    <numFmt numFmtId="169" formatCode="[$-409]d\-mmm\-yy;@"/>
    <numFmt numFmtId="170" formatCode="_(* #,##0.0000_);_(* \(#,##0.0000\);_(* &quot;-&quot;??_);_(@_)"/>
  </numFmts>
  <fonts count="24" x14ac:knownFonts="1">
    <font>
      <sz val="11"/>
      <color theme="1"/>
      <name val="Calibri"/>
      <family val="2"/>
      <scheme val="minor"/>
    </font>
    <font>
      <sz val="9"/>
      <color theme="1"/>
      <name val="Calibri"/>
      <family val="2"/>
      <scheme val="minor"/>
    </font>
    <font>
      <b/>
      <sz val="9"/>
      <color rgb="FF000000"/>
      <name val="Calibri"/>
      <family val="2"/>
      <scheme val="minor"/>
    </font>
    <font>
      <sz val="9"/>
      <color rgb="FF000000"/>
      <name val="Calibri"/>
      <family val="2"/>
      <scheme val="minor"/>
    </font>
    <font>
      <b/>
      <sz val="11"/>
      <color theme="1"/>
      <name val="Calibri"/>
      <family val="2"/>
      <scheme val="minor"/>
    </font>
    <font>
      <sz val="11"/>
      <color rgb="FFFF0000"/>
      <name val="Calibri"/>
      <family val="2"/>
      <scheme val="minor"/>
    </font>
    <font>
      <b/>
      <sz val="9"/>
      <color theme="1"/>
      <name val="Calibri"/>
      <family val="2"/>
      <scheme val="minor"/>
    </font>
    <font>
      <sz val="11"/>
      <name val="Calibri"/>
      <family val="2"/>
      <scheme val="minor"/>
    </font>
    <font>
      <b/>
      <sz val="10"/>
      <color theme="1"/>
      <name val="Calibri"/>
      <family val="2"/>
      <scheme val="minor"/>
    </font>
    <font>
      <sz val="10"/>
      <color theme="1"/>
      <name val="Calibri"/>
      <family val="2"/>
      <scheme val="minor"/>
    </font>
    <font>
      <sz val="11"/>
      <color theme="1"/>
      <name val="Calibri"/>
      <family val="2"/>
      <scheme val="minor"/>
    </font>
    <font>
      <sz val="9"/>
      <name val="Calibri"/>
      <family val="2"/>
      <scheme val="minor"/>
    </font>
    <font>
      <b/>
      <sz val="9"/>
      <name val="Calibri"/>
      <family val="2"/>
      <scheme val="minor"/>
    </font>
    <font>
      <b/>
      <u/>
      <sz val="9"/>
      <name val="Calibri"/>
      <family val="2"/>
      <scheme val="minor"/>
    </font>
    <font>
      <b/>
      <sz val="9"/>
      <color theme="0"/>
      <name val="Calibri"/>
      <family val="2"/>
      <scheme val="minor"/>
    </font>
    <font>
      <sz val="9"/>
      <color theme="0"/>
      <name val="Calibri"/>
      <family val="2"/>
      <scheme val="minor"/>
    </font>
    <font>
      <b/>
      <sz val="11"/>
      <name val="Calibri"/>
      <family val="2"/>
      <scheme val="minor"/>
    </font>
    <font>
      <sz val="9"/>
      <color rgb="FFFF0000"/>
      <name val="Calibri"/>
      <family val="2"/>
      <scheme val="minor"/>
    </font>
    <font>
      <i/>
      <sz val="9"/>
      <name val="Calibri"/>
      <family val="2"/>
      <scheme val="minor"/>
    </font>
    <font>
      <sz val="10"/>
      <color rgb="FFFF0000"/>
      <name val="Calibri"/>
      <family val="2"/>
      <scheme val="minor"/>
    </font>
    <font>
      <sz val="8"/>
      <name val="Calibri"/>
      <family val="2"/>
      <scheme val="minor"/>
    </font>
    <font>
      <sz val="9"/>
      <color theme="0" tint="-4.9989318521683403E-2"/>
      <name val="Calibri"/>
      <family val="2"/>
      <scheme val="minor"/>
    </font>
    <font>
      <b/>
      <sz val="10"/>
      <name val="Calibri"/>
      <family val="2"/>
      <scheme val="minor"/>
    </font>
    <font>
      <u/>
      <sz val="11"/>
      <color theme="10"/>
      <name val="Calibri"/>
      <family val="2"/>
      <scheme val="minor"/>
    </font>
  </fonts>
  <fills count="15">
    <fill>
      <patternFill patternType="none"/>
    </fill>
    <fill>
      <patternFill patternType="gray125"/>
    </fill>
    <fill>
      <patternFill patternType="solid">
        <fgColor rgb="FFFBD4B4"/>
        <bgColor indexed="64"/>
      </patternFill>
    </fill>
    <fill>
      <patternFill patternType="solid">
        <fgColor rgb="FFD6E3BC"/>
        <bgColor indexed="64"/>
      </patternFill>
    </fill>
    <fill>
      <patternFill patternType="solid">
        <fgColor rgb="FFFDE9D9"/>
        <bgColor indexed="64"/>
      </patternFill>
    </fill>
    <fill>
      <patternFill patternType="solid">
        <fgColor rgb="FFEAF1DD"/>
        <bgColor indexed="64"/>
      </patternFill>
    </fill>
    <fill>
      <patternFill patternType="solid">
        <fgColor theme="0"/>
        <bgColor indexed="64"/>
      </patternFill>
    </fill>
    <fill>
      <patternFill patternType="solid">
        <fgColor rgb="FFFFFFCC"/>
        <bgColor indexed="64"/>
      </patternFill>
    </fill>
    <fill>
      <patternFill patternType="solid">
        <fgColor rgb="FF002060"/>
        <bgColor indexed="64"/>
      </patternFill>
    </fill>
    <fill>
      <patternFill patternType="solid">
        <fgColor rgb="FFFFFF00"/>
        <bgColor indexed="64"/>
      </patternFill>
    </fill>
    <fill>
      <patternFill patternType="solid">
        <fgColor rgb="FF0070C0"/>
        <bgColor indexed="64"/>
      </patternFill>
    </fill>
    <fill>
      <patternFill patternType="solid">
        <fgColor rgb="FFFF66CC"/>
        <bgColor indexed="64"/>
      </patternFill>
    </fill>
    <fill>
      <patternFill patternType="solid">
        <fgColor rgb="FF00B0F0"/>
        <bgColor indexed="64"/>
      </patternFill>
    </fill>
    <fill>
      <patternFill patternType="solid">
        <fgColor rgb="FFFFC000"/>
        <bgColor indexed="64"/>
      </patternFill>
    </fill>
    <fill>
      <patternFill patternType="solid">
        <fgColor rgb="FFFF0000"/>
        <bgColor indexed="64"/>
      </patternFill>
    </fill>
  </fills>
  <borders count="2">
    <border>
      <left/>
      <right/>
      <top/>
      <bottom/>
      <diagonal/>
    </border>
    <border>
      <left/>
      <right/>
      <top/>
      <bottom style="medium">
        <color indexed="64"/>
      </bottom>
      <diagonal/>
    </border>
  </borders>
  <cellStyleXfs count="5">
    <xf numFmtId="169" fontId="0" fillId="0" borderId="0"/>
    <xf numFmtId="43" fontId="10"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169" fontId="23" fillId="0" borderId="0" applyNumberFormat="0" applyFill="0" applyBorder="0" applyAlignment="0" applyProtection="0"/>
  </cellStyleXfs>
  <cellXfs count="161">
    <xf numFmtId="169" fontId="0" fillId="0" borderId="0" xfId="0"/>
    <xf numFmtId="169" fontId="1" fillId="0" borderId="0" xfId="0" applyFont="1"/>
    <xf numFmtId="169" fontId="2" fillId="2" borderId="0" xfId="0" applyFont="1" applyFill="1" applyAlignment="1">
      <alignment horizontal="center" wrapText="1"/>
    </xf>
    <xf numFmtId="169" fontId="2" fillId="2" borderId="0" xfId="0" applyFont="1" applyFill="1" applyAlignment="1">
      <alignment horizontal="right" wrapText="1"/>
    </xf>
    <xf numFmtId="169" fontId="1" fillId="0" borderId="0" xfId="0" applyFont="1" applyAlignment="1">
      <alignment wrapText="1"/>
    </xf>
    <xf numFmtId="169" fontId="1" fillId="3" borderId="0" xfId="0" applyFont="1" applyFill="1" applyAlignment="1">
      <alignment wrapText="1"/>
    </xf>
    <xf numFmtId="169" fontId="2" fillId="3" borderId="0" xfId="0" applyFont="1" applyFill="1" applyAlignment="1">
      <alignment horizontal="center" wrapText="1"/>
    </xf>
    <xf numFmtId="169" fontId="3" fillId="4" borderId="0" xfId="0" applyFont="1" applyFill="1" applyAlignment="1">
      <alignment wrapText="1"/>
    </xf>
    <xf numFmtId="169" fontId="3" fillId="5" borderId="0" xfId="0" applyFont="1" applyFill="1" applyAlignment="1">
      <alignment wrapText="1"/>
    </xf>
    <xf numFmtId="21" fontId="3" fillId="5" borderId="0" xfId="0" applyNumberFormat="1" applyFont="1" applyFill="1" applyAlignment="1">
      <alignment horizontal="right" wrapText="1"/>
    </xf>
    <xf numFmtId="9" fontId="3" fillId="0" borderId="0" xfId="0" applyNumberFormat="1" applyFont="1" applyAlignment="1">
      <alignment horizontal="right" wrapText="1"/>
    </xf>
    <xf numFmtId="169" fontId="2" fillId="0" borderId="0" xfId="0" applyFont="1" applyAlignment="1">
      <alignment wrapText="1"/>
    </xf>
    <xf numFmtId="165" fontId="1" fillId="0" borderId="0" xfId="0" applyNumberFormat="1" applyFont="1"/>
    <xf numFmtId="169" fontId="4" fillId="0" borderId="0" xfId="0" applyFont="1"/>
    <xf numFmtId="169" fontId="6" fillId="0" borderId="0" xfId="0" applyFont="1" applyAlignment="1">
      <alignment wrapText="1"/>
    </xf>
    <xf numFmtId="169" fontId="7" fillId="0" borderId="0" xfId="0" applyFont="1"/>
    <xf numFmtId="169" fontId="6" fillId="2" borderId="0" xfId="0" applyFont="1" applyFill="1" applyAlignment="1">
      <alignment wrapText="1"/>
    </xf>
    <xf numFmtId="169" fontId="6" fillId="3" borderId="0" xfId="0" applyFont="1" applyFill="1" applyAlignment="1">
      <alignment wrapText="1"/>
    </xf>
    <xf numFmtId="43" fontId="3" fillId="0" borderId="0" xfId="1" applyFont="1" applyBorder="1" applyAlignment="1">
      <alignment horizontal="right" wrapText="1"/>
    </xf>
    <xf numFmtId="43" fontId="1" fillId="0" borderId="0" xfId="1" applyFont="1" applyBorder="1"/>
    <xf numFmtId="166" fontId="2" fillId="0" borderId="0" xfId="1" applyNumberFormat="1" applyFont="1" applyFill="1" applyBorder="1" applyAlignment="1">
      <alignment wrapText="1"/>
    </xf>
    <xf numFmtId="166" fontId="1" fillId="0" borderId="0" xfId="1" applyNumberFormat="1" applyFont="1" applyFill="1" applyBorder="1"/>
    <xf numFmtId="167" fontId="1" fillId="0" borderId="0" xfId="1" applyNumberFormat="1" applyFont="1" applyBorder="1"/>
    <xf numFmtId="169" fontId="1" fillId="6" borderId="0" xfId="0" applyFont="1" applyFill="1"/>
    <xf numFmtId="168" fontId="1" fillId="6" borderId="0" xfId="0" applyNumberFormat="1" applyFont="1" applyFill="1"/>
    <xf numFmtId="169" fontId="11" fillId="0" borderId="0" xfId="0" applyFont="1" applyAlignment="1">
      <alignment vertical="center"/>
    </xf>
    <xf numFmtId="169" fontId="12" fillId="0" borderId="0" xfId="0" applyFont="1" applyAlignment="1">
      <alignment vertical="center"/>
    </xf>
    <xf numFmtId="169" fontId="2" fillId="0" borderId="0" xfId="0" applyFont="1" applyAlignment="1">
      <alignment horizontal="left" wrapText="1"/>
    </xf>
    <xf numFmtId="169" fontId="8" fillId="6" borderId="0" xfId="0" applyFont="1" applyFill="1" applyAlignment="1">
      <alignment horizontal="center"/>
    </xf>
    <xf numFmtId="168" fontId="8" fillId="6" borderId="0" xfId="0" applyNumberFormat="1" applyFont="1" applyFill="1" applyAlignment="1">
      <alignment horizontal="center"/>
    </xf>
    <xf numFmtId="169" fontId="8" fillId="7" borderId="0" xfId="0" applyFont="1" applyFill="1" applyAlignment="1">
      <alignment horizontal="center"/>
    </xf>
    <xf numFmtId="2" fontId="9" fillId="7" borderId="0" xfId="0" applyNumberFormat="1" applyFont="1" applyFill="1" applyAlignment="1">
      <alignment horizontal="center"/>
    </xf>
    <xf numFmtId="169" fontId="13" fillId="0" borderId="0" xfId="0" applyFont="1" applyAlignment="1">
      <alignment vertical="center"/>
    </xf>
    <xf numFmtId="169" fontId="8" fillId="0" borderId="0" xfId="0" applyFont="1" applyAlignment="1">
      <alignment horizontal="center"/>
    </xf>
    <xf numFmtId="169" fontId="1" fillId="0" borderId="0" xfId="0" applyFont="1" applyAlignment="1">
      <alignment horizontal="center"/>
    </xf>
    <xf numFmtId="169" fontId="6" fillId="0" borderId="0" xfId="0" applyFont="1"/>
    <xf numFmtId="1" fontId="8" fillId="6" borderId="0" xfId="0" applyNumberFormat="1" applyFont="1" applyFill="1" applyAlignment="1">
      <alignment horizontal="left" vertical="top"/>
    </xf>
    <xf numFmtId="2" fontId="1" fillId="0" borderId="0" xfId="0" applyNumberFormat="1" applyFont="1"/>
    <xf numFmtId="169" fontId="14" fillId="8" borderId="0" xfId="0" applyFont="1" applyFill="1" applyAlignment="1">
      <alignment wrapText="1"/>
    </xf>
    <xf numFmtId="167" fontId="14" fillId="8" borderId="0" xfId="1" applyNumberFormat="1" applyFont="1" applyFill="1" applyBorder="1" applyAlignment="1">
      <alignment wrapText="1"/>
    </xf>
    <xf numFmtId="43" fontId="3" fillId="0" borderId="0" xfId="1" applyFont="1" applyFill="1" applyBorder="1" applyAlignment="1">
      <alignment horizontal="right" wrapText="1"/>
    </xf>
    <xf numFmtId="169" fontId="9" fillId="0" borderId="0" xfId="0" applyFont="1"/>
    <xf numFmtId="43" fontId="9" fillId="0" borderId="0" xfId="1" applyFont="1"/>
    <xf numFmtId="169" fontId="8" fillId="0" borderId="0" xfId="0" applyFont="1"/>
    <xf numFmtId="43" fontId="8" fillId="0" borderId="0" xfId="1" applyFont="1"/>
    <xf numFmtId="169" fontId="8" fillId="0" borderId="0" xfId="0" applyFont="1" applyAlignment="1">
      <alignment horizontal="right"/>
    </xf>
    <xf numFmtId="169" fontId="12" fillId="0" borderId="0" xfId="0" applyFont="1"/>
    <xf numFmtId="43" fontId="12" fillId="0" borderId="0" xfId="0" applyNumberFormat="1" applyFont="1"/>
    <xf numFmtId="169" fontId="16" fillId="0" borderId="0" xfId="0" applyFont="1"/>
    <xf numFmtId="169" fontId="15" fillId="10" borderId="0" xfId="0" applyFont="1" applyFill="1" applyAlignment="1">
      <alignment wrapText="1"/>
    </xf>
    <xf numFmtId="2" fontId="15" fillId="10" borderId="0" xfId="0" applyNumberFormat="1" applyFont="1" applyFill="1" applyAlignment="1">
      <alignment horizontal="right" wrapText="1"/>
    </xf>
    <xf numFmtId="21" fontId="15" fillId="10" borderId="0" xfId="0" applyNumberFormat="1" applyFont="1" applyFill="1" applyAlignment="1">
      <alignment horizontal="right" wrapText="1"/>
    </xf>
    <xf numFmtId="167" fontId="15" fillId="10" borderId="0" xfId="1" applyNumberFormat="1" applyFont="1" applyFill="1" applyBorder="1" applyAlignment="1">
      <alignment horizontal="right" wrapText="1"/>
    </xf>
    <xf numFmtId="169" fontId="12" fillId="0" borderId="0" xfId="0" quotePrefix="1" applyFont="1"/>
    <xf numFmtId="169" fontId="14" fillId="8" borderId="0" xfId="0" applyFont="1" applyFill="1" applyAlignment="1">
      <alignment horizontal="center" vertical="center" wrapText="1"/>
    </xf>
    <xf numFmtId="169" fontId="11" fillId="0" borderId="0" xfId="0" applyFont="1"/>
    <xf numFmtId="169" fontId="5" fillId="0" borderId="0" xfId="0" applyFont="1"/>
    <xf numFmtId="169" fontId="12" fillId="9" borderId="0" xfId="0" applyFont="1" applyFill="1"/>
    <xf numFmtId="169" fontId="15" fillId="10" borderId="0" xfId="0" applyFont="1" applyFill="1" applyAlignment="1">
      <alignment horizontal="right" wrapText="1"/>
    </xf>
    <xf numFmtId="169" fontId="11" fillId="4" borderId="0" xfId="0" applyFont="1" applyFill="1" applyAlignment="1">
      <alignment wrapText="1"/>
    </xf>
    <xf numFmtId="169" fontId="11" fillId="0" borderId="0" xfId="0" applyFont="1" applyAlignment="1">
      <alignment wrapText="1"/>
    </xf>
    <xf numFmtId="169" fontId="11" fillId="5" borderId="0" xfId="0" applyFont="1" applyFill="1" applyAlignment="1">
      <alignment wrapText="1"/>
    </xf>
    <xf numFmtId="21" fontId="11" fillId="5" borderId="0" xfId="0" applyNumberFormat="1" applyFont="1" applyFill="1" applyAlignment="1">
      <alignment horizontal="right" wrapText="1"/>
    </xf>
    <xf numFmtId="166" fontId="1" fillId="0" borderId="0" xfId="1" applyNumberFormat="1" applyFont="1" applyBorder="1" applyAlignment="1">
      <alignment wrapText="1"/>
    </xf>
    <xf numFmtId="2" fontId="1" fillId="0" borderId="0" xfId="0" applyNumberFormat="1" applyFont="1" applyAlignment="1">
      <alignment wrapText="1"/>
    </xf>
    <xf numFmtId="168" fontId="1" fillId="0" borderId="0" xfId="0" applyNumberFormat="1" applyFont="1" applyAlignment="1">
      <alignment wrapText="1"/>
    </xf>
    <xf numFmtId="170" fontId="1" fillId="0" borderId="0" xfId="1" applyNumberFormat="1" applyFont="1" applyBorder="1"/>
    <xf numFmtId="169" fontId="18" fillId="0" borderId="0" xfId="0" applyFont="1" applyAlignment="1">
      <alignment vertical="center"/>
    </xf>
    <xf numFmtId="167" fontId="9" fillId="7" borderId="0" xfId="1" applyNumberFormat="1" applyFont="1" applyFill="1" applyBorder="1" applyAlignment="1">
      <alignment horizontal="center"/>
    </xf>
    <xf numFmtId="21" fontId="11" fillId="0" borderId="0" xfId="0" applyNumberFormat="1" applyFont="1" applyAlignment="1">
      <alignment horizontal="right" wrapText="1"/>
    </xf>
    <xf numFmtId="1" fontId="8" fillId="9" borderId="0" xfId="0" applyNumberFormat="1" applyFont="1" applyFill="1" applyAlignment="1">
      <alignment horizontal="left" vertical="top"/>
    </xf>
    <xf numFmtId="169" fontId="11" fillId="9" borderId="0" xfId="0" applyFont="1" applyFill="1" applyAlignment="1">
      <alignment vertical="center"/>
    </xf>
    <xf numFmtId="169" fontId="0" fillId="9" borderId="0" xfId="0" applyFill="1"/>
    <xf numFmtId="1" fontId="14" fillId="8" borderId="0" xfId="0" applyNumberFormat="1" applyFont="1" applyFill="1" applyAlignment="1">
      <alignment wrapText="1"/>
    </xf>
    <xf numFmtId="1" fontId="15" fillId="10" borderId="0" xfId="0" applyNumberFormat="1" applyFont="1" applyFill="1" applyAlignment="1">
      <alignment horizontal="right" wrapText="1"/>
    </xf>
    <xf numFmtId="1" fontId="1" fillId="0" borderId="0" xfId="0" applyNumberFormat="1" applyFont="1"/>
    <xf numFmtId="1" fontId="2" fillId="0" borderId="0" xfId="0" applyNumberFormat="1" applyFont="1" applyAlignment="1">
      <alignment wrapText="1"/>
    </xf>
    <xf numFmtId="1" fontId="1" fillId="0" borderId="0" xfId="0" applyNumberFormat="1" applyFont="1" applyAlignment="1">
      <alignment horizontal="right" wrapText="1"/>
    </xf>
    <xf numFmtId="1" fontId="8" fillId="6" borderId="0" xfId="0" applyNumberFormat="1" applyFont="1" applyFill="1" applyAlignment="1">
      <alignment horizontal="center"/>
    </xf>
    <xf numFmtId="1" fontId="8" fillId="7" borderId="0" xfId="0" applyNumberFormat="1" applyFont="1" applyFill="1" applyAlignment="1">
      <alignment horizontal="center"/>
    </xf>
    <xf numFmtId="1" fontId="1" fillId="6" borderId="0" xfId="0" applyNumberFormat="1" applyFont="1" applyFill="1"/>
    <xf numFmtId="1" fontId="8" fillId="0" borderId="0" xfId="0" applyNumberFormat="1" applyFont="1" applyAlignment="1">
      <alignment horizontal="center"/>
    </xf>
    <xf numFmtId="1" fontId="6" fillId="0" borderId="0" xfId="0" applyNumberFormat="1" applyFont="1" applyAlignment="1">
      <alignment horizontal="center"/>
    </xf>
    <xf numFmtId="1" fontId="8" fillId="0" borderId="0" xfId="0" applyNumberFormat="1" applyFont="1"/>
    <xf numFmtId="1" fontId="9" fillId="0" borderId="0" xfId="0" applyNumberFormat="1" applyFont="1"/>
    <xf numFmtId="1" fontId="12" fillId="0" borderId="0" xfId="0" applyNumberFormat="1" applyFont="1"/>
    <xf numFmtId="168" fontId="3" fillId="4" borderId="0" xfId="0" applyNumberFormat="1" applyFont="1" applyFill="1" applyAlignment="1">
      <alignment horizontal="right" wrapText="1"/>
    </xf>
    <xf numFmtId="168" fontId="11" fillId="4" borderId="0" xfId="0" applyNumberFormat="1" applyFont="1" applyFill="1" applyAlignment="1">
      <alignment horizontal="right" wrapText="1"/>
    </xf>
    <xf numFmtId="168" fontId="3" fillId="5" borderId="0" xfId="0" applyNumberFormat="1" applyFont="1" applyFill="1" applyAlignment="1">
      <alignment horizontal="right" wrapText="1"/>
    </xf>
    <xf numFmtId="168" fontId="11" fillId="5" borderId="0" xfId="0" applyNumberFormat="1" applyFont="1" applyFill="1" applyAlignment="1">
      <alignment horizontal="right" wrapText="1"/>
    </xf>
    <xf numFmtId="168" fontId="2" fillId="2" borderId="0" xfId="0" applyNumberFormat="1" applyFont="1" applyFill="1" applyAlignment="1">
      <alignment horizontal="right" wrapText="1"/>
    </xf>
    <xf numFmtId="168" fontId="1" fillId="0" borderId="0" xfId="0" applyNumberFormat="1" applyFont="1"/>
    <xf numFmtId="168" fontId="1" fillId="3" borderId="0" xfId="0" applyNumberFormat="1" applyFont="1" applyFill="1" applyAlignment="1">
      <alignment wrapText="1"/>
    </xf>
    <xf numFmtId="168" fontId="11" fillId="0" borderId="0" xfId="0" applyNumberFormat="1" applyFont="1"/>
    <xf numFmtId="1" fontId="3" fillId="4" borderId="0" xfId="0" applyNumberFormat="1" applyFont="1" applyFill="1" applyAlignment="1">
      <alignment horizontal="right" wrapText="1"/>
    </xf>
    <xf numFmtId="1" fontId="11" fillId="4" borderId="0" xfId="0" applyNumberFormat="1" applyFont="1" applyFill="1" applyAlignment="1">
      <alignment horizontal="right" wrapText="1"/>
    </xf>
    <xf numFmtId="43" fontId="2" fillId="0" borderId="0" xfId="1" applyFont="1" applyBorder="1" applyAlignment="1">
      <alignment horizontal="center" vertical="center" wrapText="1"/>
    </xf>
    <xf numFmtId="43" fontId="11" fillId="0" borderId="0" xfId="1" applyFont="1" applyFill="1"/>
    <xf numFmtId="169" fontId="14" fillId="8" borderId="0" xfId="0" applyFont="1" applyFill="1" applyAlignment="1">
      <alignment horizontal="center" wrapText="1"/>
    </xf>
    <xf numFmtId="169" fontId="17" fillId="9" borderId="0" xfId="0" applyFont="1" applyFill="1" applyAlignment="1">
      <alignment horizontal="left" wrapText="1"/>
    </xf>
    <xf numFmtId="1" fontId="12" fillId="0" borderId="0" xfId="0" applyNumberFormat="1" applyFont="1" applyAlignment="1">
      <alignment horizontal="right"/>
    </xf>
    <xf numFmtId="169" fontId="17" fillId="0" borderId="0" xfId="0" applyFont="1"/>
    <xf numFmtId="43" fontId="1" fillId="0" borderId="0" xfId="1" applyFont="1" applyFill="1" applyBorder="1"/>
    <xf numFmtId="167" fontId="7" fillId="0" borderId="0" xfId="1" applyNumberFormat="1" applyFont="1"/>
    <xf numFmtId="0" fontId="0" fillId="0" borderId="0" xfId="0" applyNumberFormat="1"/>
    <xf numFmtId="0" fontId="4" fillId="0" borderId="0" xfId="0" applyNumberFormat="1" applyFont="1"/>
    <xf numFmtId="0" fontId="0" fillId="0" borderId="0" xfId="0" quotePrefix="1" applyNumberFormat="1"/>
    <xf numFmtId="0" fontId="11" fillId="0" borderId="0" xfId="0" applyNumberFormat="1" applyFont="1"/>
    <xf numFmtId="0" fontId="12" fillId="0" borderId="0" xfId="0" applyNumberFormat="1" applyFont="1"/>
    <xf numFmtId="0" fontId="11" fillId="9" borderId="0" xfId="0" applyNumberFormat="1" applyFont="1" applyFill="1"/>
    <xf numFmtId="0" fontId="7" fillId="0" borderId="0" xfId="0" applyNumberFormat="1" applyFont="1"/>
    <xf numFmtId="43" fontId="4" fillId="0" borderId="0" xfId="1" applyFont="1"/>
    <xf numFmtId="43" fontId="0" fillId="0" borderId="0" xfId="1" applyFont="1"/>
    <xf numFmtId="2" fontId="3" fillId="5" borderId="0" xfId="0" applyNumberFormat="1" applyFont="1" applyFill="1" applyAlignment="1">
      <alignment horizontal="right" wrapText="1"/>
    </xf>
    <xf numFmtId="169" fontId="12" fillId="9" borderId="0" xfId="0" applyFont="1" applyFill="1" applyAlignment="1">
      <alignment vertical="center"/>
    </xf>
    <xf numFmtId="167" fontId="1" fillId="0" borderId="0" xfId="1" applyNumberFormat="1" applyFont="1" applyFill="1" applyBorder="1"/>
    <xf numFmtId="167" fontId="1" fillId="0" borderId="0" xfId="1" applyNumberFormat="1" applyFont="1" applyFill="1"/>
    <xf numFmtId="169" fontId="1" fillId="0" borderId="0" xfId="0" quotePrefix="1" applyFont="1"/>
    <xf numFmtId="169" fontId="1" fillId="11" borderId="0" xfId="0" quotePrefix="1" applyFont="1" applyFill="1"/>
    <xf numFmtId="169" fontId="1" fillId="11" borderId="0" xfId="0" applyFont="1" applyFill="1"/>
    <xf numFmtId="169" fontId="1" fillId="12" borderId="0" xfId="0" applyFont="1" applyFill="1"/>
    <xf numFmtId="168" fontId="1" fillId="12" borderId="0" xfId="0" applyNumberFormat="1" applyFont="1" applyFill="1"/>
    <xf numFmtId="169" fontId="6" fillId="11" borderId="1" xfId="0" quotePrefix="1" applyFont="1" applyFill="1" applyBorder="1"/>
    <xf numFmtId="168" fontId="6" fillId="12" borderId="1" xfId="0" quotePrefix="1" applyNumberFormat="1" applyFont="1" applyFill="1" applyBorder="1"/>
    <xf numFmtId="169" fontId="17" fillId="9" borderId="0" xfId="0" applyFont="1" applyFill="1" applyAlignment="1">
      <alignment horizontal="right" wrapText="1"/>
    </xf>
    <xf numFmtId="169" fontId="11" fillId="9" borderId="0" xfId="0" applyFont="1" applyFill="1"/>
    <xf numFmtId="43" fontId="17" fillId="0" borderId="0" xfId="1" applyFont="1" applyFill="1"/>
    <xf numFmtId="1" fontId="19" fillId="9" borderId="0" xfId="0" applyNumberFormat="1" applyFont="1" applyFill="1"/>
    <xf numFmtId="169" fontId="19" fillId="9" borderId="0" xfId="0" applyFont="1" applyFill="1"/>
    <xf numFmtId="43" fontId="1" fillId="0" borderId="0" xfId="1" applyFont="1" applyFill="1" applyBorder="1" applyAlignment="1">
      <alignment horizontal="center"/>
    </xf>
    <xf numFmtId="10" fontId="1" fillId="0" borderId="0" xfId="3" applyNumberFormat="1" applyFont="1" applyFill="1"/>
    <xf numFmtId="169" fontId="21" fillId="10" borderId="0" xfId="0" applyFont="1" applyFill="1" applyAlignment="1">
      <alignment wrapText="1"/>
    </xf>
    <xf numFmtId="169" fontId="15" fillId="13" borderId="0" xfId="0" applyFont="1" applyFill="1" applyAlignment="1">
      <alignment wrapText="1"/>
    </xf>
    <xf numFmtId="169" fontId="1" fillId="13" borderId="0" xfId="0" applyFont="1" applyFill="1"/>
    <xf numFmtId="1" fontId="15" fillId="13" borderId="0" xfId="0" applyNumberFormat="1" applyFont="1" applyFill="1" applyAlignment="1">
      <alignment horizontal="right" wrapText="1"/>
    </xf>
    <xf numFmtId="2" fontId="15" fillId="13" borderId="0" xfId="0" applyNumberFormat="1" applyFont="1" applyFill="1" applyAlignment="1">
      <alignment horizontal="right" wrapText="1"/>
    </xf>
    <xf numFmtId="21" fontId="15" fillId="13" borderId="0" xfId="0" applyNumberFormat="1" applyFont="1" applyFill="1" applyAlignment="1">
      <alignment horizontal="right" wrapText="1"/>
    </xf>
    <xf numFmtId="21" fontId="11" fillId="13" borderId="0" xfId="0" applyNumberFormat="1" applyFont="1" applyFill="1" applyAlignment="1">
      <alignment horizontal="right" wrapText="1"/>
    </xf>
    <xf numFmtId="167" fontId="15" fillId="13" borderId="0" xfId="1" applyNumberFormat="1" applyFont="1" applyFill="1" applyBorder="1" applyAlignment="1">
      <alignment horizontal="right" wrapText="1"/>
    </xf>
    <xf numFmtId="165" fontId="1" fillId="13" borderId="0" xfId="0" applyNumberFormat="1" applyFont="1" applyFill="1"/>
    <xf numFmtId="2" fontId="1" fillId="13" borderId="0" xfId="0" applyNumberFormat="1" applyFont="1" applyFill="1"/>
    <xf numFmtId="169" fontId="17" fillId="13" borderId="0" xfId="0" applyFont="1" applyFill="1" applyAlignment="1">
      <alignment horizontal="right" wrapText="1"/>
    </xf>
    <xf numFmtId="9" fontId="3" fillId="13" borderId="0" xfId="0" applyNumberFormat="1" applyFont="1" applyFill="1" applyAlignment="1">
      <alignment horizontal="right" wrapText="1"/>
    </xf>
    <xf numFmtId="43" fontId="3" fillId="13" borderId="0" xfId="1" applyFont="1" applyFill="1" applyBorder="1" applyAlignment="1">
      <alignment horizontal="right" wrapText="1"/>
    </xf>
    <xf numFmtId="166" fontId="1" fillId="13" borderId="0" xfId="1" applyNumberFormat="1" applyFont="1" applyFill="1" applyBorder="1"/>
    <xf numFmtId="169" fontId="15" fillId="13" borderId="0" xfId="0" applyFont="1" applyFill="1" applyAlignment="1">
      <alignment horizontal="right" wrapText="1"/>
    </xf>
    <xf numFmtId="1" fontId="1" fillId="13" borderId="0" xfId="0" applyNumberFormat="1" applyFont="1" applyFill="1" applyAlignment="1">
      <alignment horizontal="right" wrapText="1"/>
    </xf>
    <xf numFmtId="167" fontId="1" fillId="13" borderId="0" xfId="1" applyNumberFormat="1" applyFont="1" applyFill="1" applyBorder="1"/>
    <xf numFmtId="169" fontId="11" fillId="14" borderId="0" xfId="0" applyFont="1" applyFill="1"/>
    <xf numFmtId="43" fontId="11" fillId="14" borderId="0" xfId="1" applyFont="1" applyFill="1"/>
    <xf numFmtId="43" fontId="17" fillId="14" borderId="0" xfId="1" applyFont="1" applyFill="1"/>
    <xf numFmtId="169" fontId="13" fillId="13" borderId="0" xfId="0" applyFont="1" applyFill="1" applyAlignment="1">
      <alignment vertical="center"/>
    </xf>
    <xf numFmtId="166" fontId="1" fillId="0" borderId="0" xfId="1" applyNumberFormat="1" applyFont="1"/>
    <xf numFmtId="0" fontId="0" fillId="0" borderId="0" xfId="0" pivotButton="1" applyNumberFormat="1"/>
    <xf numFmtId="169" fontId="0" fillId="0" borderId="0" xfId="0" pivotButton="1"/>
    <xf numFmtId="169" fontId="0" fillId="0" borderId="0" xfId="0" applyAlignment="1">
      <alignment horizontal="left"/>
    </xf>
    <xf numFmtId="166" fontId="1" fillId="13" borderId="0" xfId="1" applyNumberFormat="1" applyFont="1" applyFill="1"/>
    <xf numFmtId="169" fontId="22" fillId="7" borderId="0" xfId="0" applyFont="1" applyFill="1" applyAlignment="1">
      <alignment horizontal="center"/>
    </xf>
    <xf numFmtId="0" fontId="1" fillId="0" borderId="0" xfId="0" applyNumberFormat="1" applyFont="1"/>
    <xf numFmtId="169" fontId="23" fillId="0" borderId="0" xfId="4"/>
    <xf numFmtId="43" fontId="1" fillId="0" borderId="0" xfId="1" applyFont="1" applyAlignment="1">
      <alignment horizontal="center"/>
    </xf>
  </cellXfs>
  <cellStyles count="5">
    <cellStyle name="Comma" xfId="1" builtinId="3"/>
    <cellStyle name="Comma 2" xfId="2" xr:uid="{00000000-0005-0000-0000-000001000000}"/>
    <cellStyle name="Hyperlink" xfId="4" builtinId="8"/>
    <cellStyle name="Normal" xfId="0" builtinId="0"/>
    <cellStyle name="Percent" xfId="3" builtinId="5"/>
  </cellStyles>
  <dxfs count="10">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colors>
    <mruColors>
      <color rgb="FFFF66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5041.47033113426" createdVersion="6" refreshedVersion="8" minRefreshableVersion="3" recordCount="1270" xr:uid="{3541B33A-9827-422E-B362-2633461A7981}">
  <cacheSource type="worksheet">
    <worksheetSource ref="A1:Z1048576" sheet="Data"/>
  </cacheSource>
  <cacheFields count="26">
    <cacheField name="Nume" numFmtId="169">
      <sharedItems containsBlank="1" count="123">
        <s v="Florian Micu"/>
        <s v="Varga Csaba"/>
        <s v="Cornelia Cristea"/>
        <s v="Florin Gheorghita"/>
        <s v="Cristi Borcan"/>
        <s v="Adrian Tone"/>
        <s v="Scarlat Ioana Bianca"/>
        <s v="Cristea Ionut"/>
        <s v="Vesa Marek"/>
        <s v="Bogdan Olariu"/>
        <s v="Costin Petcu"/>
        <s v="Ioan Paraschiv"/>
        <s v="Ionut Rece"/>
        <s v="Daniel Fifi-nescu"/>
        <s v="Teodora Nadrag"/>
        <s v="Dolores Panait"/>
        <s v="Ana Maria Calin"/>
        <s v="Vladea Rachieru"/>
        <s v="Radu Budan"/>
        <s v="Bogdan Gabor"/>
        <s v="Mariana Ciuraru"/>
        <s v="Ovidiu Gavrilovici"/>
        <s v="Adriana Ionascu Dinu"/>
        <s v="Catalin Holban"/>
        <s v="Marian Ulita"/>
        <s v="Alin Rusu"/>
        <s v="Oana Alexandra"/>
        <s v="Alin Darius"/>
        <s v="George Dinu"/>
        <s v="Lidia Stefania Nitu "/>
        <s v="Bogdan Tala"/>
        <s v="Stefan Lihaciu"/>
        <s v="Andrei Savu"/>
        <s v="Cosmin Gavagiuc"/>
        <s v="Gyűjtő Robi"/>
        <s v="Doina Dorina Casaru"/>
        <s v="Gurex Best"/>
        <s v="Andrei Nagy"/>
        <s v="Gina Badescu"/>
        <s v="Mirea Gabriel Umberto"/>
        <s v="Ionut Catana"/>
        <s v="Adrian Budaca"/>
        <s v="Dan Spataru"/>
        <s v="Cristian Iancu"/>
        <s v="Viorel Tabara"/>
        <s v="Marica Cristina"/>
        <s v="Steven White"/>
        <s v="Florian Nastase"/>
        <s v="Razvan Farkas"/>
        <s v="Panainte Florin"/>
        <s v="Marius Bercea"/>
        <s v="Magda Neagu"/>
        <s v="Adrian Ivan"/>
        <s v="Catalin Stanescu"/>
        <s v="Silvia Medinschi"/>
        <s v="Cristian Seretan"/>
        <s v="Maria Mihalache"/>
        <s v="Ifrim Gheorghe"/>
        <s v="Vasi Minzatu"/>
        <s v="Vali Echipmont"/>
        <s v="Danciu Alin Stelian"/>
        <s v="Constandan Cornelius"/>
        <s v="Alin Anastasoaie "/>
        <s v="George Pascu"/>
        <s v="Ionut Bogdan Bledea"/>
        <s v="Peter Simona"/>
        <s v="Oana Dadalica"/>
        <s v="Alex Paraschiv"/>
        <s v="Mira Andreea"/>
        <s v="Florin Zaharia"/>
        <s v="Galia Stainfeld"/>
        <s v="Cornel Neagu"/>
        <s v="Aly Nao"/>
        <s v="Liliana Ciobanu"/>
        <s v="Visan Cristina Stefania"/>
        <s v="Codruta Holban"/>
        <s v="Ramona Matica"/>
        <s v="Amalia Florentina Ardeleanu"/>
        <s v="Codrin Constantin"/>
        <s v="Mariana Nasaudean"/>
        <s v="Bogdan Dranceanu"/>
        <s v="Adrian Branescu"/>
        <s v="Valenky Opris"/>
        <s v="Alin Ionita"/>
        <s v="Mircea Dominte"/>
        <s v="Robert Herman"/>
        <s v="Oana Solomon"/>
        <s v="Robert Hajnal"/>
        <s v="Bogdan Nicolae Vladu"/>
        <s v="Greculeasa Madalin "/>
        <s v="Postaru Andrei"/>
        <s v="Cosmin Constantin Popa"/>
        <s v="Misha Vasilescu"/>
        <s v="Paul Ovidiu"/>
        <s v="Andreea Izabela"/>
        <s v="Flo Dum"/>
        <s v="Oana Trif"/>
        <s v="Mihaela Michelle"/>
        <s v="Amelia Diaconescu"/>
        <s v="Alexandra N Dragomir"/>
        <s v="Narcis Marian"/>
        <s v="Iulian Vimp"/>
        <s v="Stefan Adrian Pomarac"/>
        <s v="Rusu Razvan"/>
        <s v="Maria Mocanu Ghinitoiu"/>
        <s v="Bogdan Cap"/>
        <s v="Alina Delia Ozcelik"/>
        <s v="Vali Munteanu"/>
        <s v="Dinu Turcanu"/>
        <s v="Mihai Gabriel Rohozneanu"/>
        <s v="Nicoleta Gonta"/>
        <s v="Rhoni Panait"/>
        <s v="Florin Chirilus"/>
        <s v="Ciprian Gurau"/>
        <s v="Scrofan Catalin"/>
        <s v="Stefan Tibi"/>
        <s v="Julian Pipin"/>
        <s v="Iulian Pop"/>
        <s v="Red John"/>
        <s v="Myra Cristina"/>
        <s v="Serban Tir"/>
        <s v="Iulian Nedelcu"/>
        <m/>
      </sharedItems>
    </cacheField>
    <cacheField name="M/F" numFmtId="169">
      <sharedItems containsBlank="1"/>
    </cacheField>
    <cacheField name="Etapa" numFmtId="1">
      <sharedItems containsString="0" containsBlank="1" containsNumber="1" containsInteger="1" minValue="1" maxValue="15"/>
    </cacheField>
    <cacheField name="Distanta" numFmtId="0">
      <sharedItems containsString="0" containsBlank="1" containsNumber="1" minValue="0" maxValue="245.61"/>
    </cacheField>
    <cacheField name="Moving time" numFmtId="0">
      <sharedItems containsNonDate="0" containsDate="1" containsString="0" containsBlank="1" minDate="1899-12-30T00:00:00" maxDate="1899-12-30T23:38:02"/>
    </cacheField>
    <cacheField name="Elapsed time" numFmtId="0">
      <sharedItems containsDate="1" containsBlank="1" containsMixedTypes="1" minDate="1899-12-30T00:00:00" maxDate="1900-01-01T00:00:00"/>
    </cacheField>
    <cacheField name="Timp" numFmtId="0">
      <sharedItems containsDate="1" containsBlank="1" containsMixedTypes="1" minDate="1899-12-30T00:00:00" maxDate="1899-12-30T23:49:01"/>
    </cacheField>
    <cacheField name="Elevatie" numFmtId="167">
      <sharedItems containsString="0" containsBlank="1" containsNumber="1" containsInteger="1" minValue="0" maxValue="2876"/>
    </cacheField>
    <cacheField name="Viteza" numFmtId="0">
      <sharedItems containsDate="1" containsBlank="1" containsMixedTypes="1" minDate="1899-12-30T00:00:00" maxDate="1899-12-30T04:14:43"/>
    </cacheField>
    <cacheField name="Pct distanta" numFmtId="0">
      <sharedItems containsBlank="1" containsMixedTypes="1" containsNumber="1" minValue="0" maxValue="5"/>
    </cacheField>
    <cacheField name="Pct viteza" numFmtId="0">
      <sharedItems containsBlank="1" containsMixedTypes="1" containsNumber="1" minValue="0" maxValue="5"/>
    </cacheField>
    <cacheField name="Pct prezentare" numFmtId="0">
      <sharedItems containsString="0" containsBlank="1" containsNumber="1" minValue="0" maxValue="5"/>
    </cacheField>
    <cacheField name="Tip" numFmtId="169">
      <sharedItems containsBlank="1" count="6">
        <s v="D"/>
        <s v="V"/>
        <s v="P"/>
        <s v="S"/>
        <m/>
        <s v="D#" u="1"/>
      </sharedItems>
    </cacheField>
    <cacheField name="D" numFmtId="0">
      <sharedItems containsString="0" containsBlank="1" containsNumber="1" minValue="0.25" maxValue="0.5"/>
    </cacheField>
    <cacheField name="V" numFmtId="0">
      <sharedItems containsString="0" containsBlank="1" containsNumber="1" minValue="0.25" maxValue="0.5"/>
    </cacheField>
    <cacheField name="P" numFmtId="0">
      <sharedItems containsString="0" containsBlank="1" containsNumber="1" minValue="0.25" maxValue="0.5"/>
    </cacheField>
    <cacheField name="Bonus elevatie" numFmtId="0">
      <sharedItems containsString="0" containsBlank="1" containsNumber="1" minValue="0" maxValue="1.9173333333333333"/>
    </cacheField>
    <cacheField name="Bonus distanta" numFmtId="166">
      <sharedItems containsString="0" containsBlank="1" containsNumber="1" minValue="0" maxValue="6.9"/>
    </cacheField>
    <cacheField name="Bonus viteza" numFmtId="166">
      <sharedItems containsString="0" containsBlank="1" containsNumber="1" minValue="0" maxValue="9.8999999999999986"/>
    </cacheField>
    <cacheField name="Bonus varsta" numFmtId="166">
      <sharedItems containsBlank="1" containsMixedTypes="1" containsNumber="1" minValue="0" maxValue="0.7"/>
    </cacheField>
    <cacheField name="TOTAL ETAPA" numFmtId="43">
      <sharedItems containsBlank="1" containsMixedTypes="1" containsNumber="1" minValue="0" maxValue="13.329166666666666"/>
    </cacheField>
    <cacheField name="Ziua alergarii" numFmtId="169">
      <sharedItems containsBlank="1"/>
    </cacheField>
    <cacheField name="Check single entry" numFmtId="1">
      <sharedItems containsString="0" containsBlank="1" containsNumber="1" containsInteger="1" minValue="0" maxValue="1"/>
    </cacheField>
    <cacheField name="Echipa" numFmtId="169">
      <sharedItems containsBlank="1"/>
    </cacheField>
    <cacheField name="Intarziat/cursa" numFmtId="169">
      <sharedItems containsBlank="1"/>
    </cacheField>
    <cacheField name="Bonus final viteza" numFmtId="0">
      <sharedItems containsBlank="1" containsMixedTypes="1" containsNumber="1" containsInteger="1" minValue="0" maxValue="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70">
  <r>
    <x v="0"/>
    <s v="M"/>
    <n v="1"/>
    <n v="11.36"/>
    <d v="1899-12-30T01:00:59"/>
    <d v="1899-12-30T01:01:14"/>
    <d v="1899-12-30T01:01:07"/>
    <n v="0"/>
    <d v="1899-12-30T00:05:23"/>
    <n v="2.7047619047619045"/>
    <n v="2"/>
    <n v="2"/>
    <x v="0"/>
    <n v="0.5"/>
    <n v="0.25"/>
    <n v="0.25"/>
    <n v="0"/>
    <n v="0"/>
    <n v="0"/>
    <n v="0"/>
    <n v="2.352380952380952"/>
    <s v="10.01.2023"/>
    <n v="1"/>
    <s v="UltraHaita lu' Borcan"/>
    <m/>
    <n v="1"/>
  </r>
  <r>
    <x v="1"/>
    <s v="M"/>
    <n v="1"/>
    <n v="25.23"/>
    <d v="1899-12-30T02:34:33"/>
    <d v="1899-12-30T02:34:33"/>
    <d v="1899-12-30T02:34:33"/>
    <n v="0"/>
    <d v="1899-12-30T00:06:08"/>
    <n v="5"/>
    <n v="1.25"/>
    <n v="1"/>
    <x v="0"/>
    <n v="0.5"/>
    <n v="0.25"/>
    <n v="0.25"/>
    <n v="0"/>
    <n v="0.2"/>
    <n v="0"/>
    <n v="0"/>
    <n v="3.2625000000000002"/>
    <s v="10.01.2023"/>
    <n v="1"/>
    <e v="#N/A"/>
    <m/>
    <n v="1"/>
  </r>
  <r>
    <x v="2"/>
    <s v="F"/>
    <n v="1"/>
    <n v="4.01"/>
    <d v="1899-12-30T00:21:59"/>
    <d v="1899-12-30T00:23:56"/>
    <d v="1899-12-30T00:22:58"/>
    <n v="17"/>
    <d v="1899-12-30T00:05:44"/>
    <n v="1.0024999999999999"/>
    <n v="2.5"/>
    <n v="2.5"/>
    <x v="1"/>
    <n v="0.25"/>
    <n v="0.5"/>
    <n v="0.25"/>
    <n v="0"/>
    <n v="0"/>
    <n v="0"/>
    <n v="0"/>
    <n v="2.1256249999999999"/>
    <s v="10.01.2023"/>
    <n v="1"/>
    <s v="MedgidiaRunning"/>
    <m/>
    <n v="1"/>
  </r>
  <r>
    <x v="3"/>
    <s v="M"/>
    <n v="1"/>
    <n v="10.01"/>
    <d v="1899-12-30T00:48:12"/>
    <d v="1899-12-30T00:48:44"/>
    <d v="1899-12-30T00:48:28"/>
    <n v="13"/>
    <d v="1899-12-30T00:04:51"/>
    <n v="2.3833333333333333"/>
    <n v="3"/>
    <n v="1.5"/>
    <x v="0"/>
    <n v="0.5"/>
    <n v="0.25"/>
    <n v="0.25"/>
    <n v="0"/>
    <n v="0"/>
    <n v="0"/>
    <n v="0.4"/>
    <n v="2.7166666666666663"/>
    <s v="10.01.2023"/>
    <n v="1"/>
    <s v="MedgidiaRunning"/>
    <m/>
    <n v="1"/>
  </r>
  <r>
    <x v="4"/>
    <s v="M"/>
    <n v="1"/>
    <n v="5.01"/>
    <d v="1899-12-30T00:18:28"/>
    <d v="1899-12-30T00:18:38"/>
    <d v="1899-12-30T00:18:33"/>
    <n v="1"/>
    <d v="1899-12-30T00:03:42"/>
    <n v="1.1928571428571428"/>
    <n v="5"/>
    <n v="1"/>
    <x v="1"/>
    <n v="0.25"/>
    <n v="0.5"/>
    <n v="0.25"/>
    <n v="0"/>
    <n v="0"/>
    <n v="1.4999999999999998"/>
    <n v="0.4"/>
    <n v="4.9482142857142861"/>
    <s v="10.01.2023"/>
    <n v="1"/>
    <s v="UltraHaita lu' Borcan"/>
    <m/>
    <n v="1"/>
  </r>
  <r>
    <x v="5"/>
    <s v="M"/>
    <n v="1"/>
    <n v="10.61"/>
    <d v="1899-12-30T01:00:47"/>
    <d v="1899-12-30T01:00:49"/>
    <d v="1899-12-30T01:00:48"/>
    <n v="27"/>
    <d v="1899-12-30T00:05:44"/>
    <n v="2.5261904761904761"/>
    <n v="1.75"/>
    <n v="3.5"/>
    <x v="2"/>
    <n v="0.25"/>
    <n v="0.25"/>
    <n v="0.5"/>
    <n v="0"/>
    <n v="0"/>
    <n v="0"/>
    <n v="0"/>
    <n v="2.8190476190476188"/>
    <s v="10.01.2023"/>
    <n v="1"/>
    <s v="The GOATs"/>
    <m/>
    <n v="1"/>
  </r>
  <r>
    <x v="6"/>
    <s v="F"/>
    <n v="1"/>
    <n v="13.59"/>
    <d v="1899-12-30T03:04:51"/>
    <d v="1899-12-30T04:27:22"/>
    <d v="1899-12-30T03:46:07"/>
    <n v="893"/>
    <d v="1899-12-30T00:16:38"/>
    <n v="3.3975"/>
    <n v="0"/>
    <n v="3.25"/>
    <x v="0"/>
    <n v="0.5"/>
    <n v="0.25"/>
    <n v="0.25"/>
    <n v="0.59533333333333338"/>
    <n v="0"/>
    <n v="0"/>
    <n v="0"/>
    <n v="3.1065833333333335"/>
    <s v="10.01.2023"/>
    <n v="1"/>
    <e v="#N/A"/>
    <m/>
    <n v="0"/>
  </r>
  <r>
    <x v="7"/>
    <s v="M"/>
    <n v="1"/>
    <n v="10.59"/>
    <d v="1899-12-30T00:49:15"/>
    <d v="1899-12-30T00:49:45"/>
    <d v="1899-12-30T00:49:30"/>
    <n v="65"/>
    <d v="1899-12-30T00:04:40"/>
    <n v="2.5214285714285714"/>
    <n v="3.5"/>
    <n v="1.5"/>
    <x v="1"/>
    <n v="0.25"/>
    <n v="0.5"/>
    <n v="0.25"/>
    <n v="4.3333333333333335E-2"/>
    <n v="0"/>
    <n v="0"/>
    <n v="0"/>
    <n v="2.7986904761904765"/>
    <s v="10.01.2023"/>
    <n v="1"/>
    <s v="MedgidiaRunning"/>
    <m/>
    <n v="1"/>
  </r>
  <r>
    <x v="8"/>
    <s v="M"/>
    <n v="1"/>
    <n v="10.15"/>
    <d v="1899-12-30T00:54:47"/>
    <d v="1899-12-30T00:59:33"/>
    <d v="1899-12-30T00:57:10"/>
    <n v="36"/>
    <d v="1899-12-30T00:05:38"/>
    <n v="2.4166666666666665"/>
    <n v="1.75"/>
    <n v="1"/>
    <x v="0"/>
    <n v="0.5"/>
    <n v="0.25"/>
    <n v="0.25"/>
    <n v="0"/>
    <n v="0"/>
    <n v="0"/>
    <n v="0"/>
    <n v="1.8958333333333333"/>
    <s v="10.01.2023"/>
    <n v="1"/>
    <e v="#N/A"/>
    <m/>
    <n v="1"/>
  </r>
  <r>
    <x v="9"/>
    <s v="M"/>
    <n v="1"/>
    <n v="3.01"/>
    <d v="1899-12-30T00:10:55"/>
    <d v="1899-12-30T00:10:55"/>
    <d v="1899-12-30T00:10:55"/>
    <m/>
    <d v="1899-12-30T00:03:38"/>
    <n v="0.71666666666666656"/>
    <n v="5"/>
    <n v="0.75"/>
    <x v="1"/>
    <n v="0.25"/>
    <n v="0.5"/>
    <n v="0.25"/>
    <n v="0"/>
    <n v="0"/>
    <n v="2.25"/>
    <n v="0"/>
    <n v="5.1166666666666671"/>
    <s v="10.01.2023"/>
    <n v="1"/>
    <s v="The GOATs"/>
    <m/>
    <n v="1"/>
  </r>
  <r>
    <x v="10"/>
    <s v="M"/>
    <n v="1"/>
    <n v="5.04"/>
    <d v="1899-12-30T00:25:30"/>
    <d v="1899-12-30T00:27:48"/>
    <d v="1899-12-30T00:26:39"/>
    <n v="3"/>
    <d v="1899-12-30T00:05:17"/>
    <n v="1.2"/>
    <n v="2"/>
    <n v="1.5"/>
    <x v="1"/>
    <n v="0.25"/>
    <n v="0.5"/>
    <n v="0.25"/>
    <n v="0"/>
    <n v="0"/>
    <n v="0"/>
    <n v="0"/>
    <n v="1.675"/>
    <s v="10.01.2023"/>
    <n v="1"/>
    <e v="#N/A"/>
    <m/>
    <n v="1"/>
  </r>
  <r>
    <x v="11"/>
    <s v="M"/>
    <n v="1"/>
    <n v="10.01"/>
    <d v="1899-12-30T00:48:12"/>
    <d v="1899-12-30T00:48:44"/>
    <d v="1899-12-30T00:48:28"/>
    <m/>
    <d v="1899-12-30T00:04:51"/>
    <n v="2.3833333333333333"/>
    <n v="3"/>
    <n v="0.5"/>
    <x v="1"/>
    <n v="0.25"/>
    <n v="0.5"/>
    <n v="0.25"/>
    <n v="0"/>
    <n v="0"/>
    <n v="0"/>
    <n v="0.4"/>
    <n v="2.6208333333333331"/>
    <s v="10.01.2023"/>
    <n v="1"/>
    <e v="#N/A"/>
    <m/>
    <n v="1"/>
  </r>
  <r>
    <x v="12"/>
    <s v="M"/>
    <n v="1"/>
    <n v="5.01"/>
    <d v="1899-12-30T00:20:45"/>
    <d v="1899-12-30T00:20:50"/>
    <d v="1899-12-30T00:20:48"/>
    <n v="22"/>
    <d v="1899-12-30T00:04:09"/>
    <n v="1.1928571428571428"/>
    <n v="4.5"/>
    <n v="0.75"/>
    <x v="1"/>
    <n v="0.25"/>
    <n v="0.5"/>
    <n v="0.25"/>
    <n v="0"/>
    <n v="0"/>
    <n v="0"/>
    <n v="0"/>
    <n v="2.7357142857142858"/>
    <s v="10.01.2023"/>
    <n v="1"/>
    <s v="#notSYRious"/>
    <m/>
    <n v="1"/>
  </r>
  <r>
    <x v="13"/>
    <s v="M"/>
    <n v="1"/>
    <n v="5.07"/>
    <d v="1899-12-30T00:35:19"/>
    <d v="1899-12-30T00:38:10"/>
    <d v="1899-12-30T00:36:45"/>
    <n v="53"/>
    <d v="1899-12-30T00:07:15"/>
    <n v="1.2071428571428571"/>
    <n v="0.25"/>
    <n v="2.5"/>
    <x v="0"/>
    <n v="0.5"/>
    <n v="0.25"/>
    <n v="0.25"/>
    <n v="3.5333333333333335E-2"/>
    <n v="0"/>
    <n v="0"/>
    <n v="0"/>
    <n v="1.3264047619047621"/>
    <s v="10.01.2023"/>
    <n v="1"/>
    <s v="MedgidiaRunning"/>
    <m/>
    <n v="1"/>
  </r>
  <r>
    <x v="14"/>
    <s v="F"/>
    <n v="1"/>
    <n v="10.19"/>
    <d v="1899-12-30T00:53:39"/>
    <d v="1899-12-30T01:08:05"/>
    <d v="1899-12-30T01:00:52"/>
    <n v="91"/>
    <d v="1899-12-30T00:05:58"/>
    <n v="2.5474999999999999"/>
    <n v="2"/>
    <n v="1.75"/>
    <x v="0"/>
    <n v="0.5"/>
    <n v="0.25"/>
    <n v="0.25"/>
    <n v="6.0666666666666667E-2"/>
    <n v="0"/>
    <n v="0"/>
    <n v="0"/>
    <n v="2.2719166666666664"/>
    <s v="10.01.2023"/>
    <n v="1"/>
    <s v="MedgidiaRunning"/>
    <m/>
    <n v="1"/>
  </r>
  <r>
    <x v="15"/>
    <s v="F"/>
    <n v="1"/>
    <n v="9.01"/>
    <d v="1899-12-30T00:54:42"/>
    <d v="1899-12-30T01:04:32"/>
    <d v="1899-12-30T00:59:37"/>
    <m/>
    <d v="1899-12-30T00:06:37"/>
    <n v="2.2524999999999999"/>
    <n v="1.25"/>
    <n v="1.75"/>
    <x v="0"/>
    <n v="0.5"/>
    <n v="0.25"/>
    <n v="0.25"/>
    <n v="0"/>
    <n v="0"/>
    <n v="0"/>
    <n v="0"/>
    <n v="1.87625"/>
    <s v="10.01.2023"/>
    <n v="1"/>
    <e v="#N/A"/>
    <m/>
    <n v="1"/>
  </r>
  <r>
    <x v="16"/>
    <s v="F"/>
    <n v="1"/>
    <n v="5.01"/>
    <d v="1899-12-30T00:25:59"/>
    <d v="1899-12-30T00:25:59"/>
    <d v="1899-12-30T00:25:59"/>
    <m/>
    <d v="1899-12-30T00:05:11"/>
    <n v="1.2524999999999999"/>
    <n v="3.5"/>
    <n v="1.5"/>
    <x v="2"/>
    <n v="0.25"/>
    <n v="0.25"/>
    <n v="0.5"/>
    <n v="0"/>
    <n v="0"/>
    <n v="0"/>
    <n v="0"/>
    <n v="1.9381249999999999"/>
    <s v="10.01.2023"/>
    <n v="1"/>
    <s v="MedgidiaRunning"/>
    <m/>
    <n v="1"/>
  </r>
  <r>
    <x v="17"/>
    <s v="M"/>
    <n v="1"/>
    <n v="20.04"/>
    <d v="1899-12-30T01:44:41"/>
    <d v="1899-12-30T01:51:54"/>
    <d v="1899-12-30T01:48:18"/>
    <n v="182"/>
    <d v="1899-12-30T00:05:24"/>
    <n v="4.7714285714285714"/>
    <n v="2"/>
    <n v="1.75"/>
    <x v="0"/>
    <n v="0.5"/>
    <n v="0.25"/>
    <n v="0.25"/>
    <n v="0.12133333333333333"/>
    <n v="0"/>
    <n v="0"/>
    <n v="0"/>
    <n v="3.444547619047619"/>
    <s v="10.01.2023"/>
    <n v="1"/>
    <e v="#N/A"/>
    <m/>
    <n v="1"/>
  </r>
  <r>
    <x v="18"/>
    <s v="M"/>
    <n v="1"/>
    <n v="42.39"/>
    <d v="1899-12-30T04:46:18"/>
    <d v="1899-12-30T04:49:43"/>
    <d v="1899-12-30T04:48:00"/>
    <n v="479"/>
    <d v="1899-12-30T00:06:48"/>
    <n v="5"/>
    <n v="0.5"/>
    <n v="0.25"/>
    <x v="0"/>
    <n v="0.5"/>
    <n v="0.25"/>
    <n v="0.25"/>
    <n v="0.31933333333333336"/>
    <n v="1"/>
    <n v="0"/>
    <n v="0"/>
    <n v="4.0068333333333328"/>
    <s v="10.01.2023"/>
    <n v="1"/>
    <s v="UltraHaita lu' Borcan"/>
    <m/>
    <n v="1"/>
  </r>
  <r>
    <x v="19"/>
    <s v="M"/>
    <n v="1"/>
    <n v="14.35"/>
    <d v="1899-12-30T01:18:52"/>
    <d v="1899-12-30T01:29:17"/>
    <d v="1899-12-30T01:24:04"/>
    <n v="10"/>
    <d v="1899-12-30T00:05:52"/>
    <n v="3.4166666666666665"/>
    <n v="1.5"/>
    <n v="1.5"/>
    <x v="0"/>
    <n v="0.5"/>
    <n v="0.25"/>
    <n v="0.25"/>
    <n v="0"/>
    <n v="0"/>
    <n v="0"/>
    <n v="0"/>
    <n v="2.458333333333333"/>
    <s v="10.01.2023"/>
    <n v="1"/>
    <e v="#N/A"/>
    <m/>
    <n v="1"/>
  </r>
  <r>
    <x v="20"/>
    <s v="F"/>
    <n v="1"/>
    <n v="7.67"/>
    <d v="1899-12-30T00:40:12"/>
    <d v="1899-12-30T00:40:12"/>
    <d v="1899-12-30T00:40:12"/>
    <m/>
    <d v="1899-12-30T00:05:14"/>
    <n v="1.9175"/>
    <n v="3.5"/>
    <n v="1.5"/>
    <x v="1"/>
    <n v="0.25"/>
    <n v="0.5"/>
    <n v="0.25"/>
    <n v="0"/>
    <n v="0"/>
    <n v="0"/>
    <n v="0"/>
    <n v="2.6043750000000001"/>
    <s v="10.01.2023"/>
    <n v="1"/>
    <s v="MedgidiaRunning"/>
    <m/>
    <n v="1"/>
  </r>
  <r>
    <x v="21"/>
    <s v="M"/>
    <n v="1"/>
    <n v="13.35"/>
    <d v="1899-12-30T01:31:39"/>
    <d v="1899-12-30T01:31:52"/>
    <d v="1899-12-30T01:31:46"/>
    <n v="184"/>
    <d v="1899-12-30T00:06:52"/>
    <n v="3.1785714285714284"/>
    <n v="0.5"/>
    <n v="2.25"/>
    <x v="0"/>
    <n v="0.5"/>
    <n v="0.25"/>
    <n v="0.25"/>
    <n v="0.12266666666666666"/>
    <n v="0"/>
    <n v="0"/>
    <n v="0.4"/>
    <n v="2.7994523809523808"/>
    <s v="10.01.2023"/>
    <n v="1"/>
    <s v="#notSYRious"/>
    <m/>
    <n v="1"/>
  </r>
  <r>
    <x v="22"/>
    <s v="F"/>
    <n v="1"/>
    <n v="4"/>
    <d v="1899-12-30T00:22:48"/>
    <d v="1899-12-30T00:22:48"/>
    <d v="1899-12-30T00:22:48"/>
    <n v="33"/>
    <d v="1899-12-30T00:05:42"/>
    <n v="1"/>
    <n v="2.5"/>
    <n v="2.75"/>
    <x v="1"/>
    <n v="0.25"/>
    <n v="0.5"/>
    <n v="0.25"/>
    <n v="0"/>
    <n v="0"/>
    <n v="0"/>
    <n v="0"/>
    <n v="2.1875"/>
    <s v="10.01.2023"/>
    <n v="1"/>
    <s v="MedgidiaRunning"/>
    <m/>
    <n v="1"/>
  </r>
  <r>
    <x v="23"/>
    <s v="M"/>
    <n v="1"/>
    <n v="7.24"/>
    <d v="1899-12-30T00:34:03"/>
    <d v="1899-12-30T00:34:03"/>
    <d v="1899-12-30T00:34:03"/>
    <n v="55"/>
    <d v="1899-12-30T00:04:42"/>
    <n v="1.7238095238095237"/>
    <n v="3.5"/>
    <n v="2.5"/>
    <x v="0"/>
    <n v="0.5"/>
    <n v="0.25"/>
    <n v="0.25"/>
    <n v="3.6666666666666667E-2"/>
    <n v="0"/>
    <n v="0"/>
    <n v="0"/>
    <n v="2.3985714285714286"/>
    <s v="10.01.2023"/>
    <n v="1"/>
    <s v="Almost Kenyan Runners"/>
    <m/>
    <n v="1"/>
  </r>
  <r>
    <x v="24"/>
    <s v="M"/>
    <n v="1"/>
    <n v="7.34"/>
    <d v="1899-12-30T00:37:17"/>
    <d v="1899-12-30T00:38:21"/>
    <d v="1899-12-30T00:37:49"/>
    <m/>
    <d v="1899-12-30T00:05:09"/>
    <n v="1.7476190476190474"/>
    <n v="2.5"/>
    <n v="0.75"/>
    <x v="0"/>
    <n v="0.5"/>
    <n v="0.25"/>
    <n v="0.25"/>
    <n v="0"/>
    <n v="0"/>
    <n v="0"/>
    <n v="0"/>
    <n v="1.6863095238095238"/>
    <s v="13.01.2023"/>
    <n v="1"/>
    <e v="#N/A"/>
    <m/>
    <n v="1"/>
  </r>
  <r>
    <x v="25"/>
    <s v="M"/>
    <n v="1"/>
    <n v="11.2"/>
    <d v="1899-12-30T01:06:31"/>
    <d v="1899-12-30T01:07:24"/>
    <d v="1899-12-30T01:06:57"/>
    <m/>
    <d v="1899-12-30T00:05:59"/>
    <n v="2.6666666666666665"/>
    <n v="1.5"/>
    <n v="0.75"/>
    <x v="0"/>
    <n v="0.5"/>
    <n v="0.25"/>
    <n v="0.25"/>
    <n v="0"/>
    <n v="0"/>
    <n v="0"/>
    <n v="0"/>
    <n v="1.8958333333333333"/>
    <s v="14.01.2023"/>
    <n v="1"/>
    <e v="#N/A"/>
    <m/>
    <n v="1"/>
  </r>
  <r>
    <x v="26"/>
    <s v="F"/>
    <n v="1"/>
    <n v="28.5"/>
    <d v="1899-12-30T04:30:09"/>
    <d v="1899-12-30T05:03:20"/>
    <d v="1899-12-30T04:46:45"/>
    <n v="1477"/>
    <d v="1899-12-30T00:10:04"/>
    <n v="5"/>
    <n v="0"/>
    <n v="3.25"/>
    <x v="0"/>
    <n v="0.5"/>
    <n v="0.25"/>
    <n v="0.25"/>
    <n v="0.98466666666666669"/>
    <n v="0.3"/>
    <n v="0"/>
    <n v="0"/>
    <n v="4.5971666666666664"/>
    <s v="14.01.2023"/>
    <n v="1"/>
    <e v="#N/A"/>
    <m/>
    <n v="0"/>
  </r>
  <r>
    <x v="27"/>
    <s v="M"/>
    <n v="1"/>
    <n v="5.65"/>
    <d v="1899-12-30T00:25:52"/>
    <d v="1899-12-30T00:25:52"/>
    <d v="1899-12-30T00:25:52"/>
    <m/>
    <d v="1899-12-30T00:04:35"/>
    <n v="1.3452380952380953"/>
    <n v="3.5"/>
    <n v="2"/>
    <x v="1"/>
    <n v="0.25"/>
    <n v="0.5"/>
    <n v="0.25"/>
    <n v="0"/>
    <n v="0"/>
    <n v="0"/>
    <n v="0"/>
    <n v="2.5863095238095237"/>
    <s v="14.01.2023"/>
    <n v="1"/>
    <s v="#notSYRious"/>
    <m/>
    <n v="1"/>
  </r>
  <r>
    <x v="28"/>
    <s v="M"/>
    <n v="1"/>
    <n v="14.51"/>
    <d v="1899-12-30T01:11:33"/>
    <d v="1899-12-30T01:11:33"/>
    <d v="1899-12-30T01:11:33"/>
    <m/>
    <d v="1899-12-30T00:04:56"/>
    <n v="3.4547619047619045"/>
    <n v="3"/>
    <n v="1.5"/>
    <x v="0"/>
    <n v="0.5"/>
    <n v="0.25"/>
    <n v="0.25"/>
    <n v="0"/>
    <n v="0"/>
    <n v="0"/>
    <n v="0"/>
    <n v="2.852380952380952"/>
    <s v="14.01.2023"/>
    <n v="1"/>
    <s v="UltraHaita lu' Borcan"/>
    <m/>
    <n v="1"/>
  </r>
  <r>
    <x v="29"/>
    <s v="F"/>
    <n v="1"/>
    <n v="15.01"/>
    <d v="1899-12-30T01:23:38"/>
    <d v="1899-12-30T01:31:53"/>
    <d v="1899-12-30T01:27:46"/>
    <m/>
    <d v="1899-12-30T00:05:51"/>
    <n v="3.7524999999999999"/>
    <n v="2"/>
    <n v="1.25"/>
    <x v="0"/>
    <n v="0.5"/>
    <n v="0.25"/>
    <n v="0.25"/>
    <n v="0"/>
    <n v="0"/>
    <n v="0"/>
    <n v="0"/>
    <n v="2.6887499999999998"/>
    <s v="14.01.2023"/>
    <n v="1"/>
    <e v="#N/A"/>
    <m/>
    <n v="1"/>
  </r>
  <r>
    <x v="30"/>
    <s v="M"/>
    <n v="1"/>
    <n v="31.76"/>
    <d v="1899-12-30T03:04:48"/>
    <d v="1899-12-30T03:15:16"/>
    <d v="1899-12-30T03:10:02"/>
    <n v="940"/>
    <d v="1899-12-30T00:05:59"/>
    <n v="5"/>
    <n v="1.5"/>
    <n v="3.75"/>
    <x v="0"/>
    <n v="0.5"/>
    <n v="0.25"/>
    <n v="0.25"/>
    <n v="0.62666666666666671"/>
    <n v="0.5"/>
    <n v="0"/>
    <n v="0"/>
    <n v="4.9391666666666669"/>
    <s v="14.01.2023"/>
    <n v="1"/>
    <s v="The GOATs"/>
    <m/>
    <n v="1"/>
  </r>
  <r>
    <x v="31"/>
    <s v="M"/>
    <n v="1"/>
    <n v="3.43"/>
    <d v="1899-12-30T00:17:04"/>
    <d v="1899-12-30T00:17:04"/>
    <d v="1899-12-30T00:17:04"/>
    <m/>
    <d v="1899-12-30T00:04:59"/>
    <n v="0.81666666666666665"/>
    <n v="3"/>
    <n v="0.75"/>
    <x v="1"/>
    <n v="0.25"/>
    <n v="0.5"/>
    <n v="0.25"/>
    <n v="0"/>
    <n v="0"/>
    <n v="0"/>
    <n v="0"/>
    <n v="1.8916666666666666"/>
    <s v="14.01.2023"/>
    <n v="1"/>
    <e v="#N/A"/>
    <m/>
    <n v="1"/>
  </r>
  <r>
    <x v="32"/>
    <s v="M"/>
    <n v="1"/>
    <n v="26.02"/>
    <d v="1899-12-30T02:13:54"/>
    <d v="1899-12-30T02:14:15"/>
    <d v="1899-12-30T02:14:04"/>
    <m/>
    <d v="1899-12-30T00:05:09"/>
    <n v="5"/>
    <n v="2.5"/>
    <n v="2"/>
    <x v="0"/>
    <n v="0.5"/>
    <n v="0.25"/>
    <n v="0.25"/>
    <n v="0"/>
    <n v="0.2"/>
    <n v="0"/>
    <n v="0"/>
    <n v="3.8250000000000002"/>
    <s v="14.01.2023"/>
    <n v="1"/>
    <e v="#N/A"/>
    <m/>
    <n v="1"/>
  </r>
  <r>
    <x v="33"/>
    <s v="M"/>
    <n v="1"/>
    <n v="25.02"/>
    <d v="1899-12-30T02:11:03"/>
    <d v="1899-12-30T02:11:03"/>
    <d v="1899-12-30T02:11:03"/>
    <m/>
    <d v="1899-12-30T00:05:14"/>
    <n v="5"/>
    <n v="2.5"/>
    <n v="1.25"/>
    <x v="0"/>
    <n v="0.5"/>
    <n v="0.25"/>
    <n v="0.25"/>
    <n v="0"/>
    <n v="0.2"/>
    <n v="0"/>
    <n v="0"/>
    <n v="3.6375000000000002"/>
    <s v="14.01.2023"/>
    <n v="1"/>
    <s v="UltraHaita lu' Borcan"/>
    <m/>
    <n v="1"/>
  </r>
  <r>
    <x v="34"/>
    <s v="M"/>
    <n v="1"/>
    <n v="14"/>
    <d v="1899-12-30T01:37:02"/>
    <d v="1899-12-30T01:51:01"/>
    <d v="1899-12-30T01:44:02"/>
    <n v="537"/>
    <d v="1899-12-30T00:07:26"/>
    <n v="3.333333333333333"/>
    <n v="0.25"/>
    <n v="2.25"/>
    <x v="0"/>
    <n v="0.5"/>
    <n v="0.25"/>
    <n v="0.25"/>
    <n v="0.35799999999999998"/>
    <n v="0"/>
    <n v="0"/>
    <n v="0"/>
    <n v="2.6496666666666666"/>
    <s v="14.01.2023"/>
    <n v="1"/>
    <e v="#N/A"/>
    <m/>
    <n v="1"/>
  </r>
  <r>
    <x v="35"/>
    <s v="F"/>
    <n v="1"/>
    <n v="4.34"/>
    <d v="1899-12-30T00:26:50"/>
    <d v="1899-12-30T00:26:50"/>
    <d v="1899-12-30T00:26:50"/>
    <m/>
    <d v="1899-12-30T00:06:11"/>
    <n v="1.085"/>
    <n v="1.75"/>
    <n v="3.25"/>
    <x v="2"/>
    <n v="0.25"/>
    <n v="0.25"/>
    <n v="0.5"/>
    <n v="0"/>
    <n v="0"/>
    <n v="0"/>
    <n v="0"/>
    <n v="2.3337500000000002"/>
    <s v="14.01.2023"/>
    <n v="1"/>
    <s v="#notSYRious"/>
    <m/>
    <n v="1"/>
  </r>
  <r>
    <x v="36"/>
    <s v="M"/>
    <n v="1"/>
    <n v="10"/>
    <d v="1899-12-30T00:51:34"/>
    <d v="1899-12-30T00:53:06"/>
    <d v="1899-12-30T00:52:20"/>
    <m/>
    <d v="1899-12-30T00:05:14"/>
    <n v="2.3809523809523809"/>
    <n v="2.5"/>
    <n v="2"/>
    <x v="0"/>
    <n v="0.5"/>
    <n v="0.25"/>
    <n v="0.25"/>
    <n v="0"/>
    <n v="0"/>
    <n v="0"/>
    <n v="0"/>
    <n v="2.3154761904761907"/>
    <s v="14.01.2023"/>
    <n v="1"/>
    <s v="MedgidiaRunning"/>
    <m/>
    <n v="1"/>
  </r>
  <r>
    <x v="37"/>
    <s v="M"/>
    <n v="1"/>
    <n v="3.2"/>
    <d v="1899-12-30T00:13:27"/>
    <d v="1899-12-30T00:13:27"/>
    <d v="1899-12-30T00:13:27"/>
    <m/>
    <d v="1899-12-30T00:04:12"/>
    <n v="0.76190476190476186"/>
    <n v="4.5"/>
    <n v="1.5"/>
    <x v="1"/>
    <n v="0.25"/>
    <n v="0.5"/>
    <n v="0.25"/>
    <n v="0"/>
    <n v="0"/>
    <n v="0"/>
    <n v="0"/>
    <n v="2.8154761904761907"/>
    <s v="14.01.2023"/>
    <n v="1"/>
    <e v="#N/A"/>
    <m/>
    <n v="1"/>
  </r>
  <r>
    <x v="38"/>
    <s v="F"/>
    <n v="1"/>
    <n v="21.28"/>
    <d v="1899-12-30T03:26:53"/>
    <d v="1899-12-30T03:27:49"/>
    <d v="1899-12-30T03:27:21"/>
    <n v="474"/>
    <d v="1899-12-30T00:09:45"/>
    <n v="5"/>
    <n v="0"/>
    <n v="1.5"/>
    <x v="0"/>
    <n v="0.5"/>
    <n v="0.25"/>
    <n v="0.25"/>
    <n v="0.316"/>
    <n v="0"/>
    <n v="0"/>
    <n v="0"/>
    <n v="3.1909999999999998"/>
    <s v="14.01.2023"/>
    <n v="1"/>
    <s v="#notSYRious"/>
    <m/>
    <n v="0"/>
  </r>
  <r>
    <x v="39"/>
    <s v="M"/>
    <n v="1"/>
    <n v="11.03"/>
    <d v="1899-12-30T01:06:10"/>
    <d v="1899-12-30T01:07:08"/>
    <d v="1899-12-30T01:06:39"/>
    <m/>
    <d v="1899-12-30T00:06:03"/>
    <n v="2.6261904761904757"/>
    <n v="1.25"/>
    <n v="3.75"/>
    <x v="2"/>
    <n v="0.25"/>
    <n v="0.25"/>
    <n v="0.5"/>
    <n v="0"/>
    <n v="0"/>
    <n v="0"/>
    <n v="0"/>
    <n v="2.8440476190476192"/>
    <s v="14.01.2023"/>
    <n v="1"/>
    <s v="#notSYRious"/>
    <m/>
    <n v="1"/>
  </r>
  <r>
    <x v="40"/>
    <s v="M"/>
    <n v="1"/>
    <n v="15.01"/>
    <d v="1899-12-30T01:20:33"/>
    <d v="1899-12-30T01:21:52"/>
    <d v="1899-12-30T01:21:12"/>
    <n v="45"/>
    <d v="1899-12-30T00:05:25"/>
    <n v="3.5738095238095235"/>
    <n v="2"/>
    <n v="0.5"/>
    <x v="0"/>
    <n v="0.5"/>
    <n v="0.25"/>
    <n v="0.25"/>
    <n v="0"/>
    <n v="0"/>
    <n v="0"/>
    <n v="0"/>
    <n v="2.4119047619047618"/>
    <s v="14.01.2023"/>
    <n v="1"/>
    <s v="Almost Kenyan Runners"/>
    <m/>
    <n v="1"/>
  </r>
  <r>
    <x v="41"/>
    <s v="M"/>
    <n v="1"/>
    <n v="42.42"/>
    <d v="1899-12-30T03:40:20"/>
    <d v="1899-12-30T03:47:20"/>
    <d v="1899-12-30T03:43:50"/>
    <n v="398"/>
    <d v="1899-12-30T00:05:17"/>
    <n v="5"/>
    <n v="2"/>
    <n v="3.25"/>
    <x v="2"/>
    <n v="0.25"/>
    <n v="0.25"/>
    <n v="0.5"/>
    <n v="0.26533333333333331"/>
    <n v="1"/>
    <n v="0"/>
    <n v="0"/>
    <n v="4.6403333333333334"/>
    <s v="15.01.2023"/>
    <n v="1"/>
    <s v="UltraHaita lu' Borcan"/>
    <m/>
    <n v="1"/>
  </r>
  <r>
    <x v="42"/>
    <s v="M"/>
    <n v="1"/>
    <n v="3.3"/>
    <d v="1899-12-30T00:13:00"/>
    <d v="1899-12-30T00:13:00"/>
    <d v="1899-12-30T00:13:00"/>
    <m/>
    <d v="1899-12-30T00:03:56"/>
    <n v="0.78571428571428559"/>
    <n v="5"/>
    <n v="3.75"/>
    <x v="1"/>
    <n v="0.25"/>
    <n v="0.5"/>
    <n v="0.25"/>
    <n v="0"/>
    <n v="0"/>
    <n v="0.15000000000000002"/>
    <n v="0"/>
    <n v="3.7839285714285711"/>
    <s v="15.01.2023"/>
    <n v="1"/>
    <s v="The GOATs"/>
    <m/>
    <n v="1"/>
  </r>
  <r>
    <x v="43"/>
    <s v="M"/>
    <n v="1"/>
    <n v="16.38"/>
    <d v="1899-12-30T01:21:10"/>
    <d v="1899-12-30T01:21:10"/>
    <d v="1899-12-30T01:21:10"/>
    <m/>
    <d v="1899-12-30T00:04:57"/>
    <n v="3.8999999999999995"/>
    <n v="3"/>
    <n v="3.75"/>
    <x v="2"/>
    <n v="0.25"/>
    <n v="0.25"/>
    <n v="0.5"/>
    <n v="0"/>
    <n v="0"/>
    <n v="0"/>
    <n v="0"/>
    <n v="3.5999999999999996"/>
    <s v="15.01.2023"/>
    <n v="1"/>
    <s v="Almost Kenyan Runners"/>
    <m/>
    <n v="1"/>
  </r>
  <r>
    <x v="44"/>
    <s v="M"/>
    <n v="1"/>
    <n v="27.77"/>
    <d v="1899-12-30T02:24:45"/>
    <d v="1899-12-30T02:37:36"/>
    <d v="1899-12-30T02:31:10"/>
    <m/>
    <d v="1899-12-30T00:05:27"/>
    <n v="5"/>
    <n v="2"/>
    <n v="3"/>
    <x v="0"/>
    <n v="0.5"/>
    <n v="0.25"/>
    <n v="0.25"/>
    <n v="0"/>
    <n v="0.3"/>
    <n v="0"/>
    <n v="0"/>
    <n v="4.05"/>
    <s v="15.01.2023"/>
    <n v="1"/>
    <s v="UltraHaita lu' Borcan"/>
    <m/>
    <n v="1"/>
  </r>
  <r>
    <x v="45"/>
    <s v="F"/>
    <n v="1"/>
    <n v="5.62"/>
    <d v="1899-12-30T00:44:15"/>
    <d v="1899-12-30T00:44:18"/>
    <d v="1899-12-30T00:44:16"/>
    <n v="390"/>
    <d v="1899-12-30T00:07:53"/>
    <n v="1.405"/>
    <n v="0.25"/>
    <n v="1"/>
    <x v="0"/>
    <n v="0.5"/>
    <n v="0.25"/>
    <n v="0.25"/>
    <n v="0.26"/>
    <n v="0"/>
    <n v="0"/>
    <n v="0"/>
    <n v="1.2750000000000001"/>
    <s v="15.01.2023"/>
    <n v="1"/>
    <e v="#N/A"/>
    <m/>
    <n v="1"/>
  </r>
  <r>
    <x v="46"/>
    <s v="M"/>
    <n v="1"/>
    <n v="12.59"/>
    <d v="1899-12-30T01:25:28"/>
    <d v="1899-12-30T02:11:02"/>
    <d v="1899-12-30T01:48:15"/>
    <m/>
    <d v="1899-12-30T00:08:36"/>
    <n v="2.9976190476190476"/>
    <n v="0"/>
    <n v="3.75"/>
    <x v="2"/>
    <n v="0.25"/>
    <n v="0.25"/>
    <n v="0.5"/>
    <n v="0"/>
    <n v="0"/>
    <n v="0"/>
    <n v="0"/>
    <n v="2.6244047619047617"/>
    <s v="15.01.2023"/>
    <n v="1"/>
    <s v="#notSYRious"/>
    <m/>
    <n v="0"/>
  </r>
  <r>
    <x v="47"/>
    <s v="M"/>
    <n v="1"/>
    <n v="3"/>
    <d v="1899-12-30T00:12:17"/>
    <d v="1899-12-30T00:12:17"/>
    <d v="1899-12-30T00:12:17"/>
    <m/>
    <d v="1899-12-30T00:04:06"/>
    <n v="0.7142857142857143"/>
    <n v="4.5"/>
    <n v="3"/>
    <x v="1"/>
    <n v="0.25"/>
    <n v="0.5"/>
    <n v="0.25"/>
    <n v="0"/>
    <n v="0"/>
    <n v="0"/>
    <n v="0"/>
    <n v="3.1785714285714284"/>
    <s v="15.01.2023"/>
    <n v="1"/>
    <e v="#N/A"/>
    <m/>
    <n v="1"/>
  </r>
  <r>
    <x v="48"/>
    <s v="M"/>
    <n v="1"/>
    <n v="50"/>
    <d v="1899-12-30T04:10:51"/>
    <d v="1899-12-30T04:32:57"/>
    <d v="1899-12-30T04:21:54"/>
    <m/>
    <d v="1899-12-30T00:05:14"/>
    <n v="5"/>
    <n v="2.5"/>
    <n v="2"/>
    <x v="0"/>
    <n v="0.5"/>
    <n v="0.25"/>
    <n v="0.25"/>
    <n v="0"/>
    <n v="1.4"/>
    <n v="0"/>
    <n v="0"/>
    <n v="5.0250000000000004"/>
    <s v="15.01.2023"/>
    <n v="1"/>
    <s v="UltraHaita lu' Borcan"/>
    <m/>
    <n v="1"/>
  </r>
  <r>
    <x v="49"/>
    <s v="M"/>
    <n v="1"/>
    <n v="15.54"/>
    <d v="1899-12-30T01:27:34"/>
    <d v="1899-12-30T01:32:55"/>
    <d v="1899-12-30T01:30:15"/>
    <n v="65"/>
    <d v="1899-12-30T00:05:48"/>
    <n v="3.6999999999999997"/>
    <n v="1.5"/>
    <n v="4.75"/>
    <x v="2"/>
    <n v="0.25"/>
    <n v="0.25"/>
    <n v="0.5"/>
    <n v="4.3333333333333335E-2"/>
    <n v="0"/>
    <n v="0"/>
    <n v="0"/>
    <n v="3.7183333333333333"/>
    <s v="15.01.2023"/>
    <n v="1"/>
    <s v="The GOATs"/>
    <m/>
    <n v="1"/>
  </r>
  <r>
    <x v="50"/>
    <s v="M"/>
    <n v="1"/>
    <n v="22.81"/>
    <d v="1899-12-30T02:17:05"/>
    <d v="1899-12-30T02:21:08"/>
    <d v="1899-12-30T02:19:07"/>
    <n v="153"/>
    <d v="1899-12-30T00:06:06"/>
    <n v="5"/>
    <n v="1.25"/>
    <n v="4.5"/>
    <x v="2"/>
    <n v="0.25"/>
    <n v="0.25"/>
    <n v="0.5"/>
    <n v="0.10199999999999999"/>
    <n v="0"/>
    <n v="0"/>
    <n v="0"/>
    <n v="3.9144999999999999"/>
    <s v="15.01.2023"/>
    <n v="1"/>
    <s v="The GOATs"/>
    <m/>
    <n v="1"/>
  </r>
  <r>
    <x v="51"/>
    <s v="F"/>
    <n v="1"/>
    <n v="15"/>
    <d v="1899-12-30T01:24:42"/>
    <d v="1899-12-30T01:43:52"/>
    <d v="1899-12-30T01:34:17"/>
    <m/>
    <d v="1899-12-30T00:06:17"/>
    <n v="3.75"/>
    <n v="1.5"/>
    <n v="1.75"/>
    <x v="1"/>
    <n v="0.25"/>
    <n v="0.5"/>
    <n v="0.25"/>
    <n v="0"/>
    <n v="0"/>
    <n v="0"/>
    <n v="0"/>
    <n v="2.125"/>
    <s v="15.01.2023"/>
    <n v="1"/>
    <s v="#notSYRious"/>
    <m/>
    <n v="1"/>
  </r>
  <r>
    <x v="52"/>
    <s v="M"/>
    <n v="1"/>
    <n v="9"/>
    <d v="1899-12-30T00:39:23"/>
    <d v="1899-12-30T00:39:23"/>
    <d v="1899-12-30T00:39:23"/>
    <m/>
    <d v="1899-12-30T00:04:23"/>
    <n v="2.1428571428571428"/>
    <n v="4"/>
    <n v="2.5"/>
    <x v="1"/>
    <n v="0.25"/>
    <n v="0.5"/>
    <n v="0.25"/>
    <n v="0"/>
    <n v="0"/>
    <n v="0"/>
    <n v="0"/>
    <n v="3.1607142857142856"/>
    <s v="15.01.2023"/>
    <n v="1"/>
    <e v="#N/A"/>
    <m/>
    <n v="1"/>
  </r>
  <r>
    <x v="53"/>
    <s v="M"/>
    <n v="1"/>
    <n v="25.05"/>
    <d v="1899-12-30T01:59:43"/>
    <d v="1899-12-30T02:15:31"/>
    <d v="1899-12-30T02:07:37"/>
    <n v="42"/>
    <d v="1899-12-30T00:05:06"/>
    <n v="5"/>
    <n v="2.5"/>
    <n v="1.25"/>
    <x v="0"/>
    <n v="0.5"/>
    <n v="0.25"/>
    <n v="0.25"/>
    <n v="0"/>
    <n v="0.2"/>
    <n v="0"/>
    <n v="0"/>
    <n v="3.6375000000000002"/>
    <s v="15.01.2023"/>
    <n v="1"/>
    <s v="#notSYRious"/>
    <m/>
    <n v="1"/>
  </r>
  <r>
    <x v="54"/>
    <s v="F"/>
    <n v="1"/>
    <n v="8.09"/>
    <d v="1899-12-30T00:59:57"/>
    <d v="1899-12-30T01:21:32"/>
    <d v="1899-12-30T01:10:45"/>
    <m/>
    <d v="1899-12-30T00:08:45"/>
    <n v="2.0225"/>
    <n v="0.25"/>
    <n v="1.75"/>
    <x v="0"/>
    <n v="0.5"/>
    <n v="0.25"/>
    <n v="0.25"/>
    <n v="0"/>
    <n v="0"/>
    <n v="0"/>
    <n v="0.7"/>
    <n v="2.2112499999999997"/>
    <s v="15.01.2023"/>
    <n v="1"/>
    <s v="UltraHaita lu' Borcan"/>
    <m/>
    <n v="1"/>
  </r>
  <r>
    <x v="55"/>
    <s v="M"/>
    <n v="1"/>
    <n v="42.22"/>
    <d v="1899-12-30T03:02:25"/>
    <d v="1899-12-30T03:03:02"/>
    <d v="1899-12-30T03:02:44"/>
    <m/>
    <d v="1899-12-30T00:04:20"/>
    <n v="5"/>
    <n v="4"/>
    <n v="1.25"/>
    <x v="0"/>
    <n v="0.5"/>
    <n v="0.25"/>
    <n v="0.25"/>
    <n v="0"/>
    <n v="1"/>
    <n v="0"/>
    <n v="0"/>
    <n v="4.8125"/>
    <s v="15.01.2023"/>
    <n v="1"/>
    <e v="#N/A"/>
    <m/>
    <n v="1"/>
  </r>
  <r>
    <x v="56"/>
    <s v="F"/>
    <n v="1"/>
    <n v="17.53"/>
    <d v="1899-12-30T02:14:14"/>
    <d v="1899-12-30T02:40:00"/>
    <d v="1899-12-30T02:27:07"/>
    <m/>
    <d v="1899-12-30T00:08:24"/>
    <n v="4.3825000000000003"/>
    <n v="0.25"/>
    <n v="1.5"/>
    <x v="0"/>
    <n v="0.5"/>
    <n v="0.25"/>
    <n v="0.25"/>
    <n v="0"/>
    <n v="0"/>
    <n v="0"/>
    <n v="0"/>
    <n v="2.6287500000000001"/>
    <s v="15.01.2023"/>
    <n v="1"/>
    <e v="#N/A"/>
    <m/>
    <n v="1"/>
  </r>
  <r>
    <x v="57"/>
    <s v="M"/>
    <n v="1"/>
    <n v="15.01"/>
    <d v="1899-12-30T01:21:59"/>
    <d v="1899-12-30T01:30:03"/>
    <d v="1899-12-30T01:26:01"/>
    <m/>
    <d v="1899-12-30T00:05:44"/>
    <n v="3.5738095238095235"/>
    <n v="1.75"/>
    <n v="2.5"/>
    <x v="0"/>
    <n v="0.5"/>
    <n v="0.25"/>
    <n v="0.25"/>
    <n v="0"/>
    <n v="0"/>
    <n v="0"/>
    <n v="0"/>
    <n v="2.8494047619047618"/>
    <s v="15.01.2023"/>
    <n v="1"/>
    <s v="The GOATs"/>
    <m/>
    <n v="1"/>
  </r>
  <r>
    <x v="58"/>
    <s v="M"/>
    <n v="1"/>
    <n v="10.01"/>
    <d v="1899-12-30T00:48:12"/>
    <d v="1899-12-30T00:48:44"/>
    <d v="1899-12-30T00:48:28"/>
    <m/>
    <d v="1899-12-30T00:04:51"/>
    <n v="2.3833333333333333"/>
    <n v="0"/>
    <n v="0"/>
    <x v="3"/>
    <n v="0.25"/>
    <n v="0.25"/>
    <n v="0.25"/>
    <n v="0"/>
    <n v="0"/>
    <n v="0"/>
    <n v="0"/>
    <n v="1.5"/>
    <s v="15.01.2023"/>
    <n v="1"/>
    <s v="Almost Kenyan Runners"/>
    <m/>
    <n v="0"/>
  </r>
  <r>
    <x v="59"/>
    <s v="M"/>
    <n v="1"/>
    <n v="14.71"/>
    <d v="1899-12-30T01:23:31"/>
    <d v="1899-12-30T01:25:10"/>
    <d v="1899-12-30T01:24:21"/>
    <n v="47"/>
    <d v="1899-12-30T00:05:44"/>
    <n v="3.5023809523809524"/>
    <n v="1.75"/>
    <n v="1"/>
    <x v="0"/>
    <n v="0.5"/>
    <n v="0.25"/>
    <n v="0.25"/>
    <n v="0"/>
    <n v="0"/>
    <n v="0"/>
    <n v="0"/>
    <n v="2.4386904761904762"/>
    <s v="15.01.2023"/>
    <n v="1"/>
    <s v="UltraHaita lu' Borcan"/>
    <m/>
    <n v="1"/>
  </r>
  <r>
    <x v="60"/>
    <s v="M"/>
    <n v="1"/>
    <n v="30.29"/>
    <d v="1899-12-30T01:53:44"/>
    <d v="1899-12-30T01:54:11"/>
    <d v="1899-12-30T01:53:57"/>
    <m/>
    <d v="1899-12-30T00:03:46"/>
    <n v="5"/>
    <n v="5"/>
    <n v="3.5"/>
    <x v="1"/>
    <n v="0.25"/>
    <n v="0.5"/>
    <n v="0.25"/>
    <n v="0"/>
    <n v="0.4"/>
    <n v="1.4999999999999998"/>
    <n v="0"/>
    <n v="6.5250000000000004"/>
    <s v="15.01.2023"/>
    <n v="1"/>
    <s v="#notSYRious"/>
    <m/>
    <n v="1"/>
  </r>
  <r>
    <x v="61"/>
    <s v="M"/>
    <n v="1"/>
    <n v="22.02"/>
    <d v="1899-12-30T02:25:35"/>
    <d v="1899-12-30T02:25:35"/>
    <d v="1899-12-30T02:25:35"/>
    <n v="58"/>
    <d v="1899-12-30T00:06:37"/>
    <n v="5"/>
    <n v="0.75"/>
    <n v="2.5"/>
    <x v="0"/>
    <n v="0.5"/>
    <n v="0.25"/>
    <n v="0.25"/>
    <n v="3.8666666666666669E-2"/>
    <n v="0"/>
    <n v="0"/>
    <n v="0"/>
    <n v="3.3511666666666668"/>
    <s v="15.01.2023"/>
    <n v="1"/>
    <e v="#N/A"/>
    <m/>
    <n v="1"/>
  </r>
  <r>
    <x v="62"/>
    <s v="M"/>
    <n v="1"/>
    <n v="6.55"/>
    <d v="1899-12-30T00:36:02"/>
    <d v="1899-12-30T00:36:02"/>
    <d v="1899-12-30T00:36:02"/>
    <m/>
    <d v="1899-12-30T00:05:30"/>
    <n v="1.5595238095238093"/>
    <n v="2"/>
    <n v="1"/>
    <x v="0"/>
    <n v="0.5"/>
    <n v="0.25"/>
    <n v="0.25"/>
    <n v="0"/>
    <n v="0"/>
    <n v="0"/>
    <n v="0"/>
    <n v="1.5297619047619047"/>
    <s v="15.01.2023"/>
    <n v="1"/>
    <e v="#N/A"/>
    <m/>
    <n v="1"/>
  </r>
  <r>
    <x v="63"/>
    <s v="M"/>
    <n v="1"/>
    <n v="5.15"/>
    <d v="1899-12-30T00:31:08"/>
    <d v="1899-12-30T00:31:08"/>
    <d v="1899-12-30T00:31:08"/>
    <m/>
    <d v="1899-12-30T00:06:03"/>
    <n v="1.2261904761904763"/>
    <n v="1.25"/>
    <n v="0.75"/>
    <x v="2"/>
    <n v="0.25"/>
    <n v="0.25"/>
    <n v="0.5"/>
    <n v="0"/>
    <n v="0"/>
    <n v="0"/>
    <n v="0"/>
    <n v="0.99404761904761907"/>
    <s v="15.01.2023"/>
    <n v="1"/>
    <s v="MedgidiaRunning"/>
    <m/>
    <n v="1"/>
  </r>
  <r>
    <x v="64"/>
    <s v="M"/>
    <n v="1"/>
    <n v="13.03"/>
    <d v="1899-12-30T00:57:48"/>
    <d v="1899-12-30T00:57:48"/>
    <d v="1899-12-30T00:57:48"/>
    <m/>
    <d v="1899-12-30T00:04:26"/>
    <n v="3.102380952380952"/>
    <n v="4"/>
    <n v="3"/>
    <x v="1"/>
    <n v="0.25"/>
    <n v="0.5"/>
    <n v="0.25"/>
    <n v="0"/>
    <n v="0"/>
    <n v="0"/>
    <n v="0"/>
    <n v="3.5255952380952378"/>
    <s v="15.01.2023"/>
    <n v="1"/>
    <s v="The GOATs"/>
    <m/>
    <n v="1"/>
  </r>
  <r>
    <x v="65"/>
    <s v="F"/>
    <n v="1"/>
    <n v="12.7"/>
    <d v="1899-12-30T01:37:20"/>
    <d v="1899-12-30T01:56:23"/>
    <d v="1899-12-30T01:46:52"/>
    <n v="471"/>
    <d v="1899-12-30T00:08:25"/>
    <n v="3.1749999999999998"/>
    <n v="0.25"/>
    <n v="1"/>
    <x v="0"/>
    <n v="0.5"/>
    <n v="0.25"/>
    <n v="0.25"/>
    <n v="0.314"/>
    <n v="0"/>
    <n v="0"/>
    <n v="0"/>
    <n v="2.214"/>
    <s v="15.01.2023"/>
    <n v="1"/>
    <e v="#N/A"/>
    <m/>
    <n v="1"/>
  </r>
  <r>
    <x v="66"/>
    <s v="F"/>
    <n v="1"/>
    <n v="5"/>
    <d v="1899-12-30T00:28:45"/>
    <d v="1899-12-30T00:28:45"/>
    <d v="1899-12-30T00:28:45"/>
    <m/>
    <d v="1899-12-30T00:05:45"/>
    <n v="1.25"/>
    <n v="2.5"/>
    <n v="0"/>
    <x v="1"/>
    <n v="0.25"/>
    <n v="0.5"/>
    <n v="0.25"/>
    <n v="0"/>
    <n v="0"/>
    <n v="0"/>
    <n v="0"/>
    <n v="1.5625"/>
    <s v="15.01.2023"/>
    <n v="1"/>
    <e v="#N/A"/>
    <m/>
    <n v="1"/>
  </r>
  <r>
    <x v="67"/>
    <s v="M"/>
    <n v="1"/>
    <n v="10.32"/>
    <d v="1899-12-30T00:52:13"/>
    <d v="1899-12-30T00:52:35"/>
    <d v="1899-12-30T00:52:24"/>
    <m/>
    <d v="1899-12-30T00:05:05"/>
    <n v="2.4571428571428573"/>
    <n v="2.5"/>
    <n v="0.5"/>
    <x v="0"/>
    <n v="0.5"/>
    <n v="0.25"/>
    <n v="0.25"/>
    <n v="0"/>
    <n v="0"/>
    <n v="0"/>
    <n v="0"/>
    <n v="1.9785714285714286"/>
    <s v="15.01.2023"/>
    <n v="1"/>
    <s v="Almost Kenyan Runners"/>
    <m/>
    <n v="1"/>
  </r>
  <r>
    <x v="68"/>
    <s v="F"/>
    <n v="1"/>
    <n v="5.01"/>
    <d v="1899-12-30T00:30:56"/>
    <d v="1899-12-30T00:32:06"/>
    <d v="1899-12-30T00:31:31"/>
    <m/>
    <d v="1899-12-30T00:06:17"/>
    <n v="1.2524999999999999"/>
    <n v="1.5"/>
    <n v="1.5"/>
    <x v="0"/>
    <n v="0.5"/>
    <n v="0.25"/>
    <n v="0.25"/>
    <n v="0"/>
    <n v="0"/>
    <n v="0"/>
    <n v="0"/>
    <n v="1.37625"/>
    <s v="15.01.2023"/>
    <n v="1"/>
    <s v="Almost Kenyan Runners"/>
    <m/>
    <n v="1"/>
  </r>
  <r>
    <x v="69"/>
    <s v="M"/>
    <n v="1"/>
    <n v="22"/>
    <d v="1899-12-30T01:46:45"/>
    <d v="1899-12-30T01:46:45"/>
    <d v="1899-12-30T01:46:45"/>
    <m/>
    <d v="1899-12-30T00:04:51"/>
    <n v="5"/>
    <n v="3"/>
    <n v="1"/>
    <x v="0"/>
    <n v="0.5"/>
    <n v="0.25"/>
    <n v="0.25"/>
    <n v="0"/>
    <n v="0"/>
    <n v="0"/>
    <n v="0"/>
    <n v="3.5"/>
    <s v="15.01.2023"/>
    <n v="1"/>
    <s v="Almost Kenyan Runners"/>
    <m/>
    <n v="1"/>
  </r>
  <r>
    <x v="70"/>
    <s v="F"/>
    <n v="1"/>
    <n v="9.52"/>
    <d v="1899-12-30T01:19:01"/>
    <d v="1899-12-30T01:54:21"/>
    <d v="1899-12-30T01:36:41"/>
    <n v="412"/>
    <d v="1899-12-30T00:10:09"/>
    <n v="2.38"/>
    <n v="0"/>
    <n v="3"/>
    <x v="0"/>
    <n v="0.5"/>
    <n v="0.25"/>
    <n v="0.25"/>
    <n v="0.27466666666666667"/>
    <n v="0"/>
    <n v="0"/>
    <n v="0"/>
    <n v="2.2146666666666666"/>
    <s v="15.01.2023"/>
    <n v="1"/>
    <e v="#N/A"/>
    <m/>
    <n v="0"/>
  </r>
  <r>
    <x v="71"/>
    <s v="M"/>
    <n v="1"/>
    <n v="12.11"/>
    <d v="1899-12-30T03:55:19"/>
    <d v="1899-12-30T04:30:37"/>
    <d v="1899-12-30T04:12:58"/>
    <n v="281"/>
    <d v="1899-12-30T00:20:53"/>
    <n v="2.8833333333333329"/>
    <n v="0"/>
    <n v="2.75"/>
    <x v="2"/>
    <n v="0.25"/>
    <n v="0.25"/>
    <n v="0.5"/>
    <n v="0.18733333333333332"/>
    <n v="0"/>
    <n v="0"/>
    <n v="0"/>
    <n v="2.2831666666666663"/>
    <s v="15.01.2023"/>
    <n v="1"/>
    <s v="MedgidiaRunning"/>
    <m/>
    <n v="0"/>
  </r>
  <r>
    <x v="72"/>
    <s v="F"/>
    <n v="1"/>
    <n v="7.07"/>
    <d v="1899-12-30T00:40:16"/>
    <d v="1899-12-30T00:40:16"/>
    <d v="1899-12-30T00:40:16"/>
    <m/>
    <d v="1899-12-30T00:05:42"/>
    <n v="1.7675000000000001"/>
    <n v="2.5"/>
    <n v="2.5"/>
    <x v="1"/>
    <n v="0.25"/>
    <n v="0.5"/>
    <n v="0.25"/>
    <n v="0"/>
    <n v="0"/>
    <n v="0"/>
    <n v="0"/>
    <n v="2.316875"/>
    <s v="15.01.2023"/>
    <n v="1"/>
    <e v="#N/A"/>
    <m/>
    <n v="1"/>
  </r>
  <r>
    <x v="73"/>
    <s v="F"/>
    <n v="1"/>
    <n v="10"/>
    <d v="1899-12-30T01:02:53"/>
    <d v="1899-12-30T01:02:53"/>
    <d v="1899-12-30T01:02:53"/>
    <m/>
    <d v="1899-12-30T00:06:17"/>
    <n v="2.5"/>
    <n v="1.5"/>
    <n v="1.5"/>
    <x v="0"/>
    <n v="0.5"/>
    <n v="0.25"/>
    <n v="0.25"/>
    <n v="0"/>
    <n v="0"/>
    <n v="0"/>
    <n v="0"/>
    <n v="2"/>
    <s v="15.01.2023"/>
    <n v="1"/>
    <e v="#N/A"/>
    <m/>
    <n v="1"/>
  </r>
  <r>
    <x v="74"/>
    <s v="F"/>
    <n v="1"/>
    <n v="5.05"/>
    <d v="1899-12-30T00:31:25"/>
    <d v="1899-12-30T00:35:15"/>
    <d v="1899-12-30T00:33:20"/>
    <m/>
    <d v="1899-12-30T00:06:36"/>
    <n v="1.2625"/>
    <n v="1.25"/>
    <n v="2.5"/>
    <x v="2"/>
    <n v="0.25"/>
    <n v="0.25"/>
    <n v="0.5"/>
    <n v="0"/>
    <n v="0"/>
    <n v="0"/>
    <n v="0"/>
    <n v="1.878125"/>
    <s v="16.01.2023"/>
    <n v="1"/>
    <s v="UltraHaita lu' Borcan"/>
    <m/>
    <n v="1"/>
  </r>
  <r>
    <x v="75"/>
    <s v="F"/>
    <n v="1"/>
    <n v="10"/>
    <d v="1899-12-30T00:57:53"/>
    <d v="1899-12-30T01:03:01"/>
    <d v="1899-12-30T01:00:27"/>
    <m/>
    <d v="1899-12-30T00:06:03"/>
    <n v="2.5"/>
    <n v="1.75"/>
    <n v="2.25"/>
    <x v="2"/>
    <n v="0.25"/>
    <n v="0.25"/>
    <n v="0.5"/>
    <n v="0"/>
    <n v="0"/>
    <n v="0"/>
    <n v="0"/>
    <n v="2.1875"/>
    <s v="16.01.2023"/>
    <n v="1"/>
    <s v="#notSYRious"/>
    <m/>
    <n v="1"/>
  </r>
  <r>
    <x v="76"/>
    <s v="F"/>
    <n v="1"/>
    <n v="15.01"/>
    <d v="1899-12-30T01:35:19"/>
    <d v="1899-12-30T01:38:42"/>
    <d v="1899-12-30T01:37:00"/>
    <m/>
    <d v="1899-12-30T00:06:28"/>
    <n v="3.7524999999999999"/>
    <n v="1.5"/>
    <n v="2"/>
    <x v="0"/>
    <n v="0.5"/>
    <n v="0.25"/>
    <n v="0.25"/>
    <n v="0"/>
    <n v="0"/>
    <n v="0"/>
    <n v="0"/>
    <n v="2.7512499999999998"/>
    <s v="16.01.2023"/>
    <n v="1"/>
    <e v="#N/A"/>
    <m/>
    <n v="1"/>
  </r>
  <r>
    <x v="77"/>
    <s v="F"/>
    <n v="1"/>
    <n v="20.05"/>
    <d v="1899-12-30T02:15:52"/>
    <d v="1899-12-30T02:21:12"/>
    <d v="1899-12-30T02:18:32"/>
    <n v="860"/>
    <d v="1899-12-30T00:06:55"/>
    <n v="5"/>
    <n v="1"/>
    <n v="4.25"/>
    <x v="0"/>
    <n v="0.5"/>
    <n v="0.25"/>
    <n v="0.25"/>
    <n v="0.57333333333333336"/>
    <n v="0"/>
    <n v="0"/>
    <n v="0"/>
    <n v="4.3858333333333333"/>
    <s v="16.01.2023"/>
    <n v="1"/>
    <s v="The GOATs"/>
    <m/>
    <n v="1"/>
  </r>
  <r>
    <x v="78"/>
    <s v="M"/>
    <n v="1"/>
    <n v="40.130000000000003"/>
    <d v="1899-12-30T08:45:04"/>
    <d v="1899-12-30T09:55:42"/>
    <d v="1899-12-30T09:20:23"/>
    <n v="2035"/>
    <d v="1899-12-30T00:13:58"/>
    <n v="5"/>
    <n v="0"/>
    <n v="3.5"/>
    <x v="2"/>
    <n v="0.25"/>
    <n v="0.25"/>
    <n v="0.5"/>
    <n v="1.3566666666666667"/>
    <n v="0.9"/>
    <n v="0"/>
    <n v="0.4"/>
    <n v="5.6566666666666672"/>
    <s v="16.01.2023"/>
    <n v="1"/>
    <s v="Almost Kenyan Runners"/>
    <m/>
    <n v="0"/>
  </r>
  <r>
    <x v="79"/>
    <s v="F"/>
    <n v="1"/>
    <n v="7.46"/>
    <d v="1899-12-30T00:44:13"/>
    <d v="1899-12-30T01:04:32"/>
    <d v="1899-12-30T00:54:23"/>
    <n v="21"/>
    <d v="1899-12-30T00:07:17"/>
    <n v="1.865"/>
    <n v="0.5"/>
    <n v="2.25"/>
    <x v="2"/>
    <n v="0.25"/>
    <n v="0.25"/>
    <n v="0.5"/>
    <n v="0"/>
    <n v="0"/>
    <n v="0"/>
    <n v="0"/>
    <n v="1.7162500000000001"/>
    <s v="16.01.2023"/>
    <n v="1"/>
    <e v="#N/A"/>
    <m/>
    <n v="1"/>
  </r>
  <r>
    <x v="80"/>
    <s v="M"/>
    <n v="1"/>
    <n v="21.07"/>
    <d v="1899-12-30T01:48:30"/>
    <d v="1899-12-30T02:29:16"/>
    <d v="1899-12-30T02:08:53"/>
    <n v="46"/>
    <d v="1899-12-30T00:06:07"/>
    <n v="5"/>
    <n v="1.25"/>
    <n v="2.5"/>
    <x v="0"/>
    <n v="0.5"/>
    <n v="0.25"/>
    <n v="0.25"/>
    <n v="0"/>
    <n v="0"/>
    <n v="0"/>
    <n v="0"/>
    <n v="3.4375"/>
    <s v="16.01.2023"/>
    <n v="1"/>
    <s v="Almost Kenyan Runners"/>
    <m/>
    <n v="1"/>
  </r>
  <r>
    <x v="81"/>
    <s v="M"/>
    <n v="1"/>
    <n v="18.12"/>
    <d v="1899-12-30T01:39:34"/>
    <d v="1899-12-30T01:39:56"/>
    <d v="1899-12-30T01:39:45"/>
    <m/>
    <d v="1899-12-30T00:05:30"/>
    <n v="4.3142857142857141"/>
    <n v="2"/>
    <n v="1"/>
    <x v="2"/>
    <n v="0.25"/>
    <n v="0.25"/>
    <n v="0.5"/>
    <n v="0"/>
    <n v="0"/>
    <n v="0"/>
    <n v="0"/>
    <n v="2.0785714285714283"/>
    <s v="16.01.2023"/>
    <n v="1"/>
    <e v="#N/A"/>
    <m/>
    <n v="1"/>
  </r>
  <r>
    <x v="82"/>
    <s v="M"/>
    <n v="1"/>
    <n v="15"/>
    <d v="1899-12-30T01:11:44"/>
    <d v="1899-12-30T01:11:44"/>
    <d v="1899-12-30T01:11:44"/>
    <n v="235"/>
    <d v="1899-12-30T00:04:47"/>
    <n v="3.5714285714285712"/>
    <n v="3"/>
    <n v="4"/>
    <x v="0"/>
    <n v="0.5"/>
    <n v="0.25"/>
    <n v="0.25"/>
    <n v="0.15666666666666668"/>
    <n v="0"/>
    <n v="0"/>
    <n v="0"/>
    <n v="3.6923809523809523"/>
    <s v="16.01.2023"/>
    <n v="1"/>
    <s v="Almost Kenyan Runners"/>
    <m/>
    <n v="1"/>
  </r>
  <r>
    <x v="83"/>
    <s v="M"/>
    <n v="1"/>
    <n v="15.13"/>
    <d v="1899-12-30T01:48:05"/>
    <d v="1899-12-30T02:06:12"/>
    <d v="1899-12-30T01:57:08"/>
    <n v="733"/>
    <d v="1899-12-30T00:07:45"/>
    <n v="3.6023809523809525"/>
    <n v="0.25"/>
    <n v="2.75"/>
    <x v="2"/>
    <n v="0.25"/>
    <n v="0.25"/>
    <n v="0.5"/>
    <n v="0.48866666666666669"/>
    <n v="0"/>
    <n v="0"/>
    <n v="0"/>
    <n v="2.8267619047619048"/>
    <s v="16.01.2023"/>
    <n v="1"/>
    <e v="#N/A"/>
    <m/>
    <n v="1"/>
  </r>
  <r>
    <x v="84"/>
    <s v="M"/>
    <n v="1"/>
    <n v="4.2"/>
    <d v="1899-12-30T00:19:48"/>
    <d v="1899-12-30T00:19:48"/>
    <d v="1899-12-30T00:19:48"/>
    <n v="70"/>
    <d v="1899-12-30T00:04:43"/>
    <n v="1"/>
    <n v="3.5"/>
    <n v="4"/>
    <x v="2"/>
    <n v="0.25"/>
    <n v="0.25"/>
    <n v="0.5"/>
    <n v="4.6666666666666669E-2"/>
    <n v="0"/>
    <n v="0"/>
    <n v="0"/>
    <n v="3.1716666666666669"/>
    <s v="16.01.2023"/>
    <n v="1"/>
    <s v="The GOATs"/>
    <m/>
    <n v="1"/>
  </r>
  <r>
    <x v="85"/>
    <s v="M"/>
    <n v="1"/>
    <n v="10.36"/>
    <d v="1899-12-30T01:25:41"/>
    <d v="1899-12-30T02:19:56"/>
    <d v="1899-12-30T01:52:48"/>
    <n v="648"/>
    <d v="1899-12-30T00:10:53"/>
    <n v="2.4666666666666663"/>
    <n v="0"/>
    <n v="4"/>
    <x v="2"/>
    <n v="0.25"/>
    <n v="0.25"/>
    <n v="0.5"/>
    <n v="0.432"/>
    <n v="0"/>
    <n v="0"/>
    <n v="0"/>
    <n v="3.0486666666666666"/>
    <s v="16.01.2023"/>
    <n v="1"/>
    <s v="The GOATs"/>
    <m/>
    <n v="0"/>
  </r>
  <r>
    <x v="86"/>
    <s v="F"/>
    <n v="1"/>
    <n v="18.09"/>
    <d v="1899-12-30T01:44:38"/>
    <d v="1899-12-30T01:46:11"/>
    <d v="1899-12-30T01:45:24"/>
    <m/>
    <d v="1899-12-30T00:05:50"/>
    <n v="4.5225"/>
    <n v="2"/>
    <n v="2"/>
    <x v="2"/>
    <n v="0.25"/>
    <n v="0.25"/>
    <n v="0.5"/>
    <n v="0"/>
    <n v="0"/>
    <n v="0"/>
    <n v="0"/>
    <n v="2.6306250000000002"/>
    <s v="16.01.2023"/>
    <n v="1"/>
    <s v="Almost Kenyan Runners"/>
    <m/>
    <n v="1"/>
  </r>
  <r>
    <x v="87"/>
    <s v="M"/>
    <n v="1"/>
    <n v="25.79"/>
    <d v="1899-12-30T01:41:20"/>
    <d v="1899-12-30T01:48:03"/>
    <d v="1899-12-30T01:44:42"/>
    <m/>
    <d v="1899-12-30T00:04:04"/>
    <n v="5"/>
    <n v="4.5"/>
    <n v="0.5"/>
    <x v="0"/>
    <n v="0.5"/>
    <n v="0.25"/>
    <n v="0.25"/>
    <n v="0"/>
    <n v="0.2"/>
    <n v="0"/>
    <n v="0"/>
    <n v="3.95"/>
    <s v="16.01.2023"/>
    <n v="1"/>
    <e v="#N/A"/>
    <m/>
    <n v="1"/>
  </r>
  <r>
    <x v="88"/>
    <s v="M"/>
    <n v="1"/>
    <n v="12.19"/>
    <d v="1899-12-30T00:58:35"/>
    <d v="1899-12-30T00:59:35"/>
    <d v="1899-12-30T00:59:05"/>
    <n v="138"/>
    <d v="1899-12-30T00:04:51"/>
    <n v="2.9023809523809523"/>
    <n v="3"/>
    <n v="1.5"/>
    <x v="0"/>
    <n v="0.5"/>
    <n v="0.25"/>
    <n v="0.25"/>
    <n v="9.1999999999999998E-2"/>
    <n v="0"/>
    <n v="0"/>
    <n v="0"/>
    <n v="2.668190476190476"/>
    <s v="16.01.2023"/>
    <n v="1"/>
    <s v="Almost Kenyan Runners"/>
    <m/>
    <n v="1"/>
  </r>
  <r>
    <x v="83"/>
    <s v="M"/>
    <n v="2"/>
    <n v="37"/>
    <d v="1899-12-30T03:36:12"/>
    <d v="1899-12-30T03:49:33"/>
    <d v="1899-12-30T03:42:52"/>
    <n v="43"/>
    <d v="1899-12-30T00:06:01"/>
    <n v="5"/>
    <n v="1.25"/>
    <n v="0.5"/>
    <x v="0"/>
    <n v="0.5"/>
    <n v="0.25"/>
    <n v="0.25"/>
    <n v="0"/>
    <n v="0.8"/>
    <n v="0"/>
    <n v="0"/>
    <n v="3.7374999999999998"/>
    <s v="18.01.2023"/>
    <n v="1"/>
    <e v="#N/A"/>
    <m/>
    <n v="1"/>
  </r>
  <r>
    <x v="4"/>
    <s v="M"/>
    <n v="2"/>
    <n v="42.25"/>
    <d v="1899-12-30T03:09:51"/>
    <d v="1899-12-30T03:10:00"/>
    <d v="1899-12-30T03:09:56"/>
    <m/>
    <d v="1899-12-30T00:04:30"/>
    <n v="5"/>
    <n v="4"/>
    <n v="0"/>
    <x v="0"/>
    <n v="0.5"/>
    <n v="0.25"/>
    <n v="0.25"/>
    <n v="0"/>
    <n v="1"/>
    <n v="0"/>
    <n v="0.4"/>
    <n v="4.9000000000000004"/>
    <s v="18.01.2023"/>
    <n v="1"/>
    <s v="UltraHaita lu' Borcan"/>
    <m/>
    <n v="1"/>
  </r>
  <r>
    <x v="88"/>
    <s v="M"/>
    <n v="2"/>
    <n v="11.6"/>
    <d v="1899-12-30T00:53:04"/>
    <d v="1899-12-30T00:56:27"/>
    <d v="1899-12-30T00:54:46"/>
    <n v="65"/>
    <d v="1899-12-30T00:04:43"/>
    <n v="2.7619047619047619"/>
    <n v="3.5"/>
    <n v="2.25"/>
    <x v="1"/>
    <n v="0.25"/>
    <n v="0.5"/>
    <n v="0.25"/>
    <n v="4.3333333333333335E-2"/>
    <n v="0"/>
    <n v="0"/>
    <n v="0"/>
    <n v="3.0463095238095241"/>
    <s v="18.01.2023"/>
    <n v="1"/>
    <s v="Almost Kenyan Runners"/>
    <m/>
    <n v="1"/>
  </r>
  <r>
    <x v="89"/>
    <s v="M"/>
    <n v="2"/>
    <n v="14"/>
    <d v="1899-12-30T01:23:57"/>
    <d v="1899-12-30T01:37:13"/>
    <d v="1899-12-30T01:30:35"/>
    <m/>
    <d v="1899-12-30T00:06:28"/>
    <n v="3.333333333333333"/>
    <n v="1"/>
    <n v="1.5"/>
    <x v="0"/>
    <n v="0.5"/>
    <n v="0.25"/>
    <n v="0.25"/>
    <n v="0"/>
    <n v="0"/>
    <n v="0"/>
    <n v="0"/>
    <n v="2.2916666666666665"/>
    <s v="18.01.2023"/>
    <n v="1"/>
    <e v="#N/A"/>
    <m/>
    <n v="1"/>
  </r>
  <r>
    <x v="11"/>
    <s v="M"/>
    <n v="2"/>
    <n v="10"/>
    <d v="1899-12-30T00:52:09"/>
    <d v="1899-12-30T00:52:09"/>
    <d v="1899-12-30T00:52:09"/>
    <m/>
    <d v="1899-12-30T00:05:13"/>
    <n v="2.3809523809523809"/>
    <n v="2.5"/>
    <n v="0.5"/>
    <x v="1"/>
    <n v="0.25"/>
    <n v="0.5"/>
    <n v="0.25"/>
    <n v="0"/>
    <n v="0"/>
    <n v="0"/>
    <n v="0.4"/>
    <n v="2.3702380952380953"/>
    <s v="18.01.2023"/>
    <n v="1"/>
    <e v="#N/A"/>
    <m/>
    <n v="1"/>
  </r>
  <r>
    <x v="7"/>
    <s v="M"/>
    <n v="2"/>
    <n v="21.24"/>
    <d v="1899-12-30T01:48:00"/>
    <d v="1899-12-30T01:51:34"/>
    <d v="1899-12-30T01:49:47"/>
    <n v="179"/>
    <d v="1899-12-30T00:05:10"/>
    <n v="5"/>
    <n v="2.5"/>
    <n v="2.5"/>
    <x v="0"/>
    <n v="0.5"/>
    <n v="0.25"/>
    <n v="0.25"/>
    <n v="0.11933333333333333"/>
    <n v="0"/>
    <n v="0"/>
    <n v="0"/>
    <n v="3.8693333333333335"/>
    <s v="18.01.2023"/>
    <n v="1"/>
    <s v="MedgidiaRunning"/>
    <m/>
    <n v="1"/>
  </r>
  <r>
    <x v="2"/>
    <s v="F"/>
    <n v="2"/>
    <n v="17.010000000000002"/>
    <d v="1899-12-30T01:49:50"/>
    <d v="1899-12-30T01:51:01"/>
    <d v="1899-12-30T01:50:26"/>
    <n v="34"/>
    <d v="1899-12-30T00:06:30"/>
    <n v="4.2525000000000004"/>
    <n v="1.5"/>
    <n v="2.75"/>
    <x v="0"/>
    <n v="0.5"/>
    <n v="0.25"/>
    <n v="0.25"/>
    <n v="0"/>
    <n v="0"/>
    <n v="0"/>
    <n v="0"/>
    <n v="3.1887500000000002"/>
    <s v="23.01.2023"/>
    <n v="1"/>
    <s v="MedgidiaRunning"/>
    <m/>
    <n v="1"/>
  </r>
  <r>
    <x v="90"/>
    <s v="M"/>
    <n v="2"/>
    <n v="10.02"/>
    <d v="1899-12-30T00:56:30"/>
    <d v="1899-12-30T01:00:04"/>
    <d v="1899-12-30T00:58:17"/>
    <n v="52"/>
    <d v="1899-12-30T00:05:49"/>
    <n v="2.3857142857142857"/>
    <n v="1.5"/>
    <n v="1"/>
    <x v="0"/>
    <n v="0.5"/>
    <n v="0.25"/>
    <n v="0.25"/>
    <n v="3.4666666666666665E-2"/>
    <n v="0"/>
    <n v="0"/>
    <n v="0"/>
    <n v="1.8525238095238095"/>
    <s v="23.01.2023"/>
    <n v="1"/>
    <e v="#N/A"/>
    <m/>
    <n v="1"/>
  </r>
  <r>
    <x v="8"/>
    <s v="M"/>
    <n v="2"/>
    <n v="7.26"/>
    <d v="1899-12-30T00:38:08"/>
    <d v="1899-12-30T00:39:08"/>
    <d v="1899-12-30T00:38:38"/>
    <m/>
    <d v="1899-12-30T00:05:19"/>
    <n v="1.7285714285714284"/>
    <n v="2"/>
    <n v="1"/>
    <x v="1"/>
    <n v="0.25"/>
    <n v="0.5"/>
    <n v="0.25"/>
    <n v="0"/>
    <n v="0"/>
    <n v="0"/>
    <n v="0"/>
    <n v="1.6821428571428572"/>
    <s v="23.01.2023"/>
    <n v="1"/>
    <e v="#N/A"/>
    <m/>
    <n v="1"/>
  </r>
  <r>
    <x v="27"/>
    <s v="M"/>
    <n v="2"/>
    <n v="10.45"/>
    <d v="1899-12-30T00:51:23"/>
    <d v="1899-12-30T00:51:44"/>
    <d v="1899-12-30T00:51:34"/>
    <m/>
    <d v="1899-12-30T00:04:56"/>
    <n v="2.4880952380952377"/>
    <n v="3"/>
    <n v="3"/>
    <x v="2"/>
    <n v="0.25"/>
    <n v="0.25"/>
    <n v="0.5"/>
    <n v="0"/>
    <n v="0"/>
    <n v="0"/>
    <n v="0"/>
    <n v="2.8720238095238093"/>
    <s v="23.01.2023"/>
    <n v="1"/>
    <s v="#notSYRious"/>
    <m/>
    <n v="1"/>
  </r>
  <r>
    <x v="84"/>
    <s v="M"/>
    <n v="2"/>
    <n v="21.21"/>
    <d v="1899-12-30T01:47:35"/>
    <d v="1899-12-30T01:50:26"/>
    <d v="1899-12-30T01:49:00"/>
    <m/>
    <d v="1899-12-30T00:05:08"/>
    <n v="5"/>
    <n v="2.5"/>
    <n v="3.25"/>
    <x v="0"/>
    <n v="0.5"/>
    <n v="0.25"/>
    <n v="0.25"/>
    <n v="0"/>
    <n v="0"/>
    <n v="0"/>
    <n v="0"/>
    <n v="3.9375"/>
    <s v="23.01.2023"/>
    <n v="1"/>
    <s v="The GOATs"/>
    <m/>
    <n v="1"/>
  </r>
  <r>
    <x v="65"/>
    <s v="F"/>
    <n v="2"/>
    <n v="11.29"/>
    <d v="1899-12-30T01:28:33"/>
    <d v="1899-12-30T01:43:11"/>
    <d v="1899-12-30T01:35:52"/>
    <n v="420"/>
    <d v="1899-12-30T00:08:29"/>
    <n v="2.8224999999999998"/>
    <n v="0.25"/>
    <n v="0"/>
    <x v="1"/>
    <n v="0.25"/>
    <n v="0.5"/>
    <n v="0.25"/>
    <n v="0.28000000000000003"/>
    <n v="0"/>
    <n v="0"/>
    <n v="0"/>
    <n v="1.110625"/>
    <s v="23.01.2023"/>
    <n v="1"/>
    <e v="#N/A"/>
    <m/>
    <n v="1"/>
  </r>
  <r>
    <x v="91"/>
    <s v="M"/>
    <n v="2"/>
    <n v="11.18"/>
    <d v="1899-12-30T01:19:19"/>
    <d v="1899-12-30T01:19:23"/>
    <d v="1899-12-30T01:19:21"/>
    <n v="341"/>
    <d v="1899-12-30T00:07:06"/>
    <n v="2.6619047619047618"/>
    <n v="0.25"/>
    <n v="3.25"/>
    <x v="2"/>
    <n v="0.25"/>
    <n v="0.25"/>
    <n v="0.5"/>
    <n v="0.22733333333333333"/>
    <n v="0"/>
    <n v="0"/>
    <n v="0"/>
    <n v="2.5803095238095235"/>
    <s v="23.01.2023"/>
    <n v="1"/>
    <s v="#notSYRious"/>
    <m/>
    <n v="1"/>
  </r>
  <r>
    <x v="60"/>
    <s v="M"/>
    <n v="2"/>
    <n v="26.28"/>
    <d v="1899-12-30T01:56:57"/>
    <d v="1899-12-30T01:56:57"/>
    <d v="1899-12-30T01:56:57"/>
    <n v="52"/>
    <d v="1899-12-30T00:04:27"/>
    <n v="5"/>
    <n v="4"/>
    <n v="4.25"/>
    <x v="2"/>
    <n v="0.25"/>
    <n v="0.25"/>
    <n v="0.5"/>
    <n v="3.4666666666666665E-2"/>
    <n v="0.2"/>
    <n v="0"/>
    <n v="0"/>
    <n v="4.6096666666666666"/>
    <s v="23.01.2023"/>
    <n v="1"/>
    <s v="#notSYRious"/>
    <m/>
    <n v="1"/>
  </r>
  <r>
    <x v="9"/>
    <s v="M"/>
    <n v="2"/>
    <n v="44.38"/>
    <d v="1899-12-30T06:03:08"/>
    <d v="1899-12-30T06:36:02"/>
    <d v="1899-12-30T06:19:35"/>
    <n v="2069"/>
    <d v="1899-12-30T00:08:33"/>
    <n v="5"/>
    <n v="0"/>
    <n v="3"/>
    <x v="0"/>
    <n v="0.5"/>
    <n v="0.25"/>
    <n v="0.25"/>
    <n v="1.3793333333333333"/>
    <n v="1.1000000000000001"/>
    <n v="0"/>
    <n v="0"/>
    <n v="5.7293333333333329"/>
    <s v="23.01.2023"/>
    <n v="1"/>
    <s v="The GOATs"/>
    <m/>
    <n v="0"/>
  </r>
  <r>
    <x v="48"/>
    <s v="M"/>
    <n v="2"/>
    <n v="42.32"/>
    <d v="1899-12-30T03:42:57"/>
    <d v="1899-12-30T03:43:12"/>
    <d v="1899-12-30T03:43:05"/>
    <n v="57"/>
    <d v="1899-12-30T00:05:16"/>
    <n v="5"/>
    <n v="2"/>
    <n v="2.5"/>
    <x v="0"/>
    <n v="0.5"/>
    <n v="0.25"/>
    <n v="0.25"/>
    <n v="3.7999999999999999E-2"/>
    <n v="1"/>
    <n v="0"/>
    <n v="0"/>
    <n v="4.6630000000000003"/>
    <s v="23.01.2023"/>
    <n v="1"/>
    <s v="UltraHaita lu' Borcan"/>
    <m/>
    <n v="1"/>
  </r>
  <r>
    <x v="72"/>
    <s v="F"/>
    <n v="2"/>
    <n v="10.02"/>
    <d v="1899-12-30T01:03:02"/>
    <d v="1899-12-30T01:03:16"/>
    <d v="1899-12-30T01:03:09"/>
    <m/>
    <d v="1899-12-30T00:06:18"/>
    <n v="2.5049999999999999"/>
    <n v="1.5"/>
    <n v="3"/>
    <x v="2"/>
    <n v="0.25"/>
    <n v="0.25"/>
    <n v="0.5"/>
    <n v="0"/>
    <n v="0"/>
    <n v="0"/>
    <n v="0"/>
    <n v="2.5012499999999998"/>
    <s v="23.01.2023"/>
    <n v="1"/>
    <e v="#N/A"/>
    <m/>
    <n v="1"/>
  </r>
  <r>
    <x v="74"/>
    <s v="F"/>
    <n v="2"/>
    <n v="10.029999999999999"/>
    <d v="1899-12-30T01:02:25"/>
    <d v="1899-12-30T01:11:43"/>
    <d v="1899-12-30T01:07:04"/>
    <m/>
    <d v="1899-12-30T00:06:41"/>
    <n v="2.5074999999999998"/>
    <n v="1.25"/>
    <n v="2.5"/>
    <x v="0"/>
    <n v="0.5"/>
    <n v="0.25"/>
    <n v="0.25"/>
    <n v="0"/>
    <n v="0"/>
    <n v="0"/>
    <n v="0"/>
    <n v="2.1912500000000001"/>
    <s v="23.01.2023"/>
    <n v="1"/>
    <s v="UltraHaita lu' Borcan"/>
    <m/>
    <n v="1"/>
  </r>
  <r>
    <x v="87"/>
    <s v="M"/>
    <n v="2"/>
    <n v="35.01"/>
    <d v="1899-12-30T02:20:44"/>
    <d v="1899-12-30T02:20:44"/>
    <d v="1899-12-30T02:20:44"/>
    <m/>
    <d v="1899-12-30T00:04:01"/>
    <n v="5"/>
    <n v="4.5"/>
    <n v="0.5"/>
    <x v="1"/>
    <n v="0.25"/>
    <n v="0.5"/>
    <n v="0.25"/>
    <n v="0"/>
    <n v="0.7"/>
    <n v="0"/>
    <n v="0"/>
    <n v="4.3250000000000002"/>
    <s v="23.01.2023"/>
    <n v="1"/>
    <e v="#N/A"/>
    <m/>
    <n v="1"/>
  </r>
  <r>
    <x v="71"/>
    <s v="M"/>
    <n v="2"/>
    <n v="18"/>
    <d v="1899-12-30T03:16:32"/>
    <d v="1899-12-30T06:46:30"/>
    <d v="1899-12-30T05:01:31"/>
    <n v="1076"/>
    <d v="1899-12-30T00:16:45"/>
    <n v="4.2857142857142856"/>
    <n v="0"/>
    <n v="2.75"/>
    <x v="0"/>
    <n v="0.5"/>
    <n v="0.25"/>
    <n v="0.25"/>
    <n v="0.71733333333333338"/>
    <n v="0"/>
    <n v="0"/>
    <n v="0"/>
    <n v="3.5476904761904762"/>
    <s v="23.01.2023"/>
    <n v="1"/>
    <s v="MedgidiaRunning"/>
    <m/>
    <n v="0"/>
  </r>
  <r>
    <x v="12"/>
    <s v="M"/>
    <n v="2"/>
    <n v="21.23"/>
    <d v="1899-12-30T01:33:03"/>
    <d v="1899-12-30T01:33:03"/>
    <d v="1899-12-30T01:33:03"/>
    <m/>
    <d v="1899-12-30T00:04:23"/>
    <n v="5"/>
    <n v="4"/>
    <n v="2.5"/>
    <x v="0"/>
    <n v="0.5"/>
    <n v="0.25"/>
    <n v="0.25"/>
    <n v="0"/>
    <n v="0"/>
    <n v="0"/>
    <n v="0"/>
    <n v="4.125"/>
    <s v="23.01.2023"/>
    <n v="1"/>
    <s v="#notSYRious"/>
    <m/>
    <n v="1"/>
  </r>
  <r>
    <x v="40"/>
    <s v="M"/>
    <n v="2"/>
    <n v="14.55"/>
    <d v="1899-12-30T01:20:01"/>
    <d v="1899-12-30T01:20:24"/>
    <d v="1899-12-30T01:20:12"/>
    <m/>
    <d v="1899-12-30T00:05:31"/>
    <n v="3.4642857142857144"/>
    <n v="2"/>
    <n v="0.25"/>
    <x v="1"/>
    <n v="0.25"/>
    <n v="0.5"/>
    <n v="0.25"/>
    <n v="0"/>
    <n v="0"/>
    <n v="0"/>
    <n v="0"/>
    <n v="1.9285714285714286"/>
    <s v="23.01.2023"/>
    <n v="1"/>
    <s v="Almost Kenyan Runners"/>
    <m/>
    <n v="1"/>
  </r>
  <r>
    <x v="61"/>
    <s v="M"/>
    <n v="2"/>
    <n v="16.440000000000001"/>
    <d v="1899-12-30T01:40:04"/>
    <d v="1899-12-30T01:40:04"/>
    <d v="1899-12-30T01:40:04"/>
    <n v="57"/>
    <d v="1899-12-30T00:06:05"/>
    <n v="3.9142857142857146"/>
    <n v="1.25"/>
    <n v="2.5"/>
    <x v="0"/>
    <n v="0.5"/>
    <n v="0.25"/>
    <n v="0.25"/>
    <n v="3.7999999999999999E-2"/>
    <n v="0"/>
    <n v="0"/>
    <n v="0"/>
    <n v="2.9326428571428571"/>
    <s v="23.01.2023"/>
    <n v="1"/>
    <e v="#N/A"/>
    <m/>
    <n v="1"/>
  </r>
  <r>
    <x v="57"/>
    <s v="M"/>
    <n v="2"/>
    <n v="21.27"/>
    <d v="1899-12-30T02:04:37"/>
    <d v="1899-12-30T02:09:07"/>
    <d v="1899-12-30T02:06:52"/>
    <n v="446"/>
    <d v="1899-12-30T00:05:58"/>
    <n v="5"/>
    <n v="1.5"/>
    <n v="2"/>
    <x v="0"/>
    <n v="0.5"/>
    <n v="0.25"/>
    <n v="0.25"/>
    <n v="0.29733333333333334"/>
    <n v="0"/>
    <n v="0"/>
    <n v="0"/>
    <n v="3.6723333333333334"/>
    <s v="23.01.2023"/>
    <n v="1"/>
    <s v="The GOATs"/>
    <m/>
    <n v="1"/>
  </r>
  <r>
    <x v="82"/>
    <s v="M"/>
    <n v="2"/>
    <n v="15.42"/>
    <d v="1899-12-30T01:30:02"/>
    <d v="1899-12-30T01:31:56"/>
    <d v="1899-12-30T01:30:59"/>
    <n v="88"/>
    <d v="1899-12-30T00:05:54"/>
    <n v="3.6714285714285713"/>
    <n v="1.5"/>
    <n v="3.5"/>
    <x v="2"/>
    <n v="0.25"/>
    <n v="0.25"/>
    <n v="0.5"/>
    <n v="5.8666666666666666E-2"/>
    <n v="0"/>
    <n v="0"/>
    <n v="0"/>
    <n v="3.1015238095238096"/>
    <s v="23.01.2023"/>
    <n v="1"/>
    <s v="Almost Kenyan Runners"/>
    <m/>
    <n v="1"/>
  </r>
  <r>
    <x v="54"/>
    <s v="F"/>
    <n v="2"/>
    <n v="8"/>
    <d v="1899-12-30T01:00:29"/>
    <d v="1899-12-30T01:30:36"/>
    <d v="1899-12-30T01:15:33"/>
    <m/>
    <d v="1899-12-30T00:09:27"/>
    <n v="2"/>
    <n v="0"/>
    <n v="2"/>
    <x v="1"/>
    <n v="0.25"/>
    <n v="0.5"/>
    <n v="0.25"/>
    <n v="0"/>
    <n v="0"/>
    <n v="0"/>
    <n v="0.7"/>
    <n v="1.7"/>
    <s v="23.01.2023"/>
    <n v="1"/>
    <s v="UltraHaita lu' Borcan"/>
    <m/>
    <n v="0"/>
  </r>
  <r>
    <x v="76"/>
    <s v="F"/>
    <n v="2"/>
    <n v="0"/>
    <d v="1899-12-30T00:00:00"/>
    <d v="1899-12-30T00:00:00"/>
    <d v="1899-12-30T00:00:00"/>
    <m/>
    <d v="1899-12-30T00:00:00"/>
    <n v="0"/>
    <n v="0"/>
    <n v="0"/>
    <x v="3"/>
    <n v="0.25"/>
    <n v="0.25"/>
    <n v="0.25"/>
    <n v="0"/>
    <n v="0"/>
    <n v="0"/>
    <n v="0"/>
    <n v="1.5"/>
    <s v="23.01.2023"/>
    <n v="1"/>
    <e v="#N/A"/>
    <m/>
    <n v="0"/>
  </r>
  <r>
    <x v="43"/>
    <s v="M"/>
    <n v="2"/>
    <n v="16"/>
    <d v="1899-12-30T01:14:39"/>
    <d v="1899-12-30T01:15:43"/>
    <d v="1899-12-30T01:15:11"/>
    <n v="62"/>
    <d v="1899-12-30T00:04:42"/>
    <n v="3.8095238095238093"/>
    <n v="3.5"/>
    <n v="0.75"/>
    <x v="0"/>
    <n v="0.5"/>
    <n v="0.25"/>
    <n v="0.25"/>
    <n v="4.1333333333333333E-2"/>
    <n v="0"/>
    <n v="0"/>
    <n v="0"/>
    <n v="3.0085952380952379"/>
    <s v="23.01.2023"/>
    <n v="1"/>
    <s v="Almost Kenyan Runners"/>
    <m/>
    <n v="1"/>
  </r>
  <r>
    <x v="70"/>
    <s v="F"/>
    <n v="2"/>
    <n v="6.17"/>
    <d v="1899-12-30T00:40:54"/>
    <d v="1899-12-30T00:42:17"/>
    <d v="1899-12-30T00:41:35"/>
    <m/>
    <d v="1899-12-30T00:06:44"/>
    <n v="1.5425"/>
    <n v="1.25"/>
    <n v="1.75"/>
    <x v="1"/>
    <n v="0.25"/>
    <n v="0.5"/>
    <n v="0.25"/>
    <n v="0"/>
    <n v="0"/>
    <n v="0"/>
    <n v="0"/>
    <n v="1.4481250000000001"/>
    <s v="23.01.2023"/>
    <n v="1"/>
    <e v="#N/A"/>
    <m/>
    <n v="1"/>
  </r>
  <r>
    <x v="59"/>
    <s v="M"/>
    <n v="2"/>
    <n v="15"/>
    <d v="1899-12-30T01:19:45"/>
    <d v="1899-12-30T01:20:59"/>
    <d v="1899-12-30T01:20:22"/>
    <n v="41"/>
    <d v="1899-12-30T00:05:21"/>
    <n v="3.5714285714285712"/>
    <n v="2"/>
    <n v="1.25"/>
    <x v="1"/>
    <n v="0.25"/>
    <n v="0.5"/>
    <n v="0.25"/>
    <n v="0"/>
    <n v="0"/>
    <n v="0"/>
    <n v="0"/>
    <n v="2.2053571428571428"/>
    <s v="23.01.2023"/>
    <n v="1"/>
    <s v="UltraHaita lu' Borcan"/>
    <m/>
    <n v="1"/>
  </r>
  <r>
    <x v="26"/>
    <s v="F"/>
    <n v="2"/>
    <n v="9.08"/>
    <d v="1899-12-30T00:47:51"/>
    <d v="1899-12-30T00:48:07"/>
    <d v="1899-12-30T00:47:59"/>
    <n v="32"/>
    <d v="1899-12-30T00:05:17"/>
    <n v="2.27"/>
    <n v="3"/>
    <n v="3.5"/>
    <x v="2"/>
    <n v="0.25"/>
    <n v="0.25"/>
    <n v="0.5"/>
    <n v="0"/>
    <n v="0"/>
    <n v="0"/>
    <n v="0"/>
    <n v="3.0674999999999999"/>
    <s v="23.01.2023"/>
    <n v="1"/>
    <e v="#N/A"/>
    <m/>
    <n v="1"/>
  </r>
  <r>
    <x v="32"/>
    <s v="M"/>
    <n v="2"/>
    <n v="7.47"/>
    <d v="1899-12-30T00:36:04"/>
    <d v="1899-12-30T00:36:06"/>
    <d v="1899-12-30T00:36:05"/>
    <n v="21"/>
    <d v="1899-12-30T00:04:50"/>
    <n v="1.7785714285714285"/>
    <n v="3"/>
    <n v="1.25"/>
    <x v="1"/>
    <n v="0.25"/>
    <n v="0.5"/>
    <n v="0.25"/>
    <n v="0"/>
    <n v="0"/>
    <n v="0"/>
    <n v="0"/>
    <n v="2.2571428571428571"/>
    <s v="23.01.2023"/>
    <n v="1"/>
    <e v="#N/A"/>
    <m/>
    <n v="1"/>
  </r>
  <r>
    <x v="92"/>
    <s v="F"/>
    <n v="2"/>
    <n v="7.76"/>
    <d v="1899-12-30T00:46:29"/>
    <d v="1899-12-30T01:10:03"/>
    <d v="1899-12-30T00:58:16"/>
    <m/>
    <d v="1899-12-30T00:07:31"/>
    <n v="1.94"/>
    <n v="0.5"/>
    <n v="3.5"/>
    <x v="2"/>
    <n v="0.25"/>
    <n v="0.25"/>
    <n v="0.5"/>
    <n v="0"/>
    <n v="0"/>
    <n v="0"/>
    <n v="0"/>
    <n v="2.36"/>
    <s v="23.01.2023"/>
    <n v="1"/>
    <s v="The GOATs"/>
    <m/>
    <n v="1"/>
  </r>
  <r>
    <x v="69"/>
    <s v="M"/>
    <n v="2"/>
    <n v="25"/>
    <d v="1899-12-30T02:01:49"/>
    <d v="1899-12-30T02:01:49"/>
    <d v="1899-12-30T02:01:49"/>
    <n v="52"/>
    <d v="1899-12-30T00:04:52"/>
    <n v="5"/>
    <n v="3"/>
    <n v="4"/>
    <x v="2"/>
    <n v="0.25"/>
    <n v="0.25"/>
    <n v="0.5"/>
    <n v="3.4666666666666665E-2"/>
    <n v="0.2"/>
    <n v="0"/>
    <n v="0"/>
    <n v="4.2346666666666666"/>
    <s v="23.01.2023"/>
    <n v="1"/>
    <s v="Almost Kenyan Runners"/>
    <m/>
    <n v="1"/>
  </r>
  <r>
    <x v="67"/>
    <s v="M"/>
    <n v="2"/>
    <n v="11.59"/>
    <d v="1899-12-30T01:10:21"/>
    <d v="1899-12-30T01:19:37"/>
    <d v="1899-12-30T01:14:59"/>
    <m/>
    <d v="1899-12-30T00:06:28"/>
    <n v="2.7595238095238095"/>
    <n v="1"/>
    <n v="0.5"/>
    <x v="0"/>
    <n v="0.5"/>
    <n v="0.25"/>
    <n v="0.25"/>
    <n v="0"/>
    <n v="0"/>
    <n v="0"/>
    <n v="0"/>
    <n v="1.7547619047619047"/>
    <s v="23.01.2023"/>
    <n v="1"/>
    <s v="Almost Kenyan Runners"/>
    <m/>
    <n v="1"/>
  </r>
  <r>
    <x v="63"/>
    <s v="M"/>
    <n v="2"/>
    <n v="9.81"/>
    <d v="1899-12-30T01:00:49"/>
    <d v="1899-12-30T01:00:49"/>
    <d v="1899-12-30T01:00:49"/>
    <m/>
    <d v="1899-12-30T00:06:12"/>
    <n v="2.3357142857142859"/>
    <n v="1.25"/>
    <n v="1.25"/>
    <x v="0"/>
    <n v="0.5"/>
    <n v="0.25"/>
    <n v="0.25"/>
    <n v="0"/>
    <n v="0"/>
    <n v="0"/>
    <n v="0"/>
    <n v="1.7928571428571429"/>
    <s v="23.01.2023"/>
    <n v="1"/>
    <s v="MedgidiaRunning"/>
    <m/>
    <n v="1"/>
  </r>
  <r>
    <x v="58"/>
    <s v="M"/>
    <n v="2"/>
    <n v="5.91"/>
    <d v="1899-12-30T00:34:31"/>
    <d v="1899-12-30T01:07:11"/>
    <d v="1899-12-30T00:50:51"/>
    <m/>
    <d v="1899-12-30T00:08:36"/>
    <n v="1.407142857142857"/>
    <n v="0"/>
    <n v="2.75"/>
    <x v="2"/>
    <n v="0.25"/>
    <n v="0.25"/>
    <n v="0.5"/>
    <n v="0"/>
    <n v="0"/>
    <n v="0"/>
    <n v="0"/>
    <n v="1.7267857142857141"/>
    <s v="23.01.2023"/>
    <n v="1"/>
    <s v="Almost Kenyan Runners"/>
    <m/>
    <n v="0"/>
  </r>
  <r>
    <x v="35"/>
    <s v="F"/>
    <n v="2"/>
    <n v="5.95"/>
    <d v="1899-12-30T00:40:47"/>
    <d v="1899-12-30T00:49:24"/>
    <d v="1899-12-30T00:45:06"/>
    <m/>
    <d v="1899-12-30T00:07:35"/>
    <n v="1.4875"/>
    <n v="0.25"/>
    <n v="3"/>
    <x v="0"/>
    <n v="0.5"/>
    <n v="0.25"/>
    <n v="0.25"/>
    <n v="0"/>
    <n v="0"/>
    <n v="0"/>
    <n v="0"/>
    <n v="1.5562499999999999"/>
    <s v="23.01.2023"/>
    <n v="1"/>
    <s v="#notSYRious"/>
    <m/>
    <n v="1"/>
  </r>
  <r>
    <x v="3"/>
    <s v="M"/>
    <n v="2"/>
    <n v="19.010000000000002"/>
    <d v="1899-12-30T01:44:01"/>
    <d v="1899-12-30T01:46:24"/>
    <d v="1899-12-30T01:45:12"/>
    <m/>
    <d v="1899-12-30T00:05:32"/>
    <n v="4.5261904761904761"/>
    <n v="1.75"/>
    <n v="2.75"/>
    <x v="0"/>
    <n v="0.5"/>
    <n v="0.25"/>
    <n v="0.25"/>
    <n v="0"/>
    <n v="0"/>
    <n v="0"/>
    <n v="0.4"/>
    <n v="3.788095238095238"/>
    <s v="23.01.2023"/>
    <n v="1"/>
    <s v="MedgidiaRunning"/>
    <m/>
    <n v="1"/>
  </r>
  <r>
    <x v="22"/>
    <s v="F"/>
    <n v="2"/>
    <n v="18.100000000000001"/>
    <d v="1899-12-30T02:03:24"/>
    <d v="1899-12-30T02:06:34"/>
    <d v="1899-12-30T02:04:59"/>
    <n v="259"/>
    <d v="1899-12-30T00:06:54"/>
    <n v="4.5250000000000004"/>
    <n v="1"/>
    <n v="2.75"/>
    <x v="0"/>
    <n v="0.5"/>
    <n v="0.25"/>
    <n v="0.25"/>
    <n v="0.17266666666666666"/>
    <n v="0"/>
    <n v="0"/>
    <n v="0"/>
    <n v="3.3726666666666669"/>
    <s v="23.01.2023"/>
    <n v="1"/>
    <s v="MedgidiaRunning"/>
    <m/>
    <n v="1"/>
  </r>
  <r>
    <x v="93"/>
    <s v="M"/>
    <n v="2"/>
    <n v="15.52"/>
    <d v="1899-12-30T02:05:41"/>
    <d v="1899-12-30T02:06:08"/>
    <d v="1899-12-30T02:05:55"/>
    <m/>
    <d v="1899-12-30T00:08:07"/>
    <n v="3.695238095238095"/>
    <n v="0"/>
    <n v="1"/>
    <x v="1"/>
    <n v="0.25"/>
    <n v="0.5"/>
    <n v="0.25"/>
    <n v="0"/>
    <n v="0"/>
    <n v="0"/>
    <n v="0"/>
    <n v="1.1738095238095236"/>
    <s v="23.01.2023"/>
    <n v="1"/>
    <e v="#N/A"/>
    <m/>
    <n v="0"/>
  </r>
  <r>
    <x v="55"/>
    <s v="M"/>
    <n v="2"/>
    <n v="20.28"/>
    <d v="1899-12-30T02:18:49"/>
    <d v="1899-12-30T02:41:10"/>
    <d v="1899-12-30T02:30:00"/>
    <n v="1317"/>
    <d v="1899-12-30T00:07:24"/>
    <n v="4.8285714285714283"/>
    <n v="0.25"/>
    <n v="2"/>
    <x v="0"/>
    <n v="0.5"/>
    <n v="0.25"/>
    <n v="0.25"/>
    <n v="0.878"/>
    <n v="0"/>
    <n v="0"/>
    <n v="0"/>
    <n v="3.8547857142857143"/>
    <s v="23.01.2023"/>
    <n v="1"/>
    <e v="#N/A"/>
    <m/>
    <n v="1"/>
  </r>
  <r>
    <x v="21"/>
    <s v="M"/>
    <n v="2"/>
    <n v="12.45"/>
    <d v="1899-12-30T01:21:52"/>
    <d v="1899-12-30T01:40:40"/>
    <d v="1899-12-30T01:31:16"/>
    <n v="215"/>
    <d v="1899-12-30T00:07:20"/>
    <n v="2.964285714285714"/>
    <n v="0.25"/>
    <n v="2.75"/>
    <x v="1"/>
    <n v="0.25"/>
    <n v="0.5"/>
    <n v="0.25"/>
    <n v="0.14333333333333334"/>
    <n v="0"/>
    <n v="0"/>
    <n v="0.4"/>
    <n v="2.0969047619047618"/>
    <s v="23.01.2023"/>
    <n v="1"/>
    <s v="#notSYRious"/>
    <m/>
    <n v="1"/>
  </r>
  <r>
    <x v="77"/>
    <s v="F"/>
    <n v="2"/>
    <n v="20.260000000000002"/>
    <d v="1899-12-30T01:42:55"/>
    <d v="1899-12-30T01:44:57"/>
    <d v="1899-12-30T01:43:56"/>
    <m/>
    <d v="1899-12-30T00:05:08"/>
    <n v="5"/>
    <n v="3.5"/>
    <n v="4.5"/>
    <x v="0"/>
    <n v="0.5"/>
    <n v="0.25"/>
    <n v="0.25"/>
    <n v="0"/>
    <n v="0"/>
    <n v="0"/>
    <n v="0"/>
    <n v="4.5"/>
    <s v="23.01.2023"/>
    <n v="1"/>
    <s v="The GOATs"/>
    <m/>
    <n v="1"/>
  </r>
  <r>
    <x v="47"/>
    <s v="M"/>
    <n v="2"/>
    <n v="7.41"/>
    <d v="1899-12-30T00:36:42"/>
    <d v="1899-12-30T00:36:52"/>
    <d v="1899-12-30T00:36:47"/>
    <m/>
    <d v="1899-12-30T00:04:58"/>
    <n v="1.7642857142857142"/>
    <n v="3"/>
    <n v="2.75"/>
    <x v="2"/>
    <n v="0.25"/>
    <n v="0.25"/>
    <n v="0.5"/>
    <n v="0"/>
    <n v="0"/>
    <n v="0"/>
    <n v="0"/>
    <n v="2.5660714285714286"/>
    <s v="23.01.2023"/>
    <n v="1"/>
    <e v="#N/A"/>
    <m/>
    <n v="1"/>
  </r>
  <r>
    <x v="49"/>
    <s v="M"/>
    <n v="2"/>
    <n v="15.7"/>
    <d v="1899-12-30T02:48:54"/>
    <d v="1899-12-30T07:07:27"/>
    <d v="1899-12-30T04:58:11"/>
    <n v="639"/>
    <d v="1899-12-30T00:19:00"/>
    <n v="3.7380952380952377"/>
    <n v="0"/>
    <n v="3.25"/>
    <x v="2"/>
    <n v="0.25"/>
    <n v="0.25"/>
    <n v="0.5"/>
    <n v="0.42599999999999999"/>
    <n v="0"/>
    <n v="0"/>
    <n v="0"/>
    <n v="2.9855238095238095"/>
    <s v="23.01.2023"/>
    <n v="1"/>
    <s v="The GOATs"/>
    <m/>
    <n v="0"/>
  </r>
  <r>
    <x v="45"/>
    <s v="F"/>
    <n v="2"/>
    <n v="11.2"/>
    <d v="1899-12-30T01:15:50"/>
    <d v="1899-12-30T01:38:36"/>
    <d v="1899-12-30T01:27:13"/>
    <n v="412"/>
    <d v="1899-12-30T00:07:47"/>
    <n v="2.8"/>
    <n v="0.25"/>
    <n v="1"/>
    <x v="1"/>
    <n v="0.25"/>
    <n v="0.5"/>
    <n v="0.25"/>
    <n v="0.27466666666666667"/>
    <n v="0"/>
    <n v="0"/>
    <n v="0"/>
    <n v="1.3496666666666666"/>
    <s v="23.01.2023"/>
    <n v="1"/>
    <e v="#N/A"/>
    <m/>
    <n v="1"/>
  </r>
  <r>
    <x v="62"/>
    <s v="M"/>
    <n v="2"/>
    <n v="10.34"/>
    <d v="1899-12-30T01:01:11"/>
    <d v="1899-12-30T01:03:38"/>
    <d v="1899-12-30T01:02:25"/>
    <n v="233"/>
    <d v="1899-12-30T00:06:02"/>
    <n v="2.4619047619047616"/>
    <n v="1.25"/>
    <n v="2.75"/>
    <x v="1"/>
    <n v="0.25"/>
    <n v="0.5"/>
    <n v="0.25"/>
    <n v="0.15533333333333332"/>
    <n v="0"/>
    <n v="0"/>
    <n v="0"/>
    <n v="2.0833095238095236"/>
    <s v="23.01.2023"/>
    <n v="1"/>
    <e v="#N/A"/>
    <m/>
    <n v="1"/>
  </r>
  <r>
    <x v="31"/>
    <s v="M"/>
    <n v="2"/>
    <n v="6.11"/>
    <d v="1899-12-30T00:32:35"/>
    <d v="1899-12-30T00:32:35"/>
    <d v="1899-12-30T00:32:35"/>
    <m/>
    <d v="1899-12-30T00:05:20"/>
    <n v="1.4547619047619047"/>
    <n v="2"/>
    <n v="0.5"/>
    <x v="1"/>
    <n v="0.25"/>
    <n v="0.5"/>
    <n v="0.25"/>
    <n v="0"/>
    <n v="0"/>
    <n v="0"/>
    <n v="0"/>
    <n v="1.4886904761904762"/>
    <s v="23.01.2023"/>
    <n v="1"/>
    <e v="#N/A"/>
    <m/>
    <n v="1"/>
  </r>
  <r>
    <x v="41"/>
    <s v="M"/>
    <n v="2"/>
    <n v="50.05"/>
    <d v="1899-12-30T04:28:52"/>
    <d v="1899-12-30T04:33:24"/>
    <d v="1899-12-30T04:31:08"/>
    <n v="535"/>
    <d v="1899-12-30T00:05:25"/>
    <n v="5"/>
    <n v="2"/>
    <n v="3"/>
    <x v="2"/>
    <n v="0.25"/>
    <n v="0.25"/>
    <n v="0.5"/>
    <n v="0.35666666666666669"/>
    <n v="1.4"/>
    <n v="0"/>
    <n v="0"/>
    <n v="5.0066666666666659"/>
    <s v="23.01.2023"/>
    <n v="1"/>
    <s v="UltraHaita lu' Borcan"/>
    <m/>
    <n v="1"/>
  </r>
  <r>
    <x v="34"/>
    <s v="M"/>
    <n v="2"/>
    <n v="11.06"/>
    <d v="1899-12-30T01:26:12"/>
    <d v="1899-12-30T01:26:12"/>
    <d v="1899-12-30T01:26:12"/>
    <n v="404"/>
    <d v="1899-12-30T00:07:48"/>
    <n v="2.6333333333333333"/>
    <n v="0.25"/>
    <n v="2"/>
    <x v="1"/>
    <n v="0.25"/>
    <n v="0.5"/>
    <n v="0.25"/>
    <n v="0.26933333333333331"/>
    <n v="0"/>
    <n v="0"/>
    <n v="0"/>
    <n v="1.5526666666666666"/>
    <s v="23.01.2023"/>
    <n v="1"/>
    <e v="#N/A"/>
    <m/>
    <n v="1"/>
  </r>
  <r>
    <x v="37"/>
    <s v="M"/>
    <n v="2"/>
    <n v="20.100000000000001"/>
    <d v="1899-12-30T01:44:38"/>
    <d v="1899-12-30T01:45:21"/>
    <d v="1899-12-30T01:45:00"/>
    <n v="73"/>
    <d v="1899-12-30T00:05:13"/>
    <n v="4.7857142857142856"/>
    <n v="2.5"/>
    <n v="2"/>
    <x v="0"/>
    <n v="0.5"/>
    <n v="0.25"/>
    <n v="0.25"/>
    <n v="4.8666666666666664E-2"/>
    <n v="0"/>
    <n v="0"/>
    <n v="0"/>
    <n v="3.5665238095238094"/>
    <s v="23.01.2023"/>
    <n v="1"/>
    <e v="#N/A"/>
    <m/>
    <n v="1"/>
  </r>
  <r>
    <x v="52"/>
    <s v="M"/>
    <n v="2"/>
    <n v="8.01"/>
    <d v="1899-12-30T00:35:17"/>
    <d v="1899-12-30T00:35:55"/>
    <d v="1899-12-30T00:35:36"/>
    <m/>
    <d v="1899-12-30T00:04:27"/>
    <n v="1.907142857142857"/>
    <n v="4"/>
    <n v="2.25"/>
    <x v="1"/>
    <n v="0.25"/>
    <n v="0.5"/>
    <n v="0.25"/>
    <n v="0"/>
    <n v="0"/>
    <n v="0"/>
    <n v="0"/>
    <n v="3.0392857142857141"/>
    <s v="23.01.2023"/>
    <n v="1"/>
    <e v="#N/A"/>
    <m/>
    <n v="1"/>
  </r>
  <r>
    <x v="36"/>
    <s v="M"/>
    <n v="2"/>
    <n v="5.01"/>
    <d v="1899-12-30T00:23:44"/>
    <d v="1899-12-30T00:29:24"/>
    <d v="1899-12-30T00:26:34"/>
    <m/>
    <d v="1899-12-30T00:05:18"/>
    <n v="1.1928571428571428"/>
    <n v="2"/>
    <n v="2.25"/>
    <x v="1"/>
    <n v="0.25"/>
    <n v="0.5"/>
    <n v="0.25"/>
    <n v="0"/>
    <n v="0"/>
    <n v="0"/>
    <n v="0"/>
    <n v="1.8607142857142858"/>
    <s v="23.01.2023"/>
    <n v="1"/>
    <s v="MedgidiaRunning"/>
    <m/>
    <n v="1"/>
  </r>
  <r>
    <x v="25"/>
    <s v="M"/>
    <n v="2"/>
    <n v="7.12"/>
    <d v="1899-12-30T00:41:09"/>
    <d v="1899-12-30T00:41:09"/>
    <d v="1899-12-30T00:41:09"/>
    <m/>
    <d v="1899-12-30T00:05:47"/>
    <n v="1.6952380952380952"/>
    <n v="1.5"/>
    <n v="0.75"/>
    <x v="1"/>
    <n v="0.25"/>
    <n v="0.5"/>
    <n v="0.25"/>
    <n v="0"/>
    <n v="0"/>
    <n v="0"/>
    <n v="0"/>
    <n v="1.3613095238095239"/>
    <s v="23.01.2023"/>
    <n v="1"/>
    <e v="#N/A"/>
    <m/>
    <n v="1"/>
  </r>
  <r>
    <x v="44"/>
    <s v="M"/>
    <n v="2"/>
    <n v="63.1"/>
    <d v="1899-12-30T07:19:42"/>
    <d v="1899-12-30T08:31:41"/>
    <d v="1899-12-30T07:55:42"/>
    <n v="1502"/>
    <d v="1899-12-30T00:07:32"/>
    <n v="5"/>
    <n v="0.25"/>
    <n v="4.25"/>
    <x v="0"/>
    <n v="0.5"/>
    <n v="0.25"/>
    <n v="0.25"/>
    <n v="1.0013333333333334"/>
    <n v="2.1"/>
    <n v="0"/>
    <n v="0"/>
    <n v="6.7263333333333328"/>
    <s v="23.01.2023"/>
    <n v="1"/>
    <s v="UltraHaita lu' Borcan"/>
    <m/>
    <n v="1"/>
  </r>
  <r>
    <x v="14"/>
    <s v="F"/>
    <n v="2"/>
    <n v="8.01"/>
    <d v="1899-12-30T00:41:46"/>
    <d v="1899-12-30T00:45:24"/>
    <d v="1899-12-30T00:43:35"/>
    <m/>
    <d v="1899-12-30T00:05:26"/>
    <n v="2.0024999999999999"/>
    <n v="3"/>
    <n v="2"/>
    <x v="1"/>
    <n v="0.25"/>
    <n v="0.5"/>
    <n v="0.25"/>
    <n v="0"/>
    <n v="0"/>
    <n v="0"/>
    <n v="0"/>
    <n v="2.5006249999999999"/>
    <s v="23.01.2023"/>
    <n v="1"/>
    <s v="MedgidiaRunning"/>
    <m/>
    <n v="1"/>
  </r>
  <r>
    <x v="33"/>
    <s v="M"/>
    <n v="2"/>
    <n v="22.18"/>
    <d v="1899-12-30T02:03:19"/>
    <d v="1899-12-30T02:03:29"/>
    <d v="1899-12-30T02:03:24"/>
    <n v="63"/>
    <d v="1899-12-30T00:05:34"/>
    <n v="5"/>
    <n v="1.75"/>
    <n v="0.75"/>
    <x v="0"/>
    <n v="0.5"/>
    <n v="0.25"/>
    <n v="0.25"/>
    <n v="4.2000000000000003E-2"/>
    <n v="0"/>
    <n v="0"/>
    <n v="0"/>
    <n v="3.1669999999999998"/>
    <s v="23.01.2023"/>
    <n v="1"/>
    <s v="UltraHaita lu' Borcan"/>
    <m/>
    <n v="1"/>
  </r>
  <r>
    <x v="18"/>
    <s v="M"/>
    <n v="2"/>
    <n v="84.7"/>
    <d v="1899-12-30T09:21:31"/>
    <d v="1899-12-30T11:19:06"/>
    <d v="1899-12-30T10:20:19"/>
    <n v="299"/>
    <d v="1899-12-30T00:07:19"/>
    <n v="5"/>
    <n v="0.25"/>
    <n v="0.5"/>
    <x v="0"/>
    <n v="0.5"/>
    <n v="0.25"/>
    <n v="0.25"/>
    <n v="0.19933333333333333"/>
    <n v="3.1"/>
    <n v="0"/>
    <n v="0"/>
    <n v="5.9868333333333332"/>
    <s v="23.01.2023"/>
    <n v="1"/>
    <s v="UltraHaita lu' Borcan"/>
    <m/>
    <n v="1"/>
  </r>
  <r>
    <x v="17"/>
    <s v="M"/>
    <n v="2"/>
    <n v="12.04"/>
    <d v="1899-12-30T01:02:33"/>
    <d v="1899-12-30T01:10:08"/>
    <d v="1899-12-30T01:06:21"/>
    <n v="74"/>
    <d v="1899-12-30T00:05:31"/>
    <n v="2.8666666666666663"/>
    <n v="2"/>
    <n v="1.5"/>
    <x v="1"/>
    <n v="0.25"/>
    <n v="0.5"/>
    <n v="0.25"/>
    <n v="4.9333333333333333E-2"/>
    <n v="0"/>
    <n v="0"/>
    <n v="0"/>
    <n v="2.141"/>
    <s v="23.01.2023"/>
    <n v="1"/>
    <e v="#N/A"/>
    <m/>
    <n v="1"/>
  </r>
  <r>
    <x v="13"/>
    <s v="M"/>
    <n v="2"/>
    <n v="5.29"/>
    <d v="1899-12-30T00:39:00"/>
    <d v="1899-12-30T00:39:10"/>
    <d v="1899-12-30T00:39:05"/>
    <n v="57"/>
    <d v="1899-12-30T00:07:23"/>
    <n v="1.2595238095238095"/>
    <n v="0.25"/>
    <n v="1.5"/>
    <x v="1"/>
    <n v="0.25"/>
    <n v="0.5"/>
    <n v="0.25"/>
    <n v="3.7999999999999999E-2"/>
    <n v="0"/>
    <n v="0"/>
    <n v="0"/>
    <n v="0.85288095238095241"/>
    <s v="23.01.2023"/>
    <n v="1"/>
    <s v="MedgidiaRunning"/>
    <m/>
    <n v="1"/>
  </r>
  <r>
    <x v="16"/>
    <s v="F"/>
    <n v="2"/>
    <n v="10.02"/>
    <d v="1899-12-30T00:56:18"/>
    <d v="1899-12-30T01:02:09"/>
    <d v="1899-12-30T00:59:14"/>
    <n v="62"/>
    <d v="1899-12-30T00:05:55"/>
    <n v="2.5049999999999999"/>
    <n v="2"/>
    <n v="2.5"/>
    <x v="1"/>
    <n v="0.25"/>
    <n v="0.5"/>
    <n v="0.25"/>
    <n v="4.1333333333333333E-2"/>
    <n v="0"/>
    <n v="0"/>
    <n v="0"/>
    <n v="2.292583333333333"/>
    <s v="23.01.2023"/>
    <n v="1"/>
    <s v="MedgidiaRunning"/>
    <m/>
    <n v="1"/>
  </r>
  <r>
    <x v="64"/>
    <s v="M"/>
    <n v="2"/>
    <n v="21.11"/>
    <d v="1899-12-30T01:38:26"/>
    <d v="1899-12-30T01:38:26"/>
    <d v="1899-12-30T01:38:26"/>
    <n v="64"/>
    <d v="1899-12-30T00:04:40"/>
    <n v="5"/>
    <n v="3.5"/>
    <n v="3"/>
    <x v="0"/>
    <n v="0.5"/>
    <n v="0.25"/>
    <n v="0.25"/>
    <n v="4.2666666666666665E-2"/>
    <n v="0"/>
    <n v="0"/>
    <n v="0"/>
    <n v="4.1676666666666664"/>
    <s v="23.01.2023"/>
    <n v="1"/>
    <s v="The GOATs"/>
    <m/>
    <n v="1"/>
  </r>
  <r>
    <x v="38"/>
    <s v="F"/>
    <n v="2"/>
    <n v="0"/>
    <d v="1899-12-30T00:00:00"/>
    <d v="1899-12-30T00:00:00"/>
    <d v="1899-12-30T00:00:00"/>
    <m/>
    <d v="1899-12-30T00:00:00"/>
    <n v="0"/>
    <n v="0"/>
    <n v="0"/>
    <x v="3"/>
    <n v="0.25"/>
    <n v="0.25"/>
    <n v="0.25"/>
    <n v="0"/>
    <n v="0"/>
    <n v="0"/>
    <n v="0"/>
    <n v="1.5"/>
    <s v="23.01.2023"/>
    <n v="1"/>
    <s v="#notSYRious"/>
    <m/>
    <n v="0"/>
  </r>
  <r>
    <x v="28"/>
    <s v="M"/>
    <n v="2"/>
    <n v="4.7699999999999996"/>
    <d v="1899-12-30T00:20:05"/>
    <d v="1899-12-30T00:20:05"/>
    <d v="1899-12-30T00:20:05"/>
    <m/>
    <d v="1899-12-30T00:04:13"/>
    <n v="1.1357142857142855"/>
    <n v="4.5"/>
    <n v="2"/>
    <x v="1"/>
    <n v="0.25"/>
    <n v="0.5"/>
    <n v="0.25"/>
    <n v="0"/>
    <n v="0"/>
    <n v="0"/>
    <n v="0"/>
    <n v="3.0339285714285715"/>
    <s v="23.01.2023"/>
    <n v="1"/>
    <s v="UltraHaita lu' Borcan"/>
    <m/>
    <n v="1"/>
  </r>
  <r>
    <x v="20"/>
    <s v="F"/>
    <n v="2"/>
    <n v="13.42"/>
    <d v="1899-12-30T01:15:02"/>
    <d v="1899-12-30T01:15:36"/>
    <d v="1899-12-30T01:15:19"/>
    <m/>
    <d v="1899-12-30T00:05:37"/>
    <n v="3.355"/>
    <n v="2.5"/>
    <n v="1"/>
    <x v="0"/>
    <n v="0.5"/>
    <n v="0.25"/>
    <n v="0.25"/>
    <n v="0"/>
    <n v="0"/>
    <n v="0"/>
    <n v="0"/>
    <n v="2.5525000000000002"/>
    <s v="23.01.2023"/>
    <n v="1"/>
    <s v="MedgidiaRunning"/>
    <m/>
    <n v="1"/>
  </r>
  <r>
    <x v="94"/>
    <s v="F"/>
    <n v="2"/>
    <n v="10.02"/>
    <d v="1899-12-30T00:49:26"/>
    <d v="1899-12-30T00:49:26"/>
    <d v="1899-12-30T00:49:26"/>
    <m/>
    <d v="1899-12-30T00:04:56"/>
    <n v="2.5049999999999999"/>
    <n v="4"/>
    <n v="1.25"/>
    <x v="1"/>
    <n v="0.25"/>
    <n v="0.5"/>
    <n v="0.25"/>
    <n v="0"/>
    <n v="0"/>
    <n v="0"/>
    <n v="0"/>
    <n v="2.9387499999999998"/>
    <s v="23.01.2023"/>
    <n v="1"/>
    <e v="#N/A"/>
    <m/>
    <n v="1"/>
  </r>
  <r>
    <x v="15"/>
    <s v="F"/>
    <n v="2"/>
    <n v="8.7200000000000006"/>
    <d v="1899-12-30T00:56:06"/>
    <d v="1899-12-30T00:56:11"/>
    <d v="1899-12-30T00:56:09"/>
    <m/>
    <d v="1899-12-30T00:06:26"/>
    <n v="2.1800000000000002"/>
    <n v="1.5"/>
    <n v="1.5"/>
    <x v="2"/>
    <n v="0.25"/>
    <n v="0.25"/>
    <n v="0.5"/>
    <n v="0"/>
    <n v="0"/>
    <n v="0"/>
    <n v="0"/>
    <n v="1.67"/>
    <s v="23.01.2023"/>
    <n v="1"/>
    <e v="#N/A"/>
    <m/>
    <n v="1"/>
  </r>
  <r>
    <x v="68"/>
    <s v="F"/>
    <n v="2"/>
    <n v="3.02"/>
    <d v="1899-12-30T00:15:51"/>
    <d v="1899-12-30T00:16:03"/>
    <d v="1899-12-30T00:15:57"/>
    <m/>
    <d v="1899-12-30T00:05:17"/>
    <n v="0.755"/>
    <n v="3"/>
    <n v="2.75"/>
    <x v="1"/>
    <n v="0.25"/>
    <n v="0.5"/>
    <n v="0.25"/>
    <n v="0"/>
    <n v="0"/>
    <n v="0"/>
    <n v="0"/>
    <n v="2.3762499999999998"/>
    <s v="23.01.2023"/>
    <n v="1"/>
    <s v="Almost Kenyan Runners"/>
    <m/>
    <n v="1"/>
  </r>
  <r>
    <x v="24"/>
    <s v="M"/>
    <n v="2"/>
    <n v="12.41"/>
    <d v="1899-12-30T01:06:56"/>
    <d v="1899-12-30T01:11:37"/>
    <d v="1899-12-30T01:09:16"/>
    <m/>
    <d v="1899-12-30T00:05:35"/>
    <n v="2.9547619047619045"/>
    <n v="1.75"/>
    <n v="1.25"/>
    <x v="1"/>
    <n v="0.25"/>
    <n v="0.5"/>
    <n v="0.25"/>
    <n v="0"/>
    <n v="0"/>
    <n v="0"/>
    <n v="0"/>
    <n v="1.926190476190476"/>
    <s v="23.01.2023"/>
    <n v="1"/>
    <e v="#N/A"/>
    <m/>
    <n v="1"/>
  </r>
  <r>
    <x v="5"/>
    <s v="M"/>
    <n v="2"/>
    <n v="16.16"/>
    <d v="1899-12-30T01:38:07"/>
    <d v="1899-12-30T01:38:07"/>
    <d v="1899-12-30T01:38:07"/>
    <m/>
    <d v="1899-12-30T00:06:04"/>
    <n v="3.8476190476190473"/>
    <n v="1.25"/>
    <n v="4"/>
    <x v="0"/>
    <n v="0.5"/>
    <n v="0.25"/>
    <n v="0.25"/>
    <n v="0"/>
    <n v="0"/>
    <n v="0"/>
    <n v="0"/>
    <n v="3.2363095238095236"/>
    <s v="23.01.2023"/>
    <n v="1"/>
    <s v="The GOATs"/>
    <m/>
    <n v="1"/>
  </r>
  <r>
    <x v="0"/>
    <s v="M"/>
    <n v="2"/>
    <n v="21.26"/>
    <d v="1899-12-30T01:55:47"/>
    <d v="1899-12-30T01:56:05"/>
    <d v="1899-12-30T01:55:56"/>
    <m/>
    <d v="1899-12-30T00:05:27"/>
    <n v="5"/>
    <n v="2"/>
    <n v="2"/>
    <x v="0"/>
    <n v="0.5"/>
    <n v="0.25"/>
    <n v="0.25"/>
    <n v="0"/>
    <n v="0"/>
    <n v="0"/>
    <n v="0"/>
    <n v="3.5"/>
    <s v="23.01.2023"/>
    <n v="1"/>
    <s v="UltraHaita lu' Borcan"/>
    <m/>
    <n v="1"/>
  </r>
  <r>
    <x v="19"/>
    <s v="M"/>
    <n v="2"/>
    <n v="10.02"/>
    <d v="1899-12-30T00:49:05"/>
    <d v="1899-12-30T00:53:30"/>
    <d v="1899-12-30T00:51:18"/>
    <m/>
    <d v="1899-12-30T00:05:07"/>
    <n v="2.3857142857142857"/>
    <n v="2.5"/>
    <n v="1"/>
    <x v="1"/>
    <n v="0.25"/>
    <n v="0.5"/>
    <n v="0.25"/>
    <n v="0"/>
    <n v="0"/>
    <n v="0"/>
    <n v="0"/>
    <n v="2.0964285714285715"/>
    <s v="23.01.2023"/>
    <n v="1"/>
    <e v="#N/A"/>
    <m/>
    <n v="1"/>
  </r>
  <r>
    <x v="42"/>
    <s v="M"/>
    <n v="2"/>
    <n v="21.28"/>
    <d v="1899-12-30T01:41:46"/>
    <d v="1899-12-30T01:42:38"/>
    <d v="1899-12-30T01:42:12"/>
    <m/>
    <d v="1899-12-30T00:04:48"/>
    <n v="5"/>
    <n v="3"/>
    <n v="4"/>
    <x v="0"/>
    <n v="0.5"/>
    <n v="0.25"/>
    <n v="0.25"/>
    <n v="0"/>
    <n v="0"/>
    <n v="0"/>
    <n v="0"/>
    <n v="4.25"/>
    <s v="23.01.2023"/>
    <n v="1"/>
    <s v="The GOATs"/>
    <m/>
    <n v="1"/>
  </r>
  <r>
    <x v="23"/>
    <s v="M"/>
    <n v="2"/>
    <n v="10.48"/>
    <d v="1899-12-30T00:54:35"/>
    <d v="1899-12-30T00:54:39"/>
    <d v="1899-12-30T00:54:37"/>
    <m/>
    <d v="1899-12-30T00:05:13"/>
    <n v="2.4952380952380953"/>
    <n v="2.5"/>
    <n v="2"/>
    <x v="1"/>
    <n v="0.25"/>
    <n v="0.5"/>
    <n v="0.25"/>
    <n v="0"/>
    <n v="0"/>
    <n v="0"/>
    <n v="0"/>
    <n v="2.3738095238095238"/>
    <s v="23.01.2023"/>
    <n v="1"/>
    <s v="Almost Kenyan Runners"/>
    <m/>
    <n v="1"/>
  </r>
  <r>
    <x v="1"/>
    <s v="M"/>
    <n v="2"/>
    <n v="22.2"/>
    <d v="1899-12-30T02:14:24"/>
    <d v="1899-12-30T02:14:24"/>
    <d v="1899-12-30T02:14:24"/>
    <m/>
    <d v="1899-12-30T00:06:03"/>
    <n v="5"/>
    <n v="1.25"/>
    <n v="0.75"/>
    <x v="1"/>
    <n v="0.25"/>
    <n v="0.5"/>
    <n v="0.25"/>
    <n v="0"/>
    <n v="0"/>
    <n v="0"/>
    <n v="0"/>
    <n v="2.0625"/>
    <s v="16.01.2023"/>
    <n v="1"/>
    <e v="#N/A"/>
    <m/>
    <n v="1"/>
  </r>
  <r>
    <x v="51"/>
    <s v="F"/>
    <n v="2"/>
    <n v="8"/>
    <d v="1899-12-30T00:42:22"/>
    <d v="1899-12-30T00:58:12"/>
    <d v="1899-12-30T00:50:17"/>
    <m/>
    <d v="1899-12-30T00:06:17"/>
    <n v="2"/>
    <n v="1.5"/>
    <n v="2.5"/>
    <x v="1"/>
    <n v="0.25"/>
    <n v="0.5"/>
    <n v="0.25"/>
    <n v="0"/>
    <n v="0"/>
    <n v="0"/>
    <n v="0"/>
    <n v="1.875"/>
    <s v="23.01.2023"/>
    <n v="1"/>
    <s v="#notSYRious"/>
    <m/>
    <n v="1"/>
  </r>
  <r>
    <x v="79"/>
    <s v="F"/>
    <n v="2"/>
    <n v="5.0199999999999996"/>
    <d v="1899-12-30T00:25:48"/>
    <d v="1899-12-30T00:26:03"/>
    <d v="1899-12-30T00:25:56"/>
    <m/>
    <d v="1899-12-30T00:05:10"/>
    <n v="1.2549999999999999"/>
    <n v="3.5"/>
    <n v="3.5"/>
    <x v="2"/>
    <n v="0.25"/>
    <n v="0.25"/>
    <n v="0.5"/>
    <n v="0"/>
    <n v="0"/>
    <n v="0"/>
    <n v="0"/>
    <n v="2.9387499999999998"/>
    <s v="23.01.2023"/>
    <n v="1"/>
    <e v="#N/A"/>
    <m/>
    <n v="1"/>
  </r>
  <r>
    <x v="95"/>
    <s v="M"/>
    <n v="2"/>
    <n v="10.039999999999999"/>
    <d v="1899-12-30T01:06:19"/>
    <d v="1899-12-30T01:06:19"/>
    <d v="1899-12-30T01:06:19"/>
    <m/>
    <d v="1899-12-30T00:06:36"/>
    <n v="2.39047619047619"/>
    <n v="0.75"/>
    <n v="0"/>
    <x v="1"/>
    <n v="0.25"/>
    <n v="0.5"/>
    <n v="0.25"/>
    <n v="0"/>
    <n v="0"/>
    <n v="0"/>
    <n v="0"/>
    <n v="0.97261904761904749"/>
    <s v="23.01.2023"/>
    <n v="1"/>
    <e v="#N/A"/>
    <m/>
    <n v="1"/>
  </r>
  <r>
    <x v="81"/>
    <s v="M"/>
    <n v="2"/>
    <n v="6.71"/>
    <d v="1899-12-30T00:25:11"/>
    <d v="1899-12-30T00:25:11"/>
    <d v="1899-12-30T00:25:11"/>
    <m/>
    <d v="1899-12-30T00:03:45"/>
    <n v="1.5976190476190475"/>
    <n v="5"/>
    <n v="1.25"/>
    <x v="1"/>
    <n v="0.25"/>
    <n v="0.5"/>
    <n v="0.25"/>
    <n v="0"/>
    <n v="0"/>
    <n v="1.4999999999999998"/>
    <n v="0"/>
    <n v="4.711904761904762"/>
    <s v="23.01.2023"/>
    <n v="1"/>
    <e v="#N/A"/>
    <m/>
    <n v="1"/>
  </r>
  <r>
    <x v="30"/>
    <s v="M"/>
    <n v="2"/>
    <n v="20.75"/>
    <d v="1899-12-30T01:55:57"/>
    <d v="1899-12-30T01:56:08"/>
    <d v="1899-12-30T01:56:02"/>
    <n v="777"/>
    <d v="1899-12-30T00:05:36"/>
    <n v="4.9404761904761907"/>
    <n v="1.75"/>
    <n v="4"/>
    <x v="2"/>
    <n v="0.25"/>
    <n v="0.25"/>
    <n v="0.5"/>
    <n v="0.51800000000000002"/>
    <n v="0"/>
    <n v="0"/>
    <n v="0"/>
    <n v="4.1906190476190472"/>
    <s v="23.01.2023"/>
    <n v="1"/>
    <s v="The GOATs"/>
    <m/>
    <n v="1"/>
  </r>
  <r>
    <x v="80"/>
    <s v="M"/>
    <n v="2"/>
    <n v="3"/>
    <d v="1899-12-30T00:12:06"/>
    <d v="1899-12-30T00:12:10"/>
    <d v="1899-12-30T00:12:08"/>
    <m/>
    <d v="1899-12-30T00:04:03"/>
    <n v="0.7142857142857143"/>
    <n v="4.5"/>
    <n v="3.5"/>
    <x v="1"/>
    <n v="0.25"/>
    <n v="0.5"/>
    <n v="0.25"/>
    <n v="0"/>
    <n v="0"/>
    <n v="0"/>
    <n v="0"/>
    <n v="3.3035714285714284"/>
    <s v="23.01.2023"/>
    <n v="1"/>
    <s v="Almost Kenyan Runners"/>
    <m/>
    <n v="1"/>
  </r>
  <r>
    <x v="75"/>
    <s v="F"/>
    <n v="2"/>
    <n v="15.02"/>
    <d v="1899-12-30T01:25:42"/>
    <d v="1899-12-30T01:33:56"/>
    <d v="1899-12-30T01:29:49"/>
    <n v="79"/>
    <d v="1899-12-30T00:05:59"/>
    <n v="3.7549999999999999"/>
    <n v="2"/>
    <n v="2.75"/>
    <x v="0"/>
    <n v="0.5"/>
    <n v="0.25"/>
    <n v="0.25"/>
    <n v="5.2666666666666667E-2"/>
    <n v="0"/>
    <n v="0"/>
    <n v="0"/>
    <n v="3.1176666666666666"/>
    <s v="23.01.2023"/>
    <n v="1"/>
    <s v="#notSYRious"/>
    <m/>
    <n v="1"/>
  </r>
  <r>
    <x v="50"/>
    <s v="M"/>
    <n v="2"/>
    <n v="17.260000000000002"/>
    <d v="1899-12-30T01:42:05"/>
    <d v="1899-12-30T01:43:05"/>
    <d v="1899-12-30T01:42:35"/>
    <n v="91"/>
    <d v="1899-12-30T00:05:57"/>
    <n v="4.10952380952381"/>
    <n v="1.5"/>
    <n v="3"/>
    <x v="1"/>
    <n v="0.25"/>
    <n v="0.5"/>
    <n v="0.25"/>
    <n v="6.0666666666666667E-2"/>
    <n v="0"/>
    <n v="0"/>
    <n v="0"/>
    <n v="2.5880476190476194"/>
    <s v="23.01.2023"/>
    <n v="1"/>
    <s v="The GOATs"/>
    <m/>
    <n v="1"/>
  </r>
  <r>
    <x v="39"/>
    <s v="M"/>
    <n v="2"/>
    <n v="4.03"/>
    <d v="1899-12-30T00:24:26"/>
    <d v="1899-12-30T00:24:30"/>
    <d v="1899-12-30T00:24:28"/>
    <m/>
    <d v="1899-12-30T00:06:04"/>
    <n v="0.95952380952380956"/>
    <n v="1.25"/>
    <n v="4.25"/>
    <x v="2"/>
    <n v="0.25"/>
    <n v="0.25"/>
    <n v="0.5"/>
    <n v="0"/>
    <n v="0"/>
    <n v="0"/>
    <n v="0"/>
    <n v="2.6773809523809522"/>
    <s v="23.01.2023"/>
    <n v="1"/>
    <s v="#notSYRious"/>
    <m/>
    <n v="1"/>
  </r>
  <r>
    <x v="85"/>
    <s v="M"/>
    <n v="2"/>
    <n v="3"/>
    <d v="1899-12-30T00:11:42"/>
    <d v="1899-12-30T00:11:42"/>
    <d v="1899-12-30T00:11:42"/>
    <m/>
    <d v="1899-12-30T00:03:54"/>
    <n v="0.7142857142857143"/>
    <n v="5"/>
    <n v="3.75"/>
    <x v="1"/>
    <n v="0.25"/>
    <n v="0.5"/>
    <n v="0.25"/>
    <n v="0"/>
    <n v="0"/>
    <n v="0.45000000000000007"/>
    <n v="0"/>
    <n v="4.0660714285714281"/>
    <s v="23.01.2023"/>
    <n v="1"/>
    <s v="The GOATs"/>
    <m/>
    <n v="1"/>
  </r>
  <r>
    <x v="46"/>
    <s v="M"/>
    <n v="2"/>
    <n v="14.07"/>
    <d v="1899-12-30T01:14:33"/>
    <d v="1899-12-30T01:15:13"/>
    <d v="1899-12-30T01:14:53"/>
    <n v="64"/>
    <d v="1899-12-30T00:05:19"/>
    <n v="3.35"/>
    <n v="2"/>
    <n v="2.75"/>
    <x v="1"/>
    <n v="0.25"/>
    <n v="0.5"/>
    <n v="0.25"/>
    <n v="4.2666666666666665E-2"/>
    <n v="0"/>
    <n v="0"/>
    <n v="0"/>
    <n v="2.5676666666666668"/>
    <s v="23.01.2023"/>
    <n v="1"/>
    <s v="#notSYRious"/>
    <m/>
    <n v="1"/>
  </r>
  <r>
    <x v="86"/>
    <s v="F"/>
    <n v="2"/>
    <n v="15.39"/>
    <d v="1899-12-30T01:32:26"/>
    <d v="1899-12-30T01:32:38"/>
    <d v="1899-12-30T01:32:32"/>
    <m/>
    <d v="1899-12-30T00:06:01"/>
    <n v="3.8475000000000001"/>
    <n v="2"/>
    <n v="1.25"/>
    <x v="0"/>
    <n v="0.5"/>
    <n v="0.25"/>
    <n v="0.25"/>
    <n v="0"/>
    <n v="0"/>
    <n v="0"/>
    <n v="0"/>
    <n v="2.7362500000000001"/>
    <s v="23.01.2023"/>
    <n v="1"/>
    <s v="Almost Kenyan Runners"/>
    <m/>
    <n v="1"/>
  </r>
  <r>
    <x v="96"/>
    <s v="F"/>
    <n v="2"/>
    <n v="10.06"/>
    <d v="1899-12-30T00:58:35"/>
    <d v="1899-12-30T01:00:58"/>
    <d v="1899-12-30T00:59:47"/>
    <n v="82"/>
    <d v="1899-12-30T00:05:57"/>
    <n v="2.5150000000000001"/>
    <n v="2"/>
    <n v="2.5"/>
    <x v="1"/>
    <n v="0.25"/>
    <n v="0.5"/>
    <n v="0.25"/>
    <n v="5.4666666666666669E-2"/>
    <n v="0"/>
    <n v="0"/>
    <n v="0"/>
    <n v="2.308416666666667"/>
    <s v="23.01.2023"/>
    <n v="1"/>
    <e v="#N/A"/>
    <m/>
    <n v="1"/>
  </r>
  <r>
    <x v="78"/>
    <s v="M"/>
    <n v="2"/>
    <n v="45.7"/>
    <d v="1899-12-30T09:00:07"/>
    <d v="1899-12-30T10:00:33"/>
    <d v="1899-12-30T09:30:20"/>
    <n v="1571"/>
    <d v="1899-12-30T00:12:29"/>
    <n v="5"/>
    <n v="0"/>
    <n v="3.25"/>
    <x v="2"/>
    <n v="0.25"/>
    <n v="0.25"/>
    <n v="0.5"/>
    <n v="1.0473333333333332"/>
    <n v="1.2"/>
    <n v="0"/>
    <n v="0.4"/>
    <n v="5.522333333333334"/>
    <s v="23.01.2023"/>
    <n v="1"/>
    <s v="Almost Kenyan Runners"/>
    <m/>
    <n v="0"/>
  </r>
  <r>
    <x v="11"/>
    <s v="M"/>
    <n v="3"/>
    <n v="21.13"/>
    <d v="1899-12-30T01:59:25"/>
    <d v="1899-12-30T01:59:25"/>
    <d v="1899-12-30T01:59:25"/>
    <m/>
    <d v="1899-12-30T00:05:39"/>
    <n v="5"/>
    <n v="1.75"/>
    <n v="0.5"/>
    <x v="2"/>
    <n v="0.25"/>
    <n v="0.25"/>
    <n v="0.5"/>
    <n v="0"/>
    <n v="0"/>
    <n v="0"/>
    <n v="0.4"/>
    <n v="2.3374999999999999"/>
    <s v="25.01.2023"/>
    <n v="1"/>
    <e v="#N/A"/>
    <m/>
    <n v="1"/>
  </r>
  <r>
    <x v="96"/>
    <s v="F"/>
    <n v="3"/>
    <n v="23.27"/>
    <d v="1899-12-30T02:32:59"/>
    <d v="1899-12-30T03:22:11"/>
    <d v="1899-12-30T02:57:35"/>
    <n v="59"/>
    <d v="1899-12-30T00:07:38"/>
    <n v="5"/>
    <n v="0.25"/>
    <n v="5"/>
    <x v="0"/>
    <n v="0.5"/>
    <n v="0.25"/>
    <n v="0.25"/>
    <n v="3.9333333333333331E-2"/>
    <n v="0.1"/>
    <n v="0"/>
    <n v="0"/>
    <n v="3.9518333333333335"/>
    <s v="25.01.2023"/>
    <n v="1"/>
    <e v="#N/A"/>
    <m/>
    <n v="1"/>
  </r>
  <r>
    <x v="0"/>
    <s v="M"/>
    <n v="3"/>
    <n v="11.81"/>
    <d v="1899-12-30T01:04:36"/>
    <d v="1899-12-30T01:20:53"/>
    <d v="1899-12-30T01:12:44"/>
    <m/>
    <d v="1899-12-30T00:06:10"/>
    <n v="2.8119047619047617"/>
    <n v="1.25"/>
    <n v="2"/>
    <x v="2"/>
    <n v="0.25"/>
    <n v="0.25"/>
    <n v="0.5"/>
    <n v="0"/>
    <n v="0"/>
    <n v="0"/>
    <n v="0"/>
    <n v="2.0154761904761904"/>
    <s v="25.01.2023"/>
    <n v="1"/>
    <s v="UltraHaita lu' Borcan"/>
    <m/>
    <n v="1"/>
  </r>
  <r>
    <x v="97"/>
    <s v="F"/>
    <n v="3"/>
    <n v="24.25"/>
    <d v="1899-12-30T02:16:21"/>
    <d v="1899-12-30T02:31:12"/>
    <d v="1899-12-30T02:23:46"/>
    <n v="23"/>
    <d v="1899-12-30T00:05:56"/>
    <n v="5"/>
    <n v="2"/>
    <n v="1.75"/>
    <x v="2"/>
    <n v="0.25"/>
    <n v="0.25"/>
    <n v="0.5"/>
    <n v="0"/>
    <n v="0.1"/>
    <n v="0"/>
    <n v="0"/>
    <n v="2.7250000000000001"/>
    <s v="25.01.2023"/>
    <n v="1"/>
    <e v="#N/A"/>
    <m/>
    <n v="1"/>
  </r>
  <r>
    <x v="49"/>
    <s v="M"/>
    <n v="3"/>
    <n v="16.12"/>
    <d v="1899-12-30T01:33:46"/>
    <d v="1899-12-30T01:50:59"/>
    <d v="1899-12-30T01:42:22"/>
    <n v="136"/>
    <d v="1899-12-30T00:06:21"/>
    <n v="3.8380952380952382"/>
    <n v="1"/>
    <n v="4.75"/>
    <x v="2"/>
    <n v="0.25"/>
    <n v="0.25"/>
    <n v="0.5"/>
    <n v="9.0666666666666673E-2"/>
    <n v="0"/>
    <n v="0"/>
    <n v="0"/>
    <n v="3.6751904761904761"/>
    <s v="25.01.2023"/>
    <n v="1"/>
    <s v="The GOATs"/>
    <m/>
    <n v="1"/>
  </r>
  <r>
    <x v="98"/>
    <s v="F"/>
    <n v="3"/>
    <n v="19.100000000000001"/>
    <d v="1899-12-30T01:57:03"/>
    <d v="1899-12-30T02:01:48"/>
    <d v="1899-12-30T01:59:25"/>
    <n v="189"/>
    <d v="1899-12-30T00:06:15"/>
    <n v="4.7750000000000004"/>
    <n v="1.75"/>
    <n v="3.5"/>
    <x v="2"/>
    <n v="0.25"/>
    <n v="0.25"/>
    <n v="0.5"/>
    <n v="0.126"/>
    <n v="0"/>
    <n v="0"/>
    <n v="0"/>
    <n v="3.50725"/>
    <s v="25.01.2023"/>
    <n v="1"/>
    <s v="#notSYRious"/>
    <m/>
    <n v="1"/>
  </r>
  <r>
    <x v="15"/>
    <s v="F"/>
    <n v="3"/>
    <n v="21.03"/>
    <d v="1899-12-30T02:09:19"/>
    <d v="1899-12-30T02:09:22"/>
    <d v="1899-12-30T02:09:20"/>
    <m/>
    <d v="1899-12-30T00:06:09"/>
    <n v="5"/>
    <n v="1.75"/>
    <n v="2.75"/>
    <x v="0"/>
    <n v="0.5"/>
    <n v="0.25"/>
    <n v="0.25"/>
    <n v="0"/>
    <n v="0"/>
    <n v="0"/>
    <n v="0"/>
    <n v="3.625"/>
    <s v="25.01.2023"/>
    <n v="1"/>
    <e v="#N/A"/>
    <m/>
    <n v="1"/>
  </r>
  <r>
    <x v="1"/>
    <s v="M"/>
    <n v="3"/>
    <n v="23.11"/>
    <d v="1899-12-30T02:20:34"/>
    <d v="1899-12-30T02:20:34"/>
    <d v="1899-12-30T02:20:34"/>
    <m/>
    <d v="1899-12-30T00:06:05"/>
    <n v="5"/>
    <n v="1.25"/>
    <n v="0.75"/>
    <x v="2"/>
    <n v="0.25"/>
    <n v="0.25"/>
    <n v="0.5"/>
    <n v="0"/>
    <n v="0.1"/>
    <n v="0"/>
    <n v="0"/>
    <n v="2.0375000000000001"/>
    <s v="25.01.2023"/>
    <n v="1"/>
    <e v="#N/A"/>
    <m/>
    <n v="1"/>
  </r>
  <r>
    <x v="57"/>
    <s v="M"/>
    <n v="3"/>
    <n v="24.24"/>
    <d v="1899-12-30T02:13:48"/>
    <d v="1899-12-30T02:15:38"/>
    <d v="1899-12-30T02:14:43"/>
    <n v="81"/>
    <d v="1899-12-30T00:05:33"/>
    <n v="5"/>
    <n v="1.75"/>
    <n v="2.75"/>
    <x v="2"/>
    <n v="0.25"/>
    <n v="0.25"/>
    <n v="0.5"/>
    <n v="5.3999999999999999E-2"/>
    <n v="0.1"/>
    <n v="0"/>
    <n v="0"/>
    <n v="3.2164999999999999"/>
    <s v="25.01.2023"/>
    <n v="1"/>
    <s v="The GOATs"/>
    <m/>
    <n v="1"/>
  </r>
  <r>
    <x v="35"/>
    <s v="F"/>
    <n v="3"/>
    <n v="9.9600000000000009"/>
    <d v="1899-12-30T01:02:43"/>
    <d v="1899-12-30T01:02:43"/>
    <d v="1899-12-30T01:02:43"/>
    <m/>
    <d v="1899-12-30T00:06:18"/>
    <n v="2.4900000000000002"/>
    <n v="1.5"/>
    <n v="3.25"/>
    <x v="2"/>
    <n v="0.25"/>
    <n v="0.25"/>
    <n v="0.5"/>
    <n v="0"/>
    <n v="0"/>
    <n v="0"/>
    <n v="0"/>
    <n v="2.6225000000000001"/>
    <s v="25.01.2023"/>
    <n v="1"/>
    <s v="#notSYRious"/>
    <m/>
    <n v="1"/>
  </r>
  <r>
    <x v="21"/>
    <s v="M"/>
    <n v="3"/>
    <n v="7.69"/>
    <d v="1899-12-30T00:47:05"/>
    <d v="1899-12-30T00:53:03"/>
    <d v="1899-12-30T00:50:04"/>
    <n v="137"/>
    <d v="1899-12-30T00:06:31"/>
    <n v="1.8309523809523809"/>
    <n v="1"/>
    <n v="3"/>
    <x v="1"/>
    <n v="0.25"/>
    <n v="0.5"/>
    <n v="0.25"/>
    <n v="9.1333333333333336E-2"/>
    <n v="0"/>
    <n v="0"/>
    <n v="0.4"/>
    <n v="2.1990714285714286"/>
    <s v="27.01.2023"/>
    <n v="1"/>
    <s v="#notSYRious"/>
    <m/>
    <n v="1"/>
  </r>
  <r>
    <x v="51"/>
    <s v="F"/>
    <n v="3"/>
    <n v="21.4"/>
    <d v="1899-12-30T01:58:06"/>
    <d v="1899-12-30T01:59:17"/>
    <d v="1899-12-30T01:58:41"/>
    <n v="100"/>
    <d v="1899-12-30T00:05:33"/>
    <n v="5"/>
    <n v="2.5"/>
    <n v="3"/>
    <x v="2"/>
    <n v="0.25"/>
    <n v="0.25"/>
    <n v="0.5"/>
    <n v="6.6666666666666666E-2"/>
    <n v="0"/>
    <n v="0"/>
    <n v="0"/>
    <n v="3.4416666666666669"/>
    <s v="27.01.2023"/>
    <n v="1"/>
    <s v="#notSYRious"/>
    <m/>
    <n v="1"/>
  </r>
  <r>
    <x v="70"/>
    <s v="F"/>
    <n v="3"/>
    <n v="13.02"/>
    <d v="1899-12-30T01:58:50"/>
    <d v="1899-12-30T02:00:57"/>
    <d v="1899-12-30T01:59:53"/>
    <n v="412"/>
    <d v="1899-12-30T00:09:12"/>
    <n v="3.2549999999999999"/>
    <n v="0"/>
    <n v="2.75"/>
    <x v="2"/>
    <n v="0.25"/>
    <n v="0.25"/>
    <n v="0.5"/>
    <n v="0.27466666666666667"/>
    <n v="0"/>
    <n v="0"/>
    <n v="0"/>
    <n v="2.4634166666666664"/>
    <s v="27.01.2023"/>
    <n v="1"/>
    <e v="#N/A"/>
    <m/>
    <n v="0"/>
  </r>
  <r>
    <x v="60"/>
    <s v="M"/>
    <n v="3"/>
    <n v="38.049999999999997"/>
    <d v="1899-12-30T02:29:59"/>
    <d v="1899-12-30T02:30:33"/>
    <d v="1899-12-30T02:30:16"/>
    <n v="247"/>
    <d v="1899-12-30T00:03:57"/>
    <n v="5"/>
    <n v="5"/>
    <n v="4"/>
    <x v="0"/>
    <n v="0.5"/>
    <n v="0.25"/>
    <n v="0.25"/>
    <n v="0.16466666666666666"/>
    <n v="0.8"/>
    <n v="0.15000000000000002"/>
    <n v="0"/>
    <n v="5.8646666666666665"/>
    <s v="27.01.2023"/>
    <n v="1"/>
    <s v="#notSYRious"/>
    <m/>
    <n v="1"/>
  </r>
  <r>
    <x v="58"/>
    <s v="M"/>
    <n v="3"/>
    <n v="9.17"/>
    <d v="1899-12-30T00:45:00"/>
    <d v="1899-12-30T00:45:03"/>
    <d v="1899-12-30T00:45:02"/>
    <n v="19"/>
    <d v="1899-12-30T00:04:55"/>
    <n v="2.1833333333333331"/>
    <n v="3"/>
    <n v="1.25"/>
    <x v="0"/>
    <n v="0.5"/>
    <n v="0.25"/>
    <n v="0.25"/>
    <n v="0"/>
    <n v="0"/>
    <n v="0"/>
    <n v="0"/>
    <n v="2.1541666666666668"/>
    <s v="27.01.2023"/>
    <n v="1"/>
    <s v="Almost Kenyan Runners"/>
    <m/>
    <n v="1"/>
  </r>
  <r>
    <x v="7"/>
    <s v="M"/>
    <n v="3"/>
    <n v="10"/>
    <d v="1899-12-30T00:53:31"/>
    <d v="1899-12-30T00:54:15"/>
    <d v="1899-12-30T00:53:53"/>
    <n v="85"/>
    <d v="1899-12-30T00:05:23"/>
    <n v="2.3809523809523809"/>
    <n v="2"/>
    <n v="1.5"/>
    <x v="1"/>
    <n v="0.25"/>
    <n v="0.5"/>
    <n v="0.25"/>
    <n v="5.6666666666666664E-2"/>
    <n v="0"/>
    <n v="0"/>
    <n v="0"/>
    <n v="2.026904761904762"/>
    <s v="27.01.2023"/>
    <n v="1"/>
    <s v="MedgidiaRunning"/>
    <m/>
    <n v="1"/>
  </r>
  <r>
    <x v="24"/>
    <s v="M"/>
    <n v="3"/>
    <n v="7.18"/>
    <d v="1899-12-30T00:34:28"/>
    <d v="1899-12-30T00:35:18"/>
    <d v="1899-12-30T00:34:53"/>
    <m/>
    <d v="1899-12-30T00:04:52"/>
    <n v="1.7095238095238094"/>
    <n v="3"/>
    <n v="2"/>
    <x v="1"/>
    <n v="0.25"/>
    <n v="0.5"/>
    <n v="0.25"/>
    <n v="0"/>
    <n v="0"/>
    <n v="0"/>
    <n v="0"/>
    <n v="2.4273809523809522"/>
    <s v="27.01.2023"/>
    <n v="1"/>
    <e v="#N/A"/>
    <m/>
    <n v="1"/>
  </r>
  <r>
    <x v="36"/>
    <s v="M"/>
    <n v="3"/>
    <n v="12.02"/>
    <d v="1899-12-30T01:08:37"/>
    <d v="1899-12-30T01:11:05"/>
    <d v="1899-12-30T01:09:51"/>
    <n v="88"/>
    <d v="1899-12-30T00:05:49"/>
    <n v="2.8619047619047615"/>
    <n v="1.5"/>
    <n v="3.75"/>
    <x v="2"/>
    <n v="0.25"/>
    <n v="0.25"/>
    <n v="0.5"/>
    <n v="5.8666666666666666E-2"/>
    <n v="0"/>
    <n v="0"/>
    <n v="0"/>
    <n v="3.024142857142857"/>
    <s v="27.01.2023"/>
    <n v="1"/>
    <s v="MedgidiaRunning"/>
    <m/>
    <n v="1"/>
  </r>
  <r>
    <x v="28"/>
    <s v="M"/>
    <n v="3"/>
    <n v="26.1"/>
    <d v="1899-12-30T02:23:17"/>
    <d v="1899-12-30T02:24:07"/>
    <d v="1899-12-30T02:23:42"/>
    <n v="239"/>
    <d v="1899-12-30T00:05:30"/>
    <n v="5"/>
    <n v="2"/>
    <n v="2.25"/>
    <x v="0"/>
    <n v="0.5"/>
    <n v="0.25"/>
    <n v="0.25"/>
    <n v="0.15933333333333333"/>
    <n v="0.2"/>
    <n v="0"/>
    <n v="0"/>
    <n v="3.9218333333333337"/>
    <s v="27.01.2023"/>
    <n v="1"/>
    <s v="UltraHaita lu' Borcan"/>
    <m/>
    <n v="1"/>
  </r>
  <r>
    <x v="99"/>
    <s v="F"/>
    <n v="3"/>
    <n v="10.28"/>
    <d v="1899-12-30T01:28:01"/>
    <d v="1899-12-30T01:40:48"/>
    <d v="1899-12-30T01:34:24"/>
    <n v="371"/>
    <d v="1899-12-30T00:09:11"/>
    <n v="2.57"/>
    <n v="0"/>
    <n v="3.5"/>
    <x v="2"/>
    <n v="0.25"/>
    <n v="0.25"/>
    <n v="0.5"/>
    <n v="0.24733333333333332"/>
    <n v="0"/>
    <n v="0"/>
    <n v="0"/>
    <n v="2.6398333333333333"/>
    <s v="27.01.2023"/>
    <n v="1"/>
    <s v="#notSYRious"/>
    <m/>
    <n v="0"/>
  </r>
  <r>
    <x v="16"/>
    <s v="F"/>
    <n v="3"/>
    <n v="10.75"/>
    <d v="1899-12-30T00:56:01"/>
    <d v="1899-12-30T00:56:01"/>
    <d v="1899-12-30T00:56:01"/>
    <n v="43"/>
    <d v="1899-12-30T00:05:13"/>
    <n v="2.6875"/>
    <n v="3.5"/>
    <n v="3"/>
    <x v="2"/>
    <n v="0.25"/>
    <n v="0.25"/>
    <n v="0.5"/>
    <n v="0"/>
    <n v="0"/>
    <n v="0"/>
    <n v="0"/>
    <n v="3.046875"/>
    <s v="27.01.2023"/>
    <n v="1"/>
    <s v="MedgidiaRunning"/>
    <m/>
    <n v="1"/>
  </r>
  <r>
    <x v="38"/>
    <s v="F"/>
    <n v="3"/>
    <n v="19.32"/>
    <d v="1899-12-30T03:16:51"/>
    <d v="1899-12-30T03:24:43"/>
    <d v="1899-12-30T03:20:47"/>
    <n v="521"/>
    <d v="1899-12-30T00:10:24"/>
    <n v="4.83"/>
    <n v="0"/>
    <n v="1.75"/>
    <x v="0"/>
    <n v="0.5"/>
    <n v="0.25"/>
    <n v="0.25"/>
    <n v="0.34733333333333333"/>
    <n v="0"/>
    <n v="0"/>
    <n v="0"/>
    <n v="3.1998333333333333"/>
    <s v="27.01.2023"/>
    <n v="1"/>
    <s v="#notSYRious"/>
    <m/>
    <n v="0"/>
  </r>
  <r>
    <x v="2"/>
    <s v="F"/>
    <n v="3"/>
    <n v="10.74"/>
    <d v="1899-12-30T01:05:45"/>
    <d v="1899-12-30T01:05:48"/>
    <d v="1899-12-30T01:05:47"/>
    <n v="47"/>
    <d v="1899-12-30T00:06:07"/>
    <n v="2.6850000000000001"/>
    <n v="1.75"/>
    <n v="3.75"/>
    <x v="2"/>
    <n v="0.25"/>
    <n v="0.25"/>
    <n v="0.5"/>
    <n v="0"/>
    <n v="0"/>
    <n v="0"/>
    <n v="0"/>
    <n v="2.9837500000000001"/>
    <s v="27.01.2023"/>
    <n v="1"/>
    <s v="MedgidiaRunning"/>
    <m/>
    <n v="1"/>
  </r>
  <r>
    <x v="45"/>
    <s v="F"/>
    <n v="3"/>
    <n v="9.7799999999999994"/>
    <d v="1899-12-30T01:18:11"/>
    <d v="1899-12-30T01:21:15"/>
    <d v="1899-12-30T01:19:43"/>
    <n v="369"/>
    <d v="1899-12-30T00:08:09"/>
    <n v="2.4449999999999998"/>
    <n v="0.25"/>
    <n v="2"/>
    <x v="2"/>
    <n v="0.25"/>
    <n v="0.25"/>
    <n v="0.5"/>
    <n v="0.246"/>
    <n v="0"/>
    <n v="0"/>
    <n v="0"/>
    <n v="1.9197500000000001"/>
    <s v="27.01.2023"/>
    <n v="1"/>
    <e v="#N/A"/>
    <m/>
    <n v="1"/>
  </r>
  <r>
    <x v="18"/>
    <s v="M"/>
    <n v="3"/>
    <n v="42.31"/>
    <d v="1899-12-30T03:42:30"/>
    <d v="1899-12-30T03:51:55"/>
    <d v="1899-12-30T03:47:13"/>
    <n v="104"/>
    <d v="1899-12-30T00:05:22"/>
    <n v="5"/>
    <n v="2"/>
    <n v="1.5"/>
    <x v="0"/>
    <n v="0.5"/>
    <n v="0.25"/>
    <n v="0.25"/>
    <n v="6.933333333333333E-2"/>
    <n v="1"/>
    <n v="0"/>
    <n v="0"/>
    <n v="4.4443333333333328"/>
    <s v="27.01.2023"/>
    <n v="1"/>
    <s v="UltraHaita lu' Borcan"/>
    <m/>
    <n v="1"/>
  </r>
  <r>
    <x v="47"/>
    <s v="M"/>
    <n v="3"/>
    <n v="10.89"/>
    <d v="1899-12-30T00:52:24"/>
    <d v="1899-12-30T00:52:57"/>
    <d v="1899-12-30T00:52:41"/>
    <n v="47"/>
    <d v="1899-12-30T00:04:50"/>
    <n v="2.592857142857143"/>
    <n v="3"/>
    <n v="1.5"/>
    <x v="2"/>
    <n v="0.25"/>
    <n v="0.25"/>
    <n v="0.5"/>
    <n v="0"/>
    <n v="0"/>
    <n v="0"/>
    <n v="0"/>
    <n v="2.1482142857142859"/>
    <s v="28.01.2023"/>
    <n v="1"/>
    <e v="#N/A"/>
    <m/>
    <n v="1"/>
  </r>
  <r>
    <x v="44"/>
    <s v="M"/>
    <n v="3"/>
    <n v="19.89"/>
    <d v="1899-12-30T02:33:43"/>
    <d v="1899-12-30T02:36:32"/>
    <d v="1899-12-30T02:35:07"/>
    <n v="774"/>
    <d v="1899-12-30T00:07:48"/>
    <n v="4.7357142857142858"/>
    <n v="0.25"/>
    <n v="4.25"/>
    <x v="2"/>
    <n v="0.25"/>
    <n v="0.25"/>
    <n v="0.5"/>
    <n v="0.51600000000000001"/>
    <n v="0"/>
    <n v="0"/>
    <n v="0"/>
    <n v="3.8874285714285715"/>
    <s v="28.01.2023"/>
    <n v="1"/>
    <s v="UltraHaita lu' Borcan"/>
    <m/>
    <n v="1"/>
  </r>
  <r>
    <x v="19"/>
    <s v="M"/>
    <n v="3"/>
    <n v="19.920000000000002"/>
    <d v="1899-12-30T02:29:17"/>
    <d v="1899-12-30T02:33:32"/>
    <d v="1899-12-30T02:31:24"/>
    <n v="767"/>
    <d v="1899-12-30T00:07:36"/>
    <n v="4.7428571428571429"/>
    <n v="0.25"/>
    <n v="1.5"/>
    <x v="0"/>
    <n v="0.5"/>
    <n v="0.25"/>
    <n v="0.25"/>
    <n v="0.51133333333333331"/>
    <n v="0"/>
    <n v="0"/>
    <n v="0"/>
    <n v="3.3202619047619049"/>
    <s v="28.01.2023"/>
    <n v="1"/>
    <e v="#N/A"/>
    <m/>
    <n v="1"/>
  </r>
  <r>
    <x v="17"/>
    <s v="M"/>
    <n v="3"/>
    <n v="14.12"/>
    <d v="1899-12-30T01:16:19"/>
    <d v="1899-12-30T01:23:57"/>
    <d v="1899-12-30T01:20:08"/>
    <m/>
    <d v="1899-12-30T00:05:41"/>
    <n v="3.3619047619047615"/>
    <n v="1.75"/>
    <n v="2"/>
    <x v="0"/>
    <n v="0.5"/>
    <n v="0.25"/>
    <n v="0.25"/>
    <n v="0"/>
    <n v="0"/>
    <n v="0"/>
    <n v="0"/>
    <n v="2.6184523809523808"/>
    <s v="28.01.2023"/>
    <n v="1"/>
    <e v="#N/A"/>
    <m/>
    <n v="1"/>
  </r>
  <r>
    <x v="100"/>
    <s v="M"/>
    <n v="3"/>
    <n v="14.69"/>
    <d v="1899-12-30T01:36:47"/>
    <d v="1899-12-30T01:39:39"/>
    <d v="1899-12-30T01:38:13"/>
    <m/>
    <d v="1899-12-30T00:06:41"/>
    <n v="3.4976190476190472"/>
    <n v="0.75"/>
    <n v="1.5"/>
    <x v="2"/>
    <n v="0.25"/>
    <n v="0.25"/>
    <n v="0.5"/>
    <n v="0"/>
    <n v="0"/>
    <n v="0"/>
    <n v="0"/>
    <n v="1.8119047619047617"/>
    <s v="28.01.2023"/>
    <n v="1"/>
    <e v="#N/A"/>
    <m/>
    <n v="1"/>
  </r>
  <r>
    <x v="32"/>
    <s v="M"/>
    <n v="3"/>
    <n v="24.19"/>
    <d v="1899-12-30T02:26:53"/>
    <d v="1899-12-30T02:26:59"/>
    <d v="1899-12-30T02:26:56"/>
    <m/>
    <d v="1899-12-30T00:06:04"/>
    <n v="5"/>
    <n v="1.25"/>
    <n v="1.5"/>
    <x v="2"/>
    <n v="0.25"/>
    <n v="0.25"/>
    <n v="0.5"/>
    <n v="0"/>
    <n v="0.1"/>
    <n v="0"/>
    <n v="0"/>
    <n v="2.4125000000000001"/>
    <s v="28.01.2023"/>
    <n v="1"/>
    <e v="#N/A"/>
    <m/>
    <n v="1"/>
  </r>
  <r>
    <x v="43"/>
    <s v="M"/>
    <n v="3"/>
    <n v="18.2"/>
    <d v="1899-12-30T01:39:01"/>
    <d v="1899-12-30T01:41:08"/>
    <d v="1899-12-30T01:40:05"/>
    <n v="110"/>
    <d v="1899-12-30T00:05:30"/>
    <n v="4.333333333333333"/>
    <n v="2"/>
    <n v="1.75"/>
    <x v="0"/>
    <n v="0.5"/>
    <n v="0.25"/>
    <n v="0.25"/>
    <n v="7.3333333333333334E-2"/>
    <n v="0"/>
    <n v="0"/>
    <n v="0"/>
    <n v="3.1774999999999998"/>
    <s v="28.01.2023"/>
    <n v="1"/>
    <s v="Almost Kenyan Runners"/>
    <m/>
    <n v="1"/>
  </r>
  <r>
    <x v="88"/>
    <s v="M"/>
    <n v="3"/>
    <n v="12.91"/>
    <d v="1899-12-30T00:53:18"/>
    <d v="1899-12-30T00:53:21"/>
    <d v="1899-12-30T00:53:20"/>
    <m/>
    <d v="1899-12-30T00:04:08"/>
    <n v="3.0738095238095235"/>
    <n v="4.5"/>
    <n v="1.5"/>
    <x v="1"/>
    <n v="0.25"/>
    <n v="0.5"/>
    <n v="0.25"/>
    <n v="0"/>
    <n v="0"/>
    <n v="0"/>
    <n v="0"/>
    <n v="3.3934523809523807"/>
    <s v="28.01.2023"/>
    <n v="1"/>
    <s v="Almost Kenyan Runners"/>
    <m/>
    <n v="1"/>
  </r>
  <r>
    <x v="13"/>
    <s v="M"/>
    <n v="3"/>
    <n v="5.08"/>
    <d v="1899-12-30T00:36:27"/>
    <d v="1899-12-30T00:36:49"/>
    <d v="1899-12-30T00:36:38"/>
    <n v="54"/>
    <d v="1899-12-30T00:07:13"/>
    <n v="1.2095238095238094"/>
    <n v="0.25"/>
    <n v="3.5"/>
    <x v="2"/>
    <n v="0.25"/>
    <n v="0.25"/>
    <n v="0.5"/>
    <n v="3.5999999999999997E-2"/>
    <n v="0"/>
    <n v="0"/>
    <n v="0"/>
    <n v="2.1508809523809522"/>
    <s v="28.01.2023"/>
    <n v="1"/>
    <s v="MedgidiaRunning"/>
    <m/>
    <n v="1"/>
  </r>
  <r>
    <x v="9"/>
    <s v="M"/>
    <n v="3"/>
    <n v="19.88"/>
    <d v="1899-12-30T02:05:22"/>
    <d v="1899-12-30T02:06:54"/>
    <d v="1899-12-30T02:06:08"/>
    <n v="745"/>
    <d v="1899-12-30T00:06:21"/>
    <n v="4.7333333333333325"/>
    <n v="1"/>
    <n v="2.75"/>
    <x v="2"/>
    <n v="0.25"/>
    <n v="0.25"/>
    <n v="0.5"/>
    <n v="0.49666666666666665"/>
    <n v="0"/>
    <n v="0"/>
    <n v="0"/>
    <n v="3.3049999999999997"/>
    <s v="28.01.2023"/>
    <n v="1"/>
    <s v="The GOATs"/>
    <m/>
    <n v="1"/>
  </r>
  <r>
    <x v="41"/>
    <s v="M"/>
    <n v="3"/>
    <n v="54.08"/>
    <d v="1899-12-30T04:50:05"/>
    <d v="1899-12-30T04:54:39"/>
    <d v="1899-12-30T04:52:22"/>
    <n v="520"/>
    <d v="1899-12-30T00:05:24"/>
    <n v="5"/>
    <n v="2"/>
    <n v="3.5"/>
    <x v="0"/>
    <n v="0.5"/>
    <n v="0.25"/>
    <n v="0.25"/>
    <n v="0.34666666666666668"/>
    <n v="1.6"/>
    <n v="0"/>
    <n v="0"/>
    <n v="5.8216666666666672"/>
    <s v="28.01.2023"/>
    <n v="1"/>
    <s v="UltraHaita lu' Borcan"/>
    <m/>
    <n v="1"/>
  </r>
  <r>
    <x v="20"/>
    <s v="F"/>
    <n v="3"/>
    <n v="10.15"/>
    <d v="1899-12-30T00:58:57"/>
    <d v="1899-12-30T01:00:23"/>
    <d v="1899-12-30T00:59:40"/>
    <n v="91"/>
    <d v="1899-12-30T00:05:53"/>
    <n v="2.5375000000000001"/>
    <n v="2"/>
    <n v="2.5"/>
    <x v="2"/>
    <n v="0.25"/>
    <n v="0.25"/>
    <n v="0.5"/>
    <n v="6.0666666666666667E-2"/>
    <n v="0"/>
    <n v="0"/>
    <n v="0"/>
    <n v="2.4450416666666666"/>
    <s v="28.01.2023"/>
    <n v="1"/>
    <s v="MedgidiaRunning"/>
    <m/>
    <n v="1"/>
  </r>
  <r>
    <x v="8"/>
    <s v="M"/>
    <n v="3"/>
    <n v="10.83"/>
    <d v="1899-12-30T00:55:00"/>
    <d v="1899-12-30T00:55:03"/>
    <d v="1899-12-30T00:55:02"/>
    <n v="43"/>
    <d v="1899-12-30T00:05:05"/>
    <n v="2.5785714285714283"/>
    <n v="2.5"/>
    <n v="1.25"/>
    <x v="2"/>
    <n v="0.25"/>
    <n v="0.25"/>
    <n v="0.5"/>
    <n v="0"/>
    <n v="0"/>
    <n v="0"/>
    <n v="0"/>
    <n v="1.8946428571428571"/>
    <s v="28.01.2023"/>
    <n v="1"/>
    <e v="#N/A"/>
    <m/>
    <n v="1"/>
  </r>
  <r>
    <x v="23"/>
    <s v="M"/>
    <n v="3"/>
    <n v="10.63"/>
    <d v="1899-12-30T00:51:32"/>
    <d v="1899-12-30T00:51:40"/>
    <d v="1899-12-30T00:51:36"/>
    <n v="51"/>
    <d v="1899-12-30T00:04:51"/>
    <n v="2.5309523809523808"/>
    <n v="3"/>
    <n v="1.5"/>
    <x v="2"/>
    <n v="0.25"/>
    <n v="0.25"/>
    <n v="0.5"/>
    <n v="3.4000000000000002E-2"/>
    <n v="0"/>
    <n v="0"/>
    <n v="0"/>
    <n v="2.1667380952380952"/>
    <s v="28.01.2023"/>
    <n v="1"/>
    <s v="Almost Kenyan Runners"/>
    <m/>
    <n v="1"/>
  </r>
  <r>
    <x v="37"/>
    <s v="M"/>
    <n v="3"/>
    <n v="14"/>
    <d v="1899-12-30T02:11:24"/>
    <d v="1899-12-30T02:13:34"/>
    <d v="1899-12-30T02:12:29"/>
    <n v="683"/>
    <d v="1899-12-30T00:09:28"/>
    <n v="3.333333333333333"/>
    <n v="0"/>
    <n v="3.5"/>
    <x v="2"/>
    <n v="0.25"/>
    <n v="0.25"/>
    <n v="0.5"/>
    <n v="0.45533333333333331"/>
    <n v="0"/>
    <n v="0"/>
    <n v="0"/>
    <n v="3.0386666666666664"/>
    <s v="28.01.2023"/>
    <n v="1"/>
    <e v="#N/A"/>
    <m/>
    <n v="0"/>
  </r>
  <r>
    <x v="83"/>
    <s v="M"/>
    <n v="3"/>
    <n v="21.34"/>
    <d v="1899-12-30T01:59:23"/>
    <d v="1899-12-30T01:59:58"/>
    <d v="1899-12-30T01:59:41"/>
    <n v="87"/>
    <d v="1899-12-30T00:05:36"/>
    <n v="5"/>
    <n v="1.75"/>
    <n v="1.5"/>
    <x v="0"/>
    <n v="0.5"/>
    <n v="0.25"/>
    <n v="0.25"/>
    <n v="5.8000000000000003E-2"/>
    <n v="0"/>
    <n v="0"/>
    <n v="0"/>
    <n v="3.3704999999999998"/>
    <s v="28.01.2023"/>
    <n v="1"/>
    <e v="#N/A"/>
    <m/>
    <n v="1"/>
  </r>
  <r>
    <x v="33"/>
    <s v="M"/>
    <n v="3"/>
    <n v="30.08"/>
    <d v="1899-12-30T02:49:08"/>
    <d v="1899-12-30T02:49:08"/>
    <d v="1899-12-30T02:49:08"/>
    <n v="127"/>
    <d v="1899-12-30T00:05:37"/>
    <n v="5"/>
    <n v="1.75"/>
    <n v="1.75"/>
    <x v="0"/>
    <n v="0.5"/>
    <n v="0.25"/>
    <n v="0.25"/>
    <n v="8.4666666666666668E-2"/>
    <n v="0.4"/>
    <n v="0"/>
    <n v="0"/>
    <n v="3.8596666666666666"/>
    <s v="28.01.2023"/>
    <n v="1"/>
    <s v="UltraHaita lu' Borcan"/>
    <m/>
    <n v="1"/>
  </r>
  <r>
    <x v="65"/>
    <s v="F"/>
    <n v="3"/>
    <n v="11.49"/>
    <d v="1899-12-30T01:37:05"/>
    <d v="1899-12-30T01:51:40"/>
    <d v="1899-12-30T01:44:23"/>
    <n v="426"/>
    <d v="1899-12-30T00:09:05"/>
    <n v="2.8725000000000001"/>
    <n v="0"/>
    <n v="0.5"/>
    <x v="2"/>
    <n v="0.25"/>
    <n v="0.25"/>
    <n v="0.5"/>
    <n v="0.28399999999999997"/>
    <n v="0"/>
    <n v="0"/>
    <n v="0"/>
    <n v="1.2521249999999999"/>
    <s v="28.01.2023"/>
    <n v="1"/>
    <e v="#N/A"/>
    <m/>
    <n v="0"/>
  </r>
  <r>
    <x v="62"/>
    <s v="M"/>
    <n v="3"/>
    <n v="7.88"/>
    <d v="1899-12-30T00:39:57"/>
    <d v="1899-12-30T00:40:02"/>
    <d v="1899-12-30T00:40:00"/>
    <m/>
    <d v="1899-12-30T00:05:05"/>
    <n v="1.8761904761904762"/>
    <n v="2.5"/>
    <n v="0.75"/>
    <x v="1"/>
    <n v="0.25"/>
    <n v="0.5"/>
    <n v="0.25"/>
    <n v="0"/>
    <n v="0"/>
    <n v="0"/>
    <n v="0"/>
    <n v="1.9065476190476192"/>
    <s v="28.01.2023"/>
    <n v="1"/>
    <e v="#N/A"/>
    <m/>
    <n v="1"/>
  </r>
  <r>
    <x v="34"/>
    <s v="M"/>
    <n v="3"/>
    <n v="13.01"/>
    <d v="1899-12-30T01:32:06"/>
    <d v="1899-12-30T01:38:36"/>
    <d v="1899-12-30T01:35:21"/>
    <n v="376"/>
    <d v="1899-12-30T00:07:20"/>
    <n v="3.0976190476190473"/>
    <n v="0.25"/>
    <n v="2.25"/>
    <x v="2"/>
    <n v="0.25"/>
    <n v="0.25"/>
    <n v="0.5"/>
    <n v="0.25066666666666665"/>
    <n v="0"/>
    <n v="0"/>
    <n v="0"/>
    <n v="2.2125714285714286"/>
    <s v="28.01.2023"/>
    <n v="1"/>
    <e v="#N/A"/>
    <m/>
    <n v="1"/>
  </r>
  <r>
    <x v="67"/>
    <s v="M"/>
    <n v="3"/>
    <n v="10.5"/>
    <d v="1899-12-30T00:49:12"/>
    <d v="1899-12-30T00:49:47"/>
    <d v="1899-12-30T00:49:30"/>
    <m/>
    <d v="1899-12-30T00:04:43"/>
    <n v="2.5"/>
    <n v="3.5"/>
    <n v="0.25"/>
    <x v="0"/>
    <n v="0.5"/>
    <n v="0.25"/>
    <n v="0.25"/>
    <n v="0"/>
    <n v="0"/>
    <n v="0"/>
    <n v="0"/>
    <n v="2.1875"/>
    <s v="28.01.2023"/>
    <n v="1"/>
    <s v="Almost Kenyan Runners"/>
    <m/>
    <n v="1"/>
  </r>
  <r>
    <x v="22"/>
    <s v="F"/>
    <n v="3"/>
    <n v="10.039999999999999"/>
    <d v="1899-12-30T01:12:24"/>
    <d v="1899-12-30T01:15:24"/>
    <d v="1899-12-30T01:13:54"/>
    <n v="90"/>
    <d v="1899-12-30T00:07:22"/>
    <n v="2.5099999999999998"/>
    <n v="0.5"/>
    <n v="3.25"/>
    <x v="2"/>
    <n v="0.25"/>
    <n v="0.25"/>
    <n v="0.5"/>
    <n v="0.06"/>
    <n v="0"/>
    <n v="0"/>
    <n v="0"/>
    <n v="2.4375"/>
    <s v="28.01.2023"/>
    <n v="1"/>
    <s v="MedgidiaRunning"/>
    <m/>
    <n v="1"/>
  </r>
  <r>
    <x v="101"/>
    <s v="M"/>
    <n v="3"/>
    <n v="13.34"/>
    <d v="1899-12-30T01:55:23"/>
    <d v="1899-12-30T02:17:11"/>
    <d v="1899-12-30T02:06:17"/>
    <n v="457"/>
    <d v="1899-12-30T00:09:28"/>
    <n v="3.176190476190476"/>
    <n v="0"/>
    <n v="2.5"/>
    <x v="2"/>
    <n v="0.25"/>
    <n v="0.25"/>
    <n v="0.5"/>
    <n v="0.30466666666666664"/>
    <n v="0"/>
    <n v="0"/>
    <n v="0"/>
    <n v="2.3487142857142853"/>
    <s v="28.01.2023"/>
    <n v="1"/>
    <e v="#N/A"/>
    <m/>
    <n v="0"/>
  </r>
  <r>
    <x v="4"/>
    <s v="M"/>
    <n v="3"/>
    <n v="35.01"/>
    <d v="1899-12-30T02:31:49"/>
    <d v="1899-12-30T02:31:55"/>
    <d v="1899-12-30T02:31:52"/>
    <n v="205"/>
    <d v="1899-12-30T00:04:20"/>
    <n v="5"/>
    <n v="4"/>
    <n v="3.5"/>
    <x v="0"/>
    <n v="0.5"/>
    <n v="0.25"/>
    <n v="0.25"/>
    <n v="0.13666666666666666"/>
    <n v="0.7"/>
    <n v="0"/>
    <n v="0.4"/>
    <n v="5.6116666666666672"/>
    <s v="23.01.2023"/>
    <n v="1"/>
    <s v="UltraHaita lu' Borcan"/>
    <m/>
    <n v="1"/>
  </r>
  <r>
    <x v="92"/>
    <s v="F"/>
    <n v="3"/>
    <n v="10.58"/>
    <d v="1899-12-30T01:02:54"/>
    <d v="1899-12-30T01:02:54"/>
    <d v="1899-12-30T01:02:54"/>
    <m/>
    <d v="1899-12-30T00:05:57"/>
    <n v="2.645"/>
    <n v="2"/>
    <n v="2.75"/>
    <x v="2"/>
    <n v="0.25"/>
    <n v="0.25"/>
    <n v="0.5"/>
    <n v="0"/>
    <n v="0"/>
    <n v="0"/>
    <n v="0"/>
    <n v="2.5362499999999999"/>
    <s v="28.01.2023"/>
    <n v="1"/>
    <s v="The GOATs"/>
    <m/>
    <n v="1"/>
  </r>
  <r>
    <x v="77"/>
    <s v="F"/>
    <n v="3"/>
    <n v="21.45"/>
    <d v="1899-12-30T01:45:17"/>
    <d v="1899-12-30T01:45:27"/>
    <d v="1899-12-30T01:45:22"/>
    <n v="108"/>
    <d v="1899-12-30T00:04:55"/>
    <n v="5"/>
    <n v="4"/>
    <n v="4"/>
    <x v="2"/>
    <n v="0.25"/>
    <n v="0.25"/>
    <n v="0.5"/>
    <n v="7.1999999999999995E-2"/>
    <n v="0"/>
    <n v="0"/>
    <n v="0"/>
    <n v="4.3220000000000001"/>
    <s v="28.01.2023"/>
    <n v="1"/>
    <s v="The GOATs"/>
    <m/>
    <n v="1"/>
  </r>
  <r>
    <x v="3"/>
    <s v="M"/>
    <n v="3"/>
    <n v="10.01"/>
    <d v="1899-12-30T00:51:09"/>
    <d v="1899-12-30T00:51:09"/>
    <d v="1899-12-30T00:51:09"/>
    <m/>
    <d v="1899-12-30T00:05:07"/>
    <n v="2.3833333333333333"/>
    <n v="2.5"/>
    <n v="2.75"/>
    <x v="2"/>
    <n v="0.25"/>
    <n v="0.25"/>
    <n v="0.5"/>
    <n v="0"/>
    <n v="0"/>
    <n v="0"/>
    <n v="0.4"/>
    <n v="2.9958333333333331"/>
    <s v="28.01.2023"/>
    <n v="1"/>
    <s v="MedgidiaRunning"/>
    <m/>
    <n v="1"/>
  </r>
  <r>
    <x v="29"/>
    <s v="F"/>
    <n v="3"/>
    <n v="10.76"/>
    <d v="1899-12-30T00:53:44"/>
    <d v="1899-12-30T00:53:44"/>
    <d v="1899-12-30T00:53:44"/>
    <m/>
    <d v="1899-12-30T00:05:00"/>
    <n v="2.69"/>
    <n v="4"/>
    <n v="1.25"/>
    <x v="1"/>
    <n v="0.25"/>
    <n v="0.5"/>
    <n v="0.25"/>
    <n v="0"/>
    <n v="0"/>
    <n v="0"/>
    <n v="0"/>
    <n v="2.9849999999999999"/>
    <s v="28.01.2023"/>
    <n v="1"/>
    <e v="#N/A"/>
    <m/>
    <n v="1"/>
  </r>
  <r>
    <x v="102"/>
    <s v="M"/>
    <n v="3"/>
    <n v="10.8"/>
    <d v="1899-12-30T00:46:49"/>
    <d v="1899-12-30T00:46:52"/>
    <d v="1899-12-30T00:46:50"/>
    <m/>
    <d v="1899-12-30T00:04:20"/>
    <n v="2.5714285714285716"/>
    <n v="4"/>
    <n v="1"/>
    <x v="2"/>
    <n v="0.25"/>
    <n v="0.25"/>
    <n v="0.5"/>
    <n v="0"/>
    <n v="0"/>
    <n v="0"/>
    <n v="0"/>
    <n v="2.1428571428571428"/>
    <s v="28.01.2023"/>
    <n v="1"/>
    <e v="#N/A"/>
    <m/>
    <n v="1"/>
  </r>
  <r>
    <x v="53"/>
    <s v="M"/>
    <n v="3"/>
    <n v="11.57"/>
    <d v="1899-12-30T00:59:25"/>
    <d v="1899-12-30T01:00:00"/>
    <d v="1899-12-30T00:59:42"/>
    <m/>
    <d v="1899-12-30T00:05:10"/>
    <n v="2.7547619047619047"/>
    <n v="2.5"/>
    <n v="2"/>
    <x v="2"/>
    <n v="0.25"/>
    <n v="0.25"/>
    <n v="0.5"/>
    <n v="0"/>
    <n v="0"/>
    <n v="0"/>
    <n v="0"/>
    <n v="2.3136904761904762"/>
    <s v="28.01.2023"/>
    <n v="1"/>
    <s v="#notSYRious"/>
    <m/>
    <n v="1"/>
  </r>
  <r>
    <x v="76"/>
    <s v="F"/>
    <n v="3"/>
    <n v="10.039999999999999"/>
    <d v="1899-12-30T00:53:28"/>
    <d v="1899-12-30T00:55:10"/>
    <d v="1899-12-30T00:54:19"/>
    <m/>
    <d v="1899-12-30T00:05:25"/>
    <n v="2.5099999999999998"/>
    <n v="3"/>
    <n v="0.5"/>
    <x v="1"/>
    <n v="0.25"/>
    <n v="0.5"/>
    <n v="0.25"/>
    <n v="0"/>
    <n v="0"/>
    <n v="0"/>
    <n v="0"/>
    <n v="2.2524999999999999"/>
    <s v="28.01.2023"/>
    <n v="1"/>
    <e v="#N/A"/>
    <m/>
    <n v="1"/>
  </r>
  <r>
    <x v="71"/>
    <s v="M"/>
    <n v="3"/>
    <n v="20.38"/>
    <d v="1899-12-30T03:17:42"/>
    <d v="1899-12-30T03:17:44"/>
    <d v="1899-12-30T03:17:43"/>
    <n v="744"/>
    <d v="1899-12-30T00:09:42"/>
    <n v="4.852380952380952"/>
    <n v="0"/>
    <n v="3"/>
    <x v="2"/>
    <n v="0.25"/>
    <n v="0.25"/>
    <n v="0.5"/>
    <n v="0.496"/>
    <n v="0"/>
    <n v="0"/>
    <n v="0"/>
    <n v="3.2090952380952378"/>
    <s v="28.01.2023"/>
    <n v="1"/>
    <s v="MedgidiaRunning"/>
    <m/>
    <n v="0"/>
  </r>
  <r>
    <x v="82"/>
    <s v="M"/>
    <n v="3"/>
    <n v="22.01"/>
    <d v="1899-12-30T01:43:37"/>
    <d v="1899-12-30T01:44:38"/>
    <d v="1899-12-30T01:44:07"/>
    <n v="313"/>
    <d v="1899-12-30T00:04:44"/>
    <n v="5"/>
    <n v="3.5"/>
    <n v="3.25"/>
    <x v="0"/>
    <n v="0.5"/>
    <n v="0.25"/>
    <n v="0.25"/>
    <n v="0.20866666666666667"/>
    <n v="0"/>
    <n v="0"/>
    <n v="0"/>
    <n v="4.3961666666666668"/>
    <s v="28.01.2023"/>
    <n v="1"/>
    <s v="Almost Kenyan Runners"/>
    <m/>
    <n v="1"/>
  </r>
  <r>
    <x v="69"/>
    <s v="M"/>
    <n v="3"/>
    <n v="25"/>
    <d v="1899-12-30T02:15:36"/>
    <d v="1899-12-30T02:15:55"/>
    <d v="1899-12-30T02:15:46"/>
    <n v="67"/>
    <d v="1899-12-30T00:05:26"/>
    <n v="5"/>
    <n v="2"/>
    <n v="1.5"/>
    <x v="0"/>
    <n v="0.5"/>
    <n v="0.25"/>
    <n v="0.25"/>
    <n v="4.4666666666666667E-2"/>
    <n v="0.2"/>
    <n v="0"/>
    <n v="0"/>
    <n v="3.6196666666666668"/>
    <s v="28.01.2023"/>
    <n v="1"/>
    <s v="Almost Kenyan Runners"/>
    <m/>
    <n v="1"/>
  </r>
  <r>
    <x v="52"/>
    <s v="M"/>
    <n v="3"/>
    <n v="20.8"/>
    <d v="1899-12-30T01:47:30"/>
    <d v="1899-12-30T01:47:33"/>
    <d v="1899-12-30T01:47:31"/>
    <n v="64"/>
    <d v="1899-12-30T00:05:10"/>
    <n v="4.9523809523809526"/>
    <n v="2.5"/>
    <n v="2.25"/>
    <x v="2"/>
    <n v="0.25"/>
    <n v="0.25"/>
    <n v="0.5"/>
    <n v="4.2666666666666665E-2"/>
    <n v="0"/>
    <n v="0"/>
    <n v="0"/>
    <n v="3.030761904761905"/>
    <s v="28.01.2023"/>
    <n v="1"/>
    <e v="#N/A"/>
    <m/>
    <n v="1"/>
  </r>
  <r>
    <x v="85"/>
    <s v="M"/>
    <n v="3"/>
    <n v="43.48"/>
    <d v="1899-12-30T05:13:31"/>
    <d v="1899-12-30T05:58:00"/>
    <d v="1899-12-30T05:35:46"/>
    <n v="788"/>
    <d v="1899-12-30T00:07:43"/>
    <n v="5"/>
    <n v="0.25"/>
    <n v="4"/>
    <x v="0"/>
    <n v="0.5"/>
    <n v="0.25"/>
    <n v="0.25"/>
    <n v="0.52533333333333332"/>
    <n v="1.1000000000000001"/>
    <n v="0"/>
    <n v="0"/>
    <n v="5.1878333333333337"/>
    <s v="28.01.2023"/>
    <n v="1"/>
    <s v="The GOATs"/>
    <m/>
    <n v="1"/>
  </r>
  <r>
    <x v="12"/>
    <s v="M"/>
    <n v="3"/>
    <n v="21.21"/>
    <d v="1899-12-30T01:32:16"/>
    <d v="1899-12-30T01:32:19"/>
    <d v="1899-12-30T01:32:17"/>
    <n v="85"/>
    <d v="1899-12-30T00:04:21"/>
    <n v="5"/>
    <n v="4"/>
    <n v="3"/>
    <x v="1"/>
    <n v="0.25"/>
    <n v="0.5"/>
    <n v="0.25"/>
    <n v="5.6666666666666664E-2"/>
    <n v="0"/>
    <n v="0"/>
    <n v="0"/>
    <n v="4.0566666666666666"/>
    <s v="28.01.2023"/>
    <n v="1"/>
    <s v="#notSYRious"/>
    <m/>
    <n v="1"/>
  </r>
  <r>
    <x v="59"/>
    <s v="M"/>
    <n v="3"/>
    <n v="14.05"/>
    <d v="1899-12-30T01:30:02"/>
    <d v="1899-12-30T01:35:41"/>
    <d v="1899-12-30T01:32:51"/>
    <m/>
    <d v="1899-12-30T00:06:37"/>
    <n v="3.3452380952380953"/>
    <n v="0.75"/>
    <n v="2.75"/>
    <x v="2"/>
    <n v="0.25"/>
    <n v="0.25"/>
    <n v="0.5"/>
    <n v="0"/>
    <n v="0"/>
    <n v="0"/>
    <n v="0"/>
    <n v="2.3988095238095237"/>
    <s v="28.01.2023"/>
    <n v="1"/>
    <s v="UltraHaita lu' Borcan"/>
    <m/>
    <n v="1"/>
  </r>
  <r>
    <x v="54"/>
    <s v="F"/>
    <n v="3"/>
    <n v="8.11"/>
    <d v="1899-12-30T01:00:52"/>
    <d v="1899-12-30T01:39:34"/>
    <d v="1899-12-30T01:20:13"/>
    <m/>
    <d v="1899-12-30T00:09:53"/>
    <n v="2.0274999999999999"/>
    <n v="0"/>
    <n v="2"/>
    <x v="2"/>
    <n v="0.25"/>
    <n v="0.25"/>
    <n v="0.5"/>
    <n v="0"/>
    <n v="0"/>
    <n v="0"/>
    <n v="0.7"/>
    <n v="2.2068750000000001"/>
    <s v="28.01.2023"/>
    <n v="1"/>
    <s v="UltraHaita lu' Borcan"/>
    <m/>
    <n v="0"/>
  </r>
  <r>
    <x v="64"/>
    <s v="M"/>
    <n v="3"/>
    <n v="10.82"/>
    <d v="1899-12-30T00:46:29"/>
    <d v="1899-12-30T00:46:29"/>
    <d v="1899-12-30T00:46:29"/>
    <m/>
    <d v="1899-12-30T00:04:18"/>
    <n v="2.5761904761904764"/>
    <n v="4"/>
    <n v="4"/>
    <x v="1"/>
    <n v="0.25"/>
    <n v="0.5"/>
    <n v="0.25"/>
    <n v="0"/>
    <n v="0"/>
    <n v="0"/>
    <n v="0"/>
    <n v="3.644047619047619"/>
    <s v="28.01.2023"/>
    <n v="1"/>
    <s v="The GOATs"/>
    <m/>
    <n v="1"/>
  </r>
  <r>
    <x v="48"/>
    <s v="M"/>
    <n v="3"/>
    <n v="5.01"/>
    <d v="1899-12-30T00:18:21"/>
    <d v="1899-12-30T00:18:21"/>
    <d v="1899-12-30T00:18:21"/>
    <m/>
    <d v="1899-12-30T00:03:40"/>
    <n v="1.1928571428571428"/>
    <n v="5"/>
    <n v="1.25"/>
    <x v="1"/>
    <n v="0.25"/>
    <n v="0.5"/>
    <n v="0.25"/>
    <n v="0"/>
    <n v="0"/>
    <n v="2.25"/>
    <n v="0"/>
    <n v="5.3607142857142858"/>
    <s v="28.01.2023"/>
    <n v="1"/>
    <s v="UltraHaita lu' Borcan"/>
    <m/>
    <n v="1"/>
  </r>
  <r>
    <x v="68"/>
    <s v="F"/>
    <n v="3"/>
    <n v="7.1"/>
    <d v="1899-12-30T00:43:39"/>
    <d v="1899-12-30T00:48:15"/>
    <d v="1899-12-30T00:45:57"/>
    <n v="53"/>
    <d v="1899-12-30T00:06:28"/>
    <n v="1.7749999999999999"/>
    <n v="1.5"/>
    <n v="2.5"/>
    <x v="0"/>
    <n v="0.5"/>
    <n v="0.25"/>
    <n v="0.25"/>
    <n v="3.5333333333333335E-2"/>
    <n v="0"/>
    <n v="0"/>
    <n v="0"/>
    <n v="1.9228333333333334"/>
    <s v="28.01.2023"/>
    <n v="1"/>
    <s v="Almost Kenyan Runners"/>
    <m/>
    <n v="1"/>
  </r>
  <r>
    <x v="74"/>
    <s v="F"/>
    <n v="3"/>
    <n v="8.7200000000000006"/>
    <d v="1899-12-30T00:58:26"/>
    <d v="1899-12-30T01:02:48"/>
    <d v="1899-12-30T01:00:37"/>
    <m/>
    <d v="1899-12-30T00:06:57"/>
    <n v="2.1800000000000002"/>
    <n v="1"/>
    <n v="3.25"/>
    <x v="0"/>
    <n v="0.5"/>
    <n v="0.25"/>
    <n v="0.25"/>
    <n v="0"/>
    <n v="0"/>
    <n v="0"/>
    <n v="0"/>
    <n v="2.1524999999999999"/>
    <s v="28.01.2023"/>
    <n v="1"/>
    <s v="UltraHaita lu' Borcan"/>
    <m/>
    <n v="1"/>
  </r>
  <r>
    <x v="39"/>
    <s v="M"/>
    <n v="3"/>
    <n v="13.08"/>
    <d v="1899-12-30T01:26:05"/>
    <d v="1899-12-30T01:26:28"/>
    <d v="1899-12-30T01:26:17"/>
    <m/>
    <d v="1899-12-30T00:06:36"/>
    <n v="3.1142857142857143"/>
    <n v="0.75"/>
    <n v="1.5"/>
    <x v="0"/>
    <n v="0.5"/>
    <n v="0.25"/>
    <n v="0.25"/>
    <n v="0"/>
    <n v="0"/>
    <n v="0"/>
    <n v="0"/>
    <n v="2.1196428571428569"/>
    <s v="28.01.2023"/>
    <n v="1"/>
    <s v="#notSYRious"/>
    <m/>
    <n v="1"/>
  </r>
  <r>
    <x v="72"/>
    <s v="F"/>
    <n v="3"/>
    <n v="10.14"/>
    <d v="1899-12-30T01:05:06"/>
    <d v="1899-12-30T01:05:31"/>
    <d v="1899-12-30T01:05:18"/>
    <m/>
    <d v="1899-12-30T00:06:26"/>
    <n v="2.5350000000000001"/>
    <n v="1.5"/>
    <n v="2"/>
    <x v="2"/>
    <n v="0.25"/>
    <n v="0.25"/>
    <n v="0.5"/>
    <n v="0"/>
    <n v="0"/>
    <n v="0"/>
    <n v="0"/>
    <n v="2.00875"/>
    <s v="28.01.2023"/>
    <n v="1"/>
    <e v="#N/A"/>
    <m/>
    <n v="1"/>
  </r>
  <r>
    <x v="40"/>
    <s v="M"/>
    <n v="3"/>
    <n v="13.45"/>
    <d v="1899-12-30T01:15:02"/>
    <d v="1899-12-30T01:16:00"/>
    <d v="1899-12-30T01:15:31"/>
    <m/>
    <d v="1899-12-30T00:05:37"/>
    <n v="3.2023809523809521"/>
    <n v="1.75"/>
    <n v="1.75"/>
    <x v="2"/>
    <n v="0.25"/>
    <n v="0.25"/>
    <n v="0.5"/>
    <n v="0"/>
    <n v="0"/>
    <n v="0"/>
    <n v="0"/>
    <n v="2.1130952380952381"/>
    <s v="28.01.2023"/>
    <n v="1"/>
    <s v="Almost Kenyan Runners"/>
    <m/>
    <n v="1"/>
  </r>
  <r>
    <x v="25"/>
    <s v="M"/>
    <n v="3"/>
    <n v="10.039999999999999"/>
    <d v="1899-12-30T01:00:22"/>
    <d v="1899-12-30T01:02:12"/>
    <d v="1899-12-30T01:01:17"/>
    <m/>
    <d v="1899-12-30T00:06:06"/>
    <n v="2.39047619047619"/>
    <n v="1.25"/>
    <n v="1.25"/>
    <x v="2"/>
    <n v="0.25"/>
    <n v="0.25"/>
    <n v="0.5"/>
    <n v="0"/>
    <n v="0"/>
    <n v="0"/>
    <n v="0"/>
    <n v="1.5351190476190475"/>
    <s v="28.01.2023"/>
    <n v="1"/>
    <e v="#N/A"/>
    <m/>
    <n v="1"/>
  </r>
  <r>
    <x v="14"/>
    <s v="F"/>
    <n v="3"/>
    <n v="0"/>
    <d v="1899-12-30T00:00:00"/>
    <d v="1899-12-30T00:00:00"/>
    <d v="1899-12-30T00:00:00"/>
    <m/>
    <d v="1899-12-30T00:00:00"/>
    <n v="0"/>
    <n v="0"/>
    <n v="0"/>
    <x v="3"/>
    <n v="0.25"/>
    <n v="0.25"/>
    <n v="0.25"/>
    <n v="0"/>
    <n v="0"/>
    <n v="0"/>
    <n v="0"/>
    <n v="1.5"/>
    <s v="28.01.2023"/>
    <n v="1"/>
    <s v="MedgidiaRunning"/>
    <m/>
    <n v="0"/>
  </r>
  <r>
    <x v="50"/>
    <s v="M"/>
    <n v="3"/>
    <n v="21.3"/>
    <d v="1899-12-30T01:53:24"/>
    <d v="1899-12-30T01:53:32"/>
    <d v="1899-12-30T01:53:28"/>
    <n v="101"/>
    <d v="1899-12-30T00:05:20"/>
    <n v="5"/>
    <n v="2"/>
    <n v="4"/>
    <x v="2"/>
    <n v="0.25"/>
    <n v="0.25"/>
    <n v="0.5"/>
    <n v="6.7333333333333328E-2"/>
    <n v="0"/>
    <n v="0"/>
    <n v="0"/>
    <n v="3.8173333333333335"/>
    <s v="28.01.2023"/>
    <n v="1"/>
    <s v="The GOATs"/>
    <m/>
    <n v="1"/>
  </r>
  <r>
    <x v="42"/>
    <s v="M"/>
    <n v="3"/>
    <n v="0"/>
    <d v="1899-12-30T00:00:00"/>
    <d v="1899-12-30T00:00:00"/>
    <d v="1899-12-30T00:00:00"/>
    <m/>
    <d v="1899-12-30T00:00:00"/>
    <n v="0"/>
    <n v="0"/>
    <n v="0"/>
    <x v="3"/>
    <n v="0.25"/>
    <n v="0.25"/>
    <n v="0.25"/>
    <n v="0"/>
    <n v="0"/>
    <n v="0"/>
    <n v="0"/>
    <n v="1.5"/>
    <s v="28.01.2023"/>
    <n v="1"/>
    <s v="The GOATs"/>
    <m/>
    <n v="0"/>
  </r>
  <r>
    <x v="87"/>
    <s v="M"/>
    <n v="3"/>
    <n v="11.01"/>
    <d v="1899-12-30T00:39:25"/>
    <d v="1899-12-30T00:39:25"/>
    <d v="1899-12-30T00:39:25"/>
    <m/>
    <d v="1899-12-30T00:03:35"/>
    <n v="2.6214285714285714"/>
    <n v="5"/>
    <n v="5"/>
    <x v="1"/>
    <n v="0.25"/>
    <n v="0.5"/>
    <n v="0.25"/>
    <n v="0"/>
    <n v="0"/>
    <n v="3.1500000000000004"/>
    <n v="0"/>
    <n v="7.5553571428571438"/>
    <s v="28.01.2023"/>
    <n v="1"/>
    <e v="#N/A"/>
    <m/>
    <n v="1"/>
  </r>
  <r>
    <x v="80"/>
    <s v="M"/>
    <n v="3"/>
    <n v="21.54"/>
    <d v="1899-12-30T01:43:50"/>
    <d v="1899-12-30T01:44:04"/>
    <d v="1899-12-30T01:43:57"/>
    <n v="94"/>
    <d v="1899-12-30T00:04:50"/>
    <n v="5"/>
    <n v="3"/>
    <n v="3.75"/>
    <x v="2"/>
    <n v="0.25"/>
    <n v="0.25"/>
    <n v="0.5"/>
    <n v="6.2666666666666662E-2"/>
    <n v="0"/>
    <n v="0"/>
    <n v="0"/>
    <n v="3.9376666666666669"/>
    <s v="28.01.2023"/>
    <n v="1"/>
    <s v="Almost Kenyan Runners"/>
    <m/>
    <n v="1"/>
  </r>
  <r>
    <x v="78"/>
    <s v="M"/>
    <n v="3"/>
    <n v="25.49"/>
    <d v="1899-12-30T05:51:17"/>
    <d v="1899-12-30T07:15:20"/>
    <d v="1899-12-30T06:33:18"/>
    <n v="1480"/>
    <d v="1899-12-30T00:15:26"/>
    <n v="5"/>
    <n v="0"/>
    <n v="3.75"/>
    <x v="2"/>
    <n v="0.25"/>
    <n v="0.25"/>
    <n v="0.5"/>
    <n v="0.98666666666666669"/>
    <n v="0.2"/>
    <n v="0"/>
    <n v="0.4"/>
    <n v="4.7116666666666669"/>
    <s v="28.01.2023"/>
    <n v="1"/>
    <s v="Almost Kenyan Runners"/>
    <m/>
    <n v="0"/>
  </r>
  <r>
    <x v="86"/>
    <s v="F"/>
    <n v="3"/>
    <n v="6.76"/>
    <d v="1899-12-30T00:43:52"/>
    <d v="1899-12-30T00:59:07"/>
    <d v="1899-12-30T00:51:30"/>
    <m/>
    <d v="1899-12-30T00:07:37"/>
    <n v="1.69"/>
    <n v="0.25"/>
    <n v="1.75"/>
    <x v="2"/>
    <n v="0.25"/>
    <n v="0.25"/>
    <n v="0.5"/>
    <n v="0"/>
    <n v="0"/>
    <n v="0"/>
    <n v="0"/>
    <n v="1.3599999999999999"/>
    <s v="28.01.2023"/>
    <n v="1"/>
    <s v="Almost Kenyan Runners"/>
    <m/>
    <n v="1"/>
  </r>
  <r>
    <x v="30"/>
    <s v="M"/>
    <n v="3"/>
    <n v="19.63"/>
    <d v="1899-12-30T01:44:33"/>
    <d v="1899-12-30T01:45:41"/>
    <d v="1899-12-30T01:45:07"/>
    <n v="640"/>
    <d v="1899-12-30T00:05:21"/>
    <n v="4.6738095238095232"/>
    <n v="2"/>
    <n v="4.5"/>
    <x v="0"/>
    <n v="0.5"/>
    <n v="0.25"/>
    <n v="0.25"/>
    <n v="0.42666666666666669"/>
    <n v="0"/>
    <n v="0"/>
    <n v="0"/>
    <n v="4.3885714285714279"/>
    <s v="28.01.2023"/>
    <n v="1"/>
    <s v="The GOATs"/>
    <m/>
    <n v="1"/>
  </r>
  <r>
    <x v="79"/>
    <s v="F"/>
    <n v="3"/>
    <n v="3.57"/>
    <d v="1899-12-30T00:15:50"/>
    <d v="1899-12-30T00:16:20"/>
    <d v="1899-12-30T00:16:05"/>
    <m/>
    <d v="1899-12-30T00:04:30"/>
    <n v="0.89249999999999996"/>
    <n v="5"/>
    <n v="2"/>
    <x v="1"/>
    <n v="0.25"/>
    <n v="0.5"/>
    <n v="0.25"/>
    <n v="0"/>
    <n v="0"/>
    <n v="0"/>
    <n v="0"/>
    <n v="3.223125"/>
    <s v="28.01.2023"/>
    <n v="1"/>
    <e v="#N/A"/>
    <m/>
    <n v="1"/>
  </r>
  <r>
    <x v="75"/>
    <s v="F"/>
    <n v="3"/>
    <n v="10.93"/>
    <d v="1899-12-30T01:14:51"/>
    <d v="1899-12-30T01:18:39"/>
    <d v="1899-12-30T01:16:45"/>
    <n v="365"/>
    <d v="1899-12-30T00:07:01"/>
    <n v="2.7324999999999999"/>
    <n v="0.75"/>
    <n v="4.25"/>
    <x v="2"/>
    <n v="0.25"/>
    <n v="0.25"/>
    <n v="0.5"/>
    <n v="0.24333333333333335"/>
    <n v="0"/>
    <n v="0"/>
    <n v="0"/>
    <n v="3.2389583333333332"/>
    <s v="28.01.2023"/>
    <n v="1"/>
    <s v="#notSYRious"/>
    <m/>
    <n v="1"/>
  </r>
  <r>
    <x v="81"/>
    <s v="M"/>
    <n v="3"/>
    <n v="19.920000000000002"/>
    <d v="1899-12-30T02:06:46"/>
    <d v="1899-12-30T02:07:34"/>
    <d v="1899-12-30T02:07:10"/>
    <n v="506"/>
    <d v="1899-12-30T00:06:23"/>
    <n v="4.7428571428571429"/>
    <n v="1"/>
    <n v="1"/>
    <x v="0"/>
    <n v="0.5"/>
    <n v="0.25"/>
    <n v="0.25"/>
    <n v="0.33733333333333332"/>
    <n v="0"/>
    <n v="0"/>
    <n v="0"/>
    <n v="3.2087619047619049"/>
    <s v="28.01.2023"/>
    <n v="1"/>
    <e v="#N/A"/>
    <m/>
    <n v="1"/>
  </r>
  <r>
    <x v="103"/>
    <s v="M"/>
    <n v="3"/>
    <n v="7.08"/>
    <d v="1899-12-30T00:57:48"/>
    <d v="1899-12-30T01:00:41"/>
    <d v="1899-12-30T00:59:15"/>
    <m/>
    <d v="1899-12-30T00:08:22"/>
    <n v="1.6857142857142857"/>
    <n v="0"/>
    <n v="2.25"/>
    <x v="2"/>
    <n v="0.25"/>
    <n v="0.25"/>
    <n v="0.5"/>
    <n v="0"/>
    <n v="0"/>
    <n v="0"/>
    <n v="0"/>
    <n v="1.5464285714285715"/>
    <s v="28.01.2023"/>
    <n v="1"/>
    <e v="#N/A"/>
    <m/>
    <n v="0"/>
  </r>
  <r>
    <x v="46"/>
    <s v="M"/>
    <n v="3"/>
    <n v="21.45"/>
    <d v="1899-12-30T01:42:54"/>
    <d v="1899-12-30T01:44:07"/>
    <d v="1899-12-30T01:43:31"/>
    <n v="86"/>
    <d v="1899-12-30T00:04:50"/>
    <n v="5"/>
    <n v="3"/>
    <n v="3"/>
    <x v="2"/>
    <n v="0.25"/>
    <n v="0.25"/>
    <n v="0.5"/>
    <n v="5.7333333333333333E-2"/>
    <n v="0"/>
    <n v="0"/>
    <n v="0"/>
    <n v="3.5573333333333332"/>
    <s v="28.01.2023"/>
    <n v="1"/>
    <s v="#notSYRious"/>
    <m/>
    <n v="1"/>
  </r>
  <r>
    <x v="84"/>
    <s v="M"/>
    <n v="3"/>
    <n v="21.45"/>
    <d v="1899-12-30T01:44:39"/>
    <d v="1899-12-30T01:45:24"/>
    <d v="1899-12-30T01:45:01"/>
    <n v="86"/>
    <d v="1899-12-30T00:04:54"/>
    <n v="5"/>
    <n v="3"/>
    <n v="4.25"/>
    <x v="0"/>
    <n v="0.5"/>
    <n v="0.25"/>
    <n v="0.25"/>
    <n v="5.7333333333333333E-2"/>
    <n v="0"/>
    <n v="0"/>
    <n v="0"/>
    <n v="4.3698333333333332"/>
    <s v="28.01.2023"/>
    <n v="1"/>
    <s v="The GOATs"/>
    <m/>
    <n v="1"/>
  </r>
  <r>
    <x v="104"/>
    <s v="F"/>
    <n v="3"/>
    <n v="10.73"/>
    <d v="1899-12-30T01:54:12"/>
    <d v="1899-12-30T01:54:19"/>
    <d v="1899-12-30T01:54:16"/>
    <n v="87"/>
    <d v="1899-12-30T00:10:39"/>
    <n v="2.6825000000000001"/>
    <n v="0"/>
    <n v="3.25"/>
    <x v="2"/>
    <n v="0.25"/>
    <n v="0.25"/>
    <n v="0.5"/>
    <n v="5.8000000000000003E-2"/>
    <n v="0"/>
    <n v="0"/>
    <n v="0.7"/>
    <n v="3.0536250000000003"/>
    <s v="28.01.2023"/>
    <n v="1"/>
    <e v="#N/A"/>
    <m/>
    <n v="0"/>
  </r>
  <r>
    <x v="105"/>
    <s v="M"/>
    <n v="4"/>
    <n v="10.01"/>
    <d v="1899-12-30T00:38:37"/>
    <d v="1899-12-30T00:38:37"/>
    <d v="1899-12-30T00:38:37"/>
    <n v="45"/>
    <d v="1899-12-30T00:03:51"/>
    <n v="2.3833333333333333"/>
    <n v="5"/>
    <n v="1"/>
    <x v="1"/>
    <n v="0.25"/>
    <n v="0.5"/>
    <n v="0.25"/>
    <n v="0"/>
    <n v="0"/>
    <n v="0.45000000000000007"/>
    <n v="0"/>
    <n v="3.7958333333333334"/>
    <s v="28.01.2023"/>
    <n v="1"/>
    <s v="The GOATs"/>
    <m/>
    <n v="1"/>
  </r>
  <r>
    <x v="36"/>
    <s v="M"/>
    <n v="4"/>
    <n v="15.01"/>
    <d v="1899-12-30T01:25:27"/>
    <d v="1899-12-30T01:30:13"/>
    <d v="1899-12-30T01:27:50"/>
    <m/>
    <d v="1899-12-30T00:05:51"/>
    <n v="3.5738095238095235"/>
    <n v="1.5"/>
    <n v="2.75"/>
    <x v="0"/>
    <n v="0.5"/>
    <n v="0.25"/>
    <n v="0.25"/>
    <n v="0"/>
    <n v="0"/>
    <n v="0"/>
    <n v="0"/>
    <n v="2.8494047619047618"/>
    <s v="31.01.2023"/>
    <n v="1"/>
    <s v="MedgidiaRunning"/>
    <m/>
    <n v="1"/>
  </r>
  <r>
    <x v="11"/>
    <s v="M"/>
    <n v="4"/>
    <n v="30.5"/>
    <d v="1899-12-30T03:00:50"/>
    <s v="3;00:53"/>
    <d v="1899-12-30T03:00:50"/>
    <n v="363"/>
    <d v="1899-12-30T00:05:56"/>
    <n v="5"/>
    <n v="1.5"/>
    <n v="0.5"/>
    <x v="0"/>
    <n v="0.5"/>
    <n v="0.25"/>
    <n v="0.25"/>
    <n v="0.24199999999999999"/>
    <n v="0.4"/>
    <n v="0"/>
    <n v="0.4"/>
    <n v="4.0419999999999998"/>
    <s v="31.01.2023"/>
    <n v="1"/>
    <e v="#N/A"/>
    <m/>
    <n v="1"/>
  </r>
  <r>
    <x v="1"/>
    <s v="M"/>
    <n v="4"/>
    <n v="26.15"/>
    <d v="1899-12-30T02:40:10"/>
    <d v="1899-12-30T02:40:10"/>
    <d v="1899-12-30T02:40:10"/>
    <m/>
    <d v="1899-12-30T00:06:07"/>
    <n v="5"/>
    <n v="1.25"/>
    <n v="1"/>
    <x v="0"/>
    <n v="0.5"/>
    <n v="0.25"/>
    <n v="0.25"/>
    <n v="0"/>
    <n v="0.2"/>
    <n v="0"/>
    <n v="0"/>
    <n v="3.2625000000000002"/>
    <s v="31.01.2023"/>
    <n v="1"/>
    <e v="#N/A"/>
    <m/>
    <n v="1"/>
  </r>
  <r>
    <x v="58"/>
    <s v="M"/>
    <n v="4"/>
    <n v="11.67"/>
    <d v="1899-12-30T01:00:05"/>
    <d v="1899-12-30T00:48:44"/>
    <d v="1899-12-30T00:54:25"/>
    <m/>
    <d v="1899-12-30T00:04:40"/>
    <n v="2.7785714285714285"/>
    <n v="3.5"/>
    <n v="4.25"/>
    <x v="0"/>
    <n v="0.5"/>
    <n v="0.25"/>
    <n v="0.25"/>
    <n v="0"/>
    <n v="0"/>
    <n v="0"/>
    <n v="0"/>
    <n v="3.3267857142857142"/>
    <s v="01.02.2023"/>
    <n v="1"/>
    <s v="Almost Kenyan Runners"/>
    <m/>
    <n v="1"/>
  </r>
  <r>
    <x v="7"/>
    <s v="M"/>
    <n v="4"/>
    <n v="20.36"/>
    <d v="1899-12-30T01:47:09"/>
    <d v="1899-12-30T01:49:17"/>
    <d v="1899-12-30T01:48:13"/>
    <n v="138"/>
    <d v="1899-12-30T00:05:19"/>
    <n v="4.8476190476190473"/>
    <n v="2"/>
    <n v="2.25"/>
    <x v="0"/>
    <n v="0.5"/>
    <n v="0.25"/>
    <n v="0.25"/>
    <n v="9.1999999999999998E-2"/>
    <n v="0"/>
    <n v="0"/>
    <n v="0"/>
    <n v="3.5783095238095237"/>
    <s v="01.02.2023"/>
    <n v="1"/>
    <s v="MedgidiaRunning"/>
    <m/>
    <n v="1"/>
  </r>
  <r>
    <x v="68"/>
    <s v="F"/>
    <n v="4"/>
    <n v="6.12"/>
    <d v="1899-12-30T00:54:14"/>
    <d v="1899-12-30T01:03:04"/>
    <d v="1899-12-30T00:58:39"/>
    <n v="299"/>
    <d v="1899-12-30T00:09:35"/>
    <n v="1.53"/>
    <n v="0"/>
    <n v="3.5"/>
    <x v="0"/>
    <n v="0.5"/>
    <n v="0.25"/>
    <n v="0.25"/>
    <n v="0.19933333333333333"/>
    <n v="0"/>
    <n v="0"/>
    <n v="0"/>
    <n v="1.8393333333333335"/>
    <s v="02.02.2023"/>
    <n v="1"/>
    <s v="Almost Kenyan Runners"/>
    <m/>
    <n v="0"/>
  </r>
  <r>
    <x v="99"/>
    <s v="F"/>
    <n v="4"/>
    <n v="9.41"/>
    <d v="1899-12-30T00:54:23"/>
    <d v="1899-12-30T00:54:27"/>
    <d v="1899-12-30T00:54:25"/>
    <m/>
    <d v="1899-12-30T00:05:47"/>
    <n v="2.3525"/>
    <n v="2"/>
    <n v="2.5"/>
    <x v="0"/>
    <n v="0.5"/>
    <n v="0.25"/>
    <n v="0.25"/>
    <n v="0"/>
    <n v="0"/>
    <n v="0"/>
    <n v="0"/>
    <n v="2.30125"/>
    <s v="02.02.2023"/>
    <n v="1"/>
    <s v="#notSYRious"/>
    <m/>
    <n v="1"/>
  </r>
  <r>
    <x v="106"/>
    <s v="F"/>
    <n v="4"/>
    <n v="17.03"/>
    <d v="1899-12-30T01:57:28"/>
    <d v="1899-12-30T02:01:24"/>
    <d v="1899-12-30T01:59:26"/>
    <n v="91"/>
    <d v="1899-12-30T00:07:01"/>
    <n v="4.2575000000000003"/>
    <n v="1"/>
    <n v="3"/>
    <x v="0"/>
    <n v="0.5"/>
    <n v="0.25"/>
    <n v="0.25"/>
    <n v="6.0666666666666667E-2"/>
    <n v="0"/>
    <n v="0"/>
    <n v="0"/>
    <n v="3.1894166666666668"/>
    <s v="02.02.2023"/>
    <n v="1"/>
    <s v="MedgidiaRunning"/>
    <m/>
    <n v="1"/>
  </r>
  <r>
    <x v="47"/>
    <s v="M"/>
    <n v="4"/>
    <n v="13.37"/>
    <d v="1899-12-30T01:07:23"/>
    <d v="1899-12-30T01:09:42"/>
    <d v="1899-12-30T01:08:32"/>
    <m/>
    <d v="1899-12-30T00:05:08"/>
    <n v="3.1833333333333331"/>
    <n v="2.5"/>
    <n v="0"/>
    <x v="0"/>
    <n v="0.5"/>
    <n v="0.25"/>
    <n v="0.25"/>
    <n v="0"/>
    <n v="0"/>
    <n v="0"/>
    <n v="0"/>
    <n v="2.2166666666666668"/>
    <s v="02.02.2023"/>
    <n v="1"/>
    <e v="#N/A"/>
    <m/>
    <n v="1"/>
  </r>
  <r>
    <x v="22"/>
    <s v="F"/>
    <n v="4"/>
    <n v="25.08"/>
    <d v="1899-12-30T02:42:34"/>
    <d v="1899-12-30T02:45:45"/>
    <d v="1899-12-30T02:44:10"/>
    <n v="252"/>
    <d v="1899-12-30T00:06:33"/>
    <n v="5"/>
    <n v="1.25"/>
    <n v="3"/>
    <x v="0"/>
    <n v="0.5"/>
    <n v="0.25"/>
    <n v="0.25"/>
    <n v="0.16800000000000001"/>
    <n v="0.2"/>
    <n v="0"/>
    <n v="0"/>
    <n v="3.9305000000000003"/>
    <s v="03.02.2023"/>
    <n v="1"/>
    <s v="MedgidiaRunning"/>
    <m/>
    <n v="1"/>
  </r>
  <r>
    <x v="8"/>
    <s v="M"/>
    <n v="4"/>
    <n v="10"/>
    <d v="1899-12-30T00:51:06"/>
    <d v="1899-12-30T01:03:43"/>
    <d v="1899-12-30T00:57:24"/>
    <m/>
    <d v="1899-12-30T00:05:44"/>
    <n v="2.3809523809523809"/>
    <n v="1.75"/>
    <n v="1"/>
    <x v="0"/>
    <n v="0.5"/>
    <n v="0.25"/>
    <n v="0.25"/>
    <n v="0"/>
    <n v="0"/>
    <n v="0"/>
    <n v="0"/>
    <n v="1.8779761904761905"/>
    <s v="03.02.2023"/>
    <n v="1"/>
    <e v="#N/A"/>
    <m/>
    <n v="1"/>
  </r>
  <r>
    <x v="90"/>
    <s v="M"/>
    <n v="4"/>
    <n v="9.2899999999999991"/>
    <d v="1899-12-30T00:49:34"/>
    <d v="1899-12-30T00:49:42"/>
    <d v="1899-12-30T00:49:38"/>
    <m/>
    <d v="1899-12-30T00:05:21"/>
    <n v="2.2119047619047616"/>
    <n v="2"/>
    <n v="1.5"/>
    <x v="0"/>
    <n v="0.5"/>
    <n v="0.25"/>
    <n v="0.25"/>
    <n v="0"/>
    <n v="0"/>
    <n v="0"/>
    <n v="0"/>
    <n v="1.9809523809523808"/>
    <s v="03.02.2023"/>
    <n v="1"/>
    <e v="#N/A"/>
    <m/>
    <n v="1"/>
  </r>
  <r>
    <x v="19"/>
    <s v="M"/>
    <n v="4"/>
    <n v="12.57"/>
    <d v="1899-12-30T00:58:04"/>
    <d v="1899-12-30T01:01:23"/>
    <d v="1899-12-30T00:59:44"/>
    <m/>
    <d v="1899-12-30T00:04:45"/>
    <n v="2.9928571428571429"/>
    <n v="3.5"/>
    <n v="2"/>
    <x v="1"/>
    <n v="0.25"/>
    <n v="0.5"/>
    <n v="0.25"/>
    <n v="0"/>
    <n v="0"/>
    <n v="0"/>
    <n v="0"/>
    <n v="2.9982142857142859"/>
    <s v="03.02.2023"/>
    <n v="1"/>
    <e v="#N/A"/>
    <m/>
    <n v="1"/>
  </r>
  <r>
    <x v="4"/>
    <s v="M"/>
    <n v="4"/>
    <n v="35"/>
    <d v="1899-12-30T02:37:31"/>
    <d v="1899-12-30T02:37:31"/>
    <d v="1899-12-30T02:37:31"/>
    <n v="123"/>
    <d v="1899-12-30T00:04:30"/>
    <n v="5"/>
    <n v="4"/>
    <n v="0"/>
    <x v="0"/>
    <n v="0.5"/>
    <n v="0.25"/>
    <n v="0.25"/>
    <n v="8.2000000000000003E-2"/>
    <n v="0.7"/>
    <n v="0"/>
    <n v="0.4"/>
    <n v="4.6820000000000004"/>
    <s v="03.02.2023"/>
    <n v="1"/>
    <s v="UltraHaita lu' Borcan"/>
    <m/>
    <n v="1"/>
  </r>
  <r>
    <x v="24"/>
    <s v="M"/>
    <n v="4"/>
    <n v="10.87"/>
    <d v="1899-12-30T00:57:50"/>
    <d v="1899-12-30T01:06:08"/>
    <d v="1899-12-30T01:01:59"/>
    <m/>
    <d v="1899-12-30T00:05:42"/>
    <n v="2.5880952380952378"/>
    <n v="1.75"/>
    <n v="1.5"/>
    <x v="0"/>
    <n v="0.5"/>
    <n v="0.25"/>
    <n v="0.25"/>
    <n v="0"/>
    <n v="0"/>
    <n v="0"/>
    <n v="0"/>
    <n v="2.1065476190476189"/>
    <s v="03.02.2023"/>
    <n v="1"/>
    <e v="#N/A"/>
    <m/>
    <n v="1"/>
  </r>
  <r>
    <x v="107"/>
    <s v="M"/>
    <n v="4"/>
    <n v="21.11"/>
    <d v="1899-12-30T02:08:02"/>
    <d v="1899-12-30T02:13:53"/>
    <d v="1899-12-30T02:10:58"/>
    <n v="174"/>
    <d v="1899-12-30T00:06:12"/>
    <n v="5"/>
    <n v="1.25"/>
    <n v="1.5"/>
    <x v="0"/>
    <n v="0.5"/>
    <n v="0.25"/>
    <n v="0.25"/>
    <n v="0.11600000000000001"/>
    <n v="0"/>
    <n v="0"/>
    <n v="0"/>
    <n v="3.3035000000000001"/>
    <s v="03.02.2023"/>
    <n v="1"/>
    <s v="The GOATs"/>
    <m/>
    <n v="1"/>
  </r>
  <r>
    <x v="45"/>
    <s v="F"/>
    <n v="4"/>
    <n v="10.06"/>
    <d v="1899-12-30T01:01:54"/>
    <d v="1899-12-30T01:01:57"/>
    <d v="1899-12-30T01:01:56"/>
    <m/>
    <d v="1899-12-30T00:06:09"/>
    <n v="2.5150000000000001"/>
    <n v="1.75"/>
    <n v="1.25"/>
    <x v="0"/>
    <n v="0.5"/>
    <n v="0.25"/>
    <n v="0.25"/>
    <n v="0"/>
    <n v="0"/>
    <n v="0"/>
    <n v="0"/>
    <n v="2.0075000000000003"/>
    <s v="03.02.2023"/>
    <n v="1"/>
    <e v="#N/A"/>
    <m/>
    <n v="1"/>
  </r>
  <r>
    <x v="67"/>
    <s v="M"/>
    <n v="4"/>
    <n v="10.52"/>
    <d v="1899-12-30T00:49:20"/>
    <d v="1899-12-30T00:49:29"/>
    <d v="1899-12-30T00:49:25"/>
    <m/>
    <d v="1899-12-30T00:04:42"/>
    <n v="2.5047619047619047"/>
    <n v="3.5"/>
    <n v="0.25"/>
    <x v="0"/>
    <n v="0.5"/>
    <n v="0.25"/>
    <n v="0.25"/>
    <n v="0"/>
    <n v="0"/>
    <n v="0"/>
    <n v="0"/>
    <n v="2.1898809523809524"/>
    <s v="03.02.2023"/>
    <n v="1"/>
    <s v="Almost Kenyan Runners"/>
    <m/>
    <n v="1"/>
  </r>
  <r>
    <x v="35"/>
    <s v="F"/>
    <n v="4"/>
    <n v="10.57"/>
    <d v="1899-12-30T00:56:28"/>
    <d v="1899-12-30T00:56:28"/>
    <d v="1899-12-30T00:56:28"/>
    <m/>
    <d v="1899-12-30T00:05:21"/>
    <n v="2.6425000000000001"/>
    <n v="3"/>
    <n v="2.75"/>
    <x v="0"/>
    <n v="0.5"/>
    <n v="0.25"/>
    <n v="0.25"/>
    <n v="0"/>
    <n v="0"/>
    <n v="0"/>
    <n v="0"/>
    <n v="2.75875"/>
    <s v="03.02.2023"/>
    <n v="1"/>
    <s v="#notSYRious"/>
    <m/>
    <n v="1"/>
  </r>
  <r>
    <x v="98"/>
    <s v="F"/>
    <n v="4"/>
    <n v="2.5099999999999998"/>
    <d v="1899-12-30T00:12:14"/>
    <d v="1899-12-30T00:12:14"/>
    <d v="1899-12-30T00:12:14"/>
    <m/>
    <d v="1899-12-30T00:04:52"/>
    <n v="0.62749999999999995"/>
    <n v="4"/>
    <n v="1.25"/>
    <x v="1"/>
    <n v="0.25"/>
    <n v="0.5"/>
    <n v="0.25"/>
    <n v="0"/>
    <n v="0"/>
    <n v="0"/>
    <n v="0"/>
    <n v="2.4693749999999999"/>
    <s v="03.02.2023"/>
    <n v="1"/>
    <s v="#notSYRious"/>
    <m/>
    <n v="1"/>
  </r>
  <r>
    <x v="28"/>
    <s v="M"/>
    <n v="4"/>
    <n v="5.01"/>
    <d v="1899-12-30T00:19:09"/>
    <d v="1899-12-30T00:19:09"/>
    <d v="1899-12-30T00:19:09"/>
    <m/>
    <d v="1899-12-30T00:03:49"/>
    <n v="1.1928571428571428"/>
    <n v="5"/>
    <n v="2.25"/>
    <x v="1"/>
    <n v="0.25"/>
    <n v="0.5"/>
    <n v="0.25"/>
    <n v="0"/>
    <n v="0"/>
    <n v="0.89999999999999991"/>
    <n v="0"/>
    <n v="4.2607142857142861"/>
    <s v="04.02.2023"/>
    <n v="1"/>
    <s v="UltraHaita lu' Borcan"/>
    <m/>
    <n v="1"/>
  </r>
  <r>
    <x v="29"/>
    <s v="F"/>
    <n v="4"/>
    <n v="21.01"/>
    <d v="1899-12-30T01:55:50"/>
    <d v="1899-12-30T01:57:53"/>
    <d v="1899-12-30T01:56:51"/>
    <m/>
    <d v="1899-12-30T00:05:34"/>
    <n v="5"/>
    <n v="2.5"/>
    <n v="1"/>
    <x v="0"/>
    <n v="0.5"/>
    <n v="0.25"/>
    <n v="0.25"/>
    <n v="0"/>
    <n v="0"/>
    <n v="0"/>
    <n v="0"/>
    <n v="3.375"/>
    <s v="04.02.2023"/>
    <n v="1"/>
    <e v="#N/A"/>
    <m/>
    <n v="1"/>
  </r>
  <r>
    <x v="13"/>
    <s v="M"/>
    <n v="4"/>
    <n v="21.8"/>
    <d v="1899-12-30T02:58:22"/>
    <d v="1899-12-30T03:12:37"/>
    <d v="1899-12-30T03:05:30"/>
    <n v="280"/>
    <d v="1899-12-30T00:08:31"/>
    <n v="5"/>
    <n v="0"/>
    <n v="3.5"/>
    <x v="0"/>
    <n v="0.5"/>
    <n v="0.25"/>
    <n v="0.25"/>
    <n v="0.18666666666666668"/>
    <n v="0"/>
    <n v="0"/>
    <n v="0"/>
    <n v="3.5616666666666665"/>
    <s v="04.02.2023"/>
    <n v="1"/>
    <s v="MedgidiaRunning"/>
    <m/>
    <n v="0"/>
  </r>
  <r>
    <x v="17"/>
    <s v="M"/>
    <n v="4"/>
    <n v="16.059999999999999"/>
    <d v="1899-12-30T01:29:34"/>
    <d v="1899-12-30T01:45:38"/>
    <d v="1899-12-30T01:37:36"/>
    <n v="310"/>
    <d v="1899-12-30T00:06:05"/>
    <n v="3.8238095238095235"/>
    <n v="1.25"/>
    <n v="2.75"/>
    <x v="0"/>
    <n v="0.5"/>
    <n v="0.25"/>
    <n v="0.25"/>
    <n v="0.20666666666666667"/>
    <n v="0"/>
    <n v="0"/>
    <n v="0"/>
    <n v="3.1185714285714283"/>
    <s v="04.02.2023"/>
    <n v="1"/>
    <e v="#N/A"/>
    <m/>
    <n v="1"/>
  </r>
  <r>
    <x v="3"/>
    <s v="M"/>
    <n v="4"/>
    <n v="25.03"/>
    <d v="1899-12-30T02:22:19"/>
    <d v="1899-12-30T02:45:51"/>
    <d v="1899-12-30T02:34:05"/>
    <n v="146"/>
    <d v="1899-12-30T00:06:09"/>
    <n v="5"/>
    <n v="1.25"/>
    <n v="3"/>
    <x v="0"/>
    <n v="0.5"/>
    <n v="0.25"/>
    <n v="0.25"/>
    <n v="9.7333333333333327E-2"/>
    <n v="0.2"/>
    <n v="0"/>
    <n v="0.4"/>
    <n v="4.2598333333333338"/>
    <s v="04.02.2023"/>
    <n v="1"/>
    <s v="MedgidiaRunning"/>
    <m/>
    <n v="1"/>
  </r>
  <r>
    <x v="52"/>
    <s v="M"/>
    <n v="4"/>
    <n v="21.37"/>
    <d v="1899-12-30T02:53:41"/>
    <d v="1899-12-30T03:08:37"/>
    <d v="1899-12-30T03:01:09"/>
    <n v="945"/>
    <d v="1899-12-30T00:08:29"/>
    <n v="5"/>
    <n v="0"/>
    <n v="2.75"/>
    <x v="0"/>
    <n v="0.5"/>
    <n v="0.25"/>
    <n v="0.25"/>
    <n v="0.63"/>
    <n v="0"/>
    <n v="0"/>
    <n v="0"/>
    <n v="3.8174999999999999"/>
    <s v="04.02.2023"/>
    <n v="1"/>
    <e v="#N/A"/>
    <m/>
    <n v="0"/>
  </r>
  <r>
    <x v="32"/>
    <s v="M"/>
    <n v="4"/>
    <n v="26.01"/>
    <d v="1899-12-30T02:29:30"/>
    <d v="1899-12-30T02:29:45"/>
    <d v="1899-12-30T02:29:37"/>
    <m/>
    <d v="1899-12-30T00:05:45"/>
    <n v="5"/>
    <n v="1.75"/>
    <n v="1.75"/>
    <x v="0"/>
    <n v="0.5"/>
    <n v="0.25"/>
    <n v="0.25"/>
    <n v="0"/>
    <n v="0.2"/>
    <n v="0"/>
    <n v="0"/>
    <n v="3.5750000000000002"/>
    <s v="04.02.2023"/>
    <n v="1"/>
    <e v="#N/A"/>
    <m/>
    <n v="1"/>
  </r>
  <r>
    <x v="62"/>
    <s v="M"/>
    <n v="4"/>
    <n v="16.010000000000002"/>
    <d v="1899-12-30T01:34:52"/>
    <d v="1899-12-30T01:35:21"/>
    <d v="1899-12-30T01:35:07"/>
    <m/>
    <d v="1899-12-30T00:05:56"/>
    <n v="3.8119047619047621"/>
    <n v="1.5"/>
    <n v="1.75"/>
    <x v="0"/>
    <n v="0.5"/>
    <n v="0.25"/>
    <n v="0.25"/>
    <n v="0"/>
    <n v="0"/>
    <n v="0"/>
    <n v="0"/>
    <n v="2.7184523809523808"/>
    <s v="04.02.2023"/>
    <n v="1"/>
    <e v="#N/A"/>
    <m/>
    <n v="1"/>
  </r>
  <r>
    <x v="104"/>
    <s v="F"/>
    <n v="4"/>
    <n v="6.07"/>
    <d v="1899-12-30T00:59:36"/>
    <d v="1899-12-30T01:05:26"/>
    <d v="1899-12-30T01:02:31"/>
    <m/>
    <d v="1899-12-30T00:10:18"/>
    <n v="1.5175000000000001"/>
    <n v="0"/>
    <n v="2"/>
    <x v="0"/>
    <n v="0.5"/>
    <n v="0.25"/>
    <n v="0.25"/>
    <n v="0"/>
    <n v="0"/>
    <n v="0"/>
    <n v="0.7"/>
    <n v="1.95875"/>
    <s v="04.02.2023"/>
    <n v="1"/>
    <e v="#N/A"/>
    <m/>
    <n v="0"/>
  </r>
  <r>
    <x v="15"/>
    <s v="F"/>
    <n v="4"/>
    <n v="21.2"/>
    <d v="1899-12-30T02:06:22"/>
    <d v="1899-12-30T02:06:22"/>
    <d v="1899-12-30T02:06:22"/>
    <m/>
    <d v="1899-12-30T00:05:58"/>
    <n v="5"/>
    <n v="2"/>
    <n v="3.75"/>
    <x v="0"/>
    <n v="0.5"/>
    <n v="0.25"/>
    <n v="0.25"/>
    <n v="0"/>
    <n v="0"/>
    <n v="0"/>
    <n v="0"/>
    <n v="3.9375"/>
    <s v="04.02.2023"/>
    <n v="1"/>
    <e v="#N/A"/>
    <m/>
    <n v="1"/>
  </r>
  <r>
    <x v="70"/>
    <s v="F"/>
    <n v="4"/>
    <n v="18.579999999999998"/>
    <d v="1899-12-30T03:00:00"/>
    <d v="1899-12-30T04:00:00"/>
    <d v="1899-12-30T03:30:00"/>
    <n v="600"/>
    <d v="1899-12-30T00:11:18"/>
    <n v="4.6449999999999996"/>
    <n v="0"/>
    <n v="3.5"/>
    <x v="0"/>
    <n v="0.5"/>
    <n v="0.25"/>
    <n v="0.25"/>
    <n v="0.4"/>
    <n v="0"/>
    <n v="0"/>
    <n v="0"/>
    <n v="3.5974999999999997"/>
    <s v="04.02.2023"/>
    <n v="1"/>
    <e v="#N/A"/>
    <m/>
    <n v="0"/>
  </r>
  <r>
    <x v="64"/>
    <s v="M"/>
    <n v="4"/>
    <n v="25.1"/>
    <d v="1899-12-30T02:07:51"/>
    <d v="1899-12-30T02:07:51"/>
    <d v="1899-12-30T02:07:51"/>
    <n v="79"/>
    <d v="1899-12-30T00:05:06"/>
    <n v="5"/>
    <n v="2.5"/>
    <n v="4"/>
    <x v="0"/>
    <n v="0.5"/>
    <n v="0.25"/>
    <n v="0.25"/>
    <n v="5.2666666666666667E-2"/>
    <n v="0.2"/>
    <n v="0"/>
    <n v="0"/>
    <n v="4.3776666666666673"/>
    <s v="04.02.2023"/>
    <n v="1"/>
    <s v="The GOATs"/>
    <m/>
    <n v="1"/>
  </r>
  <r>
    <x v="59"/>
    <s v="M"/>
    <n v="4"/>
    <n v="15.02"/>
    <d v="1899-12-30T01:08:03"/>
    <d v="1899-12-30T01:08:06"/>
    <d v="1899-12-30T01:08:05"/>
    <m/>
    <d v="1899-12-30T00:04:32"/>
    <n v="3.5761904761904759"/>
    <n v="3.5"/>
    <n v="1.25"/>
    <x v="1"/>
    <n v="0.25"/>
    <n v="0.5"/>
    <n v="0.25"/>
    <n v="0"/>
    <n v="0"/>
    <n v="0"/>
    <n v="0"/>
    <n v="2.956547619047619"/>
    <s v="05.02.2023"/>
    <n v="1"/>
    <s v="UltraHaita lu' Borcan"/>
    <m/>
    <n v="1"/>
  </r>
  <r>
    <x v="2"/>
    <s v="F"/>
    <n v="4"/>
    <n v="20.74"/>
    <d v="1899-12-30T02:30:35"/>
    <d v="1899-12-30T02:31:04"/>
    <d v="1899-12-30T02:30:49"/>
    <n v="187"/>
    <d v="1899-12-30T00:07:16"/>
    <n v="5"/>
    <n v="0.5"/>
    <n v="3.75"/>
    <x v="0"/>
    <n v="0.5"/>
    <n v="0.25"/>
    <n v="0.25"/>
    <n v="0.12466666666666666"/>
    <n v="0"/>
    <n v="0"/>
    <n v="0"/>
    <n v="3.6871666666666667"/>
    <s v="05.02.2023"/>
    <n v="1"/>
    <s v="MedgidiaRunning"/>
    <m/>
    <n v="1"/>
  </r>
  <r>
    <x v="108"/>
    <s v="M"/>
    <n v="4"/>
    <n v="18.690000000000001"/>
    <d v="1899-12-30T02:54:42"/>
    <d v="1899-12-30T03:13:52"/>
    <d v="1899-12-30T03:04:17"/>
    <n v="725"/>
    <d v="1899-12-30T00:09:52"/>
    <n v="4.45"/>
    <n v="0"/>
    <n v="3.25"/>
    <x v="0"/>
    <n v="0.5"/>
    <n v="0.25"/>
    <n v="0.25"/>
    <n v="0.48333333333333334"/>
    <n v="0"/>
    <n v="0"/>
    <n v="0"/>
    <n v="3.5208333333333335"/>
    <s v="05.02.2023"/>
    <n v="1"/>
    <e v="#N/A"/>
    <m/>
    <n v="0"/>
  </r>
  <r>
    <x v="48"/>
    <s v="M"/>
    <n v="4"/>
    <n v="43"/>
    <d v="1899-12-30T03:43:59"/>
    <d v="1899-12-30T03:48:50"/>
    <d v="1899-12-30T03:46:25"/>
    <n v="173"/>
    <d v="1899-12-30T00:05:16"/>
    <n v="5"/>
    <n v="2.5"/>
    <n v="1"/>
    <x v="0"/>
    <n v="0.5"/>
    <n v="0.25"/>
    <n v="0.25"/>
    <n v="0.11533333333333333"/>
    <n v="1.1000000000000001"/>
    <n v="0"/>
    <n v="0"/>
    <n v="4.5903333333333336"/>
    <s v="05.02.2023"/>
    <n v="1"/>
    <s v="UltraHaita lu' Borcan"/>
    <m/>
    <n v="1"/>
  </r>
  <r>
    <x v="49"/>
    <s v="M"/>
    <n v="4"/>
    <n v="10.94"/>
    <d v="1899-12-30T02:22:48"/>
    <d v="1899-12-30T02:26:21"/>
    <d v="1899-12-30T02:24:35"/>
    <n v="991"/>
    <d v="1899-12-30T00:13:13"/>
    <n v="2.6047619047619044"/>
    <n v="0"/>
    <n v="3.75"/>
    <x v="2"/>
    <n v="0.25"/>
    <n v="0.25"/>
    <n v="0.5"/>
    <n v="0.66066666666666662"/>
    <n v="0"/>
    <n v="0"/>
    <n v="0"/>
    <n v="3.1868571428571428"/>
    <s v="05.02.2023"/>
    <n v="1"/>
    <s v="The GOATs"/>
    <m/>
    <n v="0"/>
  </r>
  <r>
    <x v="69"/>
    <s v="M"/>
    <n v="4"/>
    <n v="30.01"/>
    <d v="1899-12-30T02:26:26"/>
    <d v="1899-12-30T02:26:26"/>
    <d v="1899-12-30T02:26:26"/>
    <m/>
    <d v="1899-12-30T00:04:53"/>
    <n v="5"/>
    <n v="3"/>
    <n v="2"/>
    <x v="1"/>
    <n v="0.25"/>
    <n v="0.5"/>
    <n v="0.25"/>
    <n v="0"/>
    <n v="0.4"/>
    <n v="0"/>
    <n v="0"/>
    <n v="3.65"/>
    <s v="05.02.2023"/>
    <n v="1"/>
    <s v="Almost Kenyan Runners"/>
    <m/>
    <n v="1"/>
  </r>
  <r>
    <x v="39"/>
    <s v="M"/>
    <n v="4"/>
    <n v="14.23"/>
    <d v="1899-12-30T01:24:30"/>
    <d v="1899-12-30T01:24:33"/>
    <d v="1899-12-30T01:24:31"/>
    <m/>
    <d v="1899-12-30T00:05:56"/>
    <n v="3.388095238095238"/>
    <n v="1.5"/>
    <n v="3.25"/>
    <x v="0"/>
    <n v="0.5"/>
    <n v="0.25"/>
    <n v="0.25"/>
    <n v="0"/>
    <n v="0"/>
    <n v="0"/>
    <n v="0"/>
    <n v="2.8815476190476188"/>
    <s v="05.02.2023"/>
    <n v="1"/>
    <s v="#notSYRious"/>
    <m/>
    <n v="1"/>
  </r>
  <r>
    <x v="54"/>
    <s v="F"/>
    <n v="4"/>
    <n v="8.1199999999999992"/>
    <d v="1899-12-30T00:59:38"/>
    <d v="1899-12-30T01:28:40"/>
    <d v="1899-12-30T01:14:09"/>
    <m/>
    <d v="1899-12-30T00:09:08"/>
    <n v="2.0299999999999998"/>
    <n v="0"/>
    <n v="2"/>
    <x v="0"/>
    <n v="0.5"/>
    <n v="0.25"/>
    <n v="0.25"/>
    <n v="0"/>
    <n v="0"/>
    <n v="0"/>
    <n v="0.7"/>
    <n v="2.2149999999999999"/>
    <s v="05.02.2023"/>
    <n v="1"/>
    <s v="UltraHaita lu' Borcan"/>
    <m/>
    <n v="0"/>
  </r>
  <r>
    <x v="57"/>
    <s v="M"/>
    <n v="4"/>
    <n v="11.51"/>
    <d v="1899-12-30T01:27:50"/>
    <d v="1899-12-30T01:29:01"/>
    <d v="1899-12-30T01:28:25"/>
    <n v="449"/>
    <d v="1899-12-30T00:07:41"/>
    <n v="2.7404761904761905"/>
    <n v="0.25"/>
    <n v="2.75"/>
    <x v="0"/>
    <n v="0.5"/>
    <n v="0.25"/>
    <n v="0.25"/>
    <n v="0.29933333333333334"/>
    <n v="0"/>
    <n v="0"/>
    <n v="0"/>
    <n v="2.4195714285714285"/>
    <s v="05.02.2023"/>
    <n v="1"/>
    <s v="The GOATs"/>
    <m/>
    <n v="1"/>
  </r>
  <r>
    <x v="38"/>
    <s v="F"/>
    <n v="4"/>
    <n v="8.42"/>
    <d v="1899-12-30T01:00:26"/>
    <d v="1899-12-30T01:01:01"/>
    <d v="1899-12-30T01:00:44"/>
    <n v="68"/>
    <d v="1899-12-30T00:07:13"/>
    <n v="2.105"/>
    <n v="0.75"/>
    <n v="0.75"/>
    <x v="0"/>
    <n v="0.5"/>
    <n v="0.25"/>
    <n v="0.25"/>
    <n v="4.5333333333333337E-2"/>
    <n v="0"/>
    <n v="0"/>
    <n v="0"/>
    <n v="1.4728333333333334"/>
    <s v="05.02.2023"/>
    <n v="1"/>
    <s v="#notSYRious"/>
    <m/>
    <n v="1"/>
  </r>
  <r>
    <x v="109"/>
    <s v="M"/>
    <n v="4"/>
    <n v="17.54"/>
    <d v="1899-12-30T02:25:44"/>
    <d v="1899-12-30T02:53:28"/>
    <d v="1899-12-30T02:39:36"/>
    <n v="748"/>
    <d v="1899-12-30T00:09:06"/>
    <n v="4.1761904761904756"/>
    <n v="0"/>
    <n v="3"/>
    <x v="0"/>
    <n v="0.5"/>
    <n v="0.25"/>
    <n v="0.25"/>
    <n v="0.49866666666666665"/>
    <n v="0"/>
    <n v="0"/>
    <n v="0"/>
    <n v="3.3367619047619046"/>
    <s v="05.02.2023"/>
    <n v="1"/>
    <e v="#N/A"/>
    <m/>
    <n v="0"/>
  </r>
  <r>
    <x v="110"/>
    <s v="F"/>
    <n v="4"/>
    <n v="17.54"/>
    <d v="1899-12-30T02:25:44"/>
    <d v="1899-12-30T02:53:28"/>
    <d v="1899-12-30T02:39:36"/>
    <n v="748"/>
    <d v="1899-12-30T00:09:06"/>
    <n v="4.3849999999999998"/>
    <n v="0"/>
    <n v="3.5"/>
    <x v="0"/>
    <n v="0.5"/>
    <n v="0.25"/>
    <n v="0.25"/>
    <n v="0.49866666666666665"/>
    <n v="0"/>
    <n v="0"/>
    <n v="0"/>
    <n v="3.5661666666666667"/>
    <s v="05.02.2023"/>
    <n v="1"/>
    <e v="#N/A"/>
    <m/>
    <n v="0"/>
  </r>
  <r>
    <x v="60"/>
    <s v="M"/>
    <n v="4"/>
    <n v="21.26"/>
    <d v="1899-12-30T01:29:53"/>
    <d v="1899-12-30T01:30:01"/>
    <d v="1899-12-30T01:29:57"/>
    <n v="147"/>
    <d v="1899-12-30T00:04:14"/>
    <n v="5"/>
    <n v="4.5"/>
    <n v="4"/>
    <x v="2"/>
    <n v="0.25"/>
    <n v="0.25"/>
    <n v="0.5"/>
    <n v="9.8000000000000004E-2"/>
    <n v="0"/>
    <n v="0"/>
    <n v="0"/>
    <n v="4.4729999999999999"/>
    <s v="05.02.2023"/>
    <n v="1"/>
    <s v="#notSYRious"/>
    <m/>
    <n v="1"/>
  </r>
  <r>
    <x v="77"/>
    <s v="F"/>
    <n v="4"/>
    <n v="15"/>
    <d v="1899-12-30T01:13:15"/>
    <d v="1899-12-30T01:14:54"/>
    <d v="1899-12-30T01:14:04"/>
    <m/>
    <d v="1899-12-30T00:04:56"/>
    <n v="3.75"/>
    <n v="4"/>
    <n v="4.25"/>
    <x v="1"/>
    <n v="0.25"/>
    <n v="0.5"/>
    <n v="0.25"/>
    <n v="0"/>
    <n v="0"/>
    <n v="0"/>
    <n v="0"/>
    <n v="4"/>
    <s v="05.02.2023"/>
    <n v="1"/>
    <s v="The GOATs"/>
    <m/>
    <n v="1"/>
  </r>
  <r>
    <x v="27"/>
    <s v="M"/>
    <n v="4"/>
    <n v="10.220000000000001"/>
    <d v="1899-12-30T00:56:30"/>
    <d v="1899-12-30T00:59:35"/>
    <d v="1899-12-30T00:58:03"/>
    <m/>
    <d v="1899-12-30T00:05:41"/>
    <n v="2.4333333333333336"/>
    <n v="1.75"/>
    <n v="2.5"/>
    <x v="0"/>
    <n v="0.5"/>
    <n v="0.25"/>
    <n v="0.25"/>
    <n v="0"/>
    <n v="0"/>
    <n v="0"/>
    <n v="0"/>
    <n v="2.2791666666666668"/>
    <s v="05.02.2023"/>
    <n v="1"/>
    <s v="#notSYRious"/>
    <m/>
    <n v="1"/>
  </r>
  <r>
    <x v="21"/>
    <s v="M"/>
    <n v="4"/>
    <n v="15.17"/>
    <d v="1899-12-30T01:41:20"/>
    <d v="1899-12-30T01:58:05"/>
    <d v="1899-12-30T01:49:42"/>
    <n v="403"/>
    <d v="1899-12-30T00:07:14"/>
    <n v="3.611904761904762"/>
    <n v="0.25"/>
    <n v="3.5"/>
    <x v="2"/>
    <n v="0.25"/>
    <n v="0.25"/>
    <n v="0.5"/>
    <n v="0.26866666666666666"/>
    <n v="0"/>
    <n v="0"/>
    <n v="0.4"/>
    <n v="3.3841428571428573"/>
    <s v="05.02.2023"/>
    <n v="1"/>
    <s v="#notSYRious"/>
    <m/>
    <n v="1"/>
  </r>
  <r>
    <x v="41"/>
    <s v="M"/>
    <n v="4"/>
    <n v="62.05"/>
    <d v="1899-12-30T05:50:24"/>
    <d v="1899-12-30T06:07:52"/>
    <d v="1899-12-30T05:59:08"/>
    <n v="755"/>
    <d v="1899-12-30T00:05:47"/>
    <n v="5"/>
    <n v="1.5"/>
    <n v="3.75"/>
    <x v="0"/>
    <n v="0.5"/>
    <n v="0.25"/>
    <n v="0.25"/>
    <n v="0.5033333333333333"/>
    <n v="2"/>
    <n v="0"/>
    <n v="0"/>
    <n v="6.315833333333333"/>
    <s v="05.02.2023"/>
    <n v="1"/>
    <s v="UltraHaita lu' Borcan"/>
    <m/>
    <n v="1"/>
  </r>
  <r>
    <x v="9"/>
    <s v="M"/>
    <n v="4"/>
    <n v="21.04"/>
    <d v="1899-12-30T02:42:20"/>
    <d v="1899-12-30T02:44:49"/>
    <d v="1899-12-30T02:43:34"/>
    <n v="741"/>
    <d v="1899-12-30T00:07:46"/>
    <n v="5"/>
    <n v="0.25"/>
    <n v="3"/>
    <x v="2"/>
    <n v="0.25"/>
    <n v="0.25"/>
    <n v="0.5"/>
    <n v="0.49399999999999999"/>
    <n v="0"/>
    <n v="0"/>
    <n v="0"/>
    <n v="3.3064999999999998"/>
    <s v="05.02.2023"/>
    <n v="1"/>
    <s v="The GOATs"/>
    <m/>
    <n v="1"/>
  </r>
  <r>
    <x v="83"/>
    <s v="M"/>
    <n v="4"/>
    <n v="3.02"/>
    <d v="1899-12-30T00:12:16"/>
    <d v="1899-12-30T00:12:16"/>
    <d v="1899-12-30T00:12:16"/>
    <m/>
    <d v="1899-12-30T00:04:04"/>
    <n v="0.71904761904761905"/>
    <n v="4.5"/>
    <n v="1.5"/>
    <x v="1"/>
    <n v="0.25"/>
    <n v="0.5"/>
    <n v="0.25"/>
    <n v="0"/>
    <n v="0"/>
    <n v="0"/>
    <n v="0"/>
    <n v="2.8047619047619046"/>
    <s v="05.02.2023"/>
    <n v="1"/>
    <e v="#N/A"/>
    <m/>
    <n v="1"/>
  </r>
  <r>
    <x v="12"/>
    <s v="M"/>
    <n v="4"/>
    <n v="21.21"/>
    <d v="1899-12-30T01:31:02"/>
    <d v="1899-12-30T01:31:02"/>
    <d v="1899-12-30T01:31:02"/>
    <m/>
    <d v="1899-12-30T00:04:18"/>
    <n v="5"/>
    <n v="4"/>
    <n v="2.75"/>
    <x v="0"/>
    <n v="0.5"/>
    <n v="0.25"/>
    <n v="0.25"/>
    <n v="0"/>
    <n v="0"/>
    <n v="0"/>
    <n v="0"/>
    <n v="4.1875"/>
    <s v="05.02.2023"/>
    <n v="1"/>
    <s v="#notSYRious"/>
    <m/>
    <n v="1"/>
  </r>
  <r>
    <x v="103"/>
    <s v="M"/>
    <n v="4"/>
    <n v="9.31"/>
    <d v="1899-12-30T01:04:38"/>
    <d v="1899-12-30T01:04:52"/>
    <d v="1899-12-30T01:04:45"/>
    <m/>
    <d v="1899-12-30T00:06:57"/>
    <n v="2.2166666666666668"/>
    <n v="0.5"/>
    <n v="1.5"/>
    <x v="0"/>
    <n v="0.5"/>
    <n v="0.25"/>
    <n v="0.25"/>
    <n v="0"/>
    <n v="0"/>
    <n v="0"/>
    <n v="0"/>
    <n v="1.6083333333333334"/>
    <s v="05.02.2023"/>
    <n v="1"/>
    <e v="#N/A"/>
    <m/>
    <n v="1"/>
  </r>
  <r>
    <x v="16"/>
    <s v="F"/>
    <n v="4"/>
    <n v="7.03"/>
    <d v="1899-12-30T00:39:35"/>
    <d v="1899-12-30T00:42:36"/>
    <d v="1899-12-30T00:41:06"/>
    <m/>
    <d v="1899-12-30T00:05:51"/>
    <n v="1.7575000000000001"/>
    <n v="2"/>
    <n v="2"/>
    <x v="0"/>
    <n v="0.5"/>
    <n v="0.25"/>
    <n v="0.25"/>
    <n v="0"/>
    <n v="0"/>
    <n v="0"/>
    <n v="0"/>
    <n v="1.8787500000000001"/>
    <s v="05.02.2023"/>
    <n v="1"/>
    <s v="MedgidiaRunning"/>
    <m/>
    <n v="1"/>
  </r>
  <r>
    <x v="37"/>
    <s v="M"/>
    <n v="4"/>
    <n v="7.96"/>
    <d v="1899-12-30T00:44:28"/>
    <d v="1899-12-30T00:44:28"/>
    <d v="1899-12-30T00:44:28"/>
    <n v="219"/>
    <d v="1899-12-30T00:05:35"/>
    <n v="1.8952380952380952"/>
    <n v="1.75"/>
    <n v="2.75"/>
    <x v="2"/>
    <n v="0.25"/>
    <n v="0.25"/>
    <n v="0.5"/>
    <n v="0.14599999999999999"/>
    <n v="0"/>
    <n v="0"/>
    <n v="0"/>
    <n v="2.4323095238095238"/>
    <s v="05.02.2023"/>
    <n v="1"/>
    <e v="#N/A"/>
    <m/>
    <n v="1"/>
  </r>
  <r>
    <x v="91"/>
    <s v="M"/>
    <n v="4"/>
    <n v="0"/>
    <d v="1899-12-30T00:00:00"/>
    <d v="1899-12-30T00:00:00"/>
    <d v="1899-12-30T00:00:00"/>
    <m/>
    <d v="1899-12-30T00:00:00"/>
    <n v="0"/>
    <n v="0"/>
    <n v="0"/>
    <x v="3"/>
    <n v="0.25"/>
    <n v="0.25"/>
    <n v="0.25"/>
    <n v="0"/>
    <n v="0"/>
    <n v="0"/>
    <n v="0"/>
    <n v="1.5"/>
    <s v="05.02.2023"/>
    <n v="1"/>
    <s v="#notSYRious"/>
    <m/>
    <n v="0"/>
  </r>
  <r>
    <x v="75"/>
    <s v="F"/>
    <n v="4"/>
    <n v="0"/>
    <d v="1899-12-30T00:00:00"/>
    <d v="1899-12-30T00:00:00"/>
    <d v="1899-12-30T00:00:00"/>
    <m/>
    <d v="1899-12-30T00:00:00"/>
    <n v="0"/>
    <n v="0"/>
    <n v="0"/>
    <x v="3"/>
    <n v="0.25"/>
    <n v="0.25"/>
    <n v="0.25"/>
    <n v="0"/>
    <n v="0"/>
    <n v="0"/>
    <n v="0"/>
    <n v="1.5"/>
    <s v="05.02.2023"/>
    <n v="1"/>
    <s v="#notSYRious"/>
    <m/>
    <n v="0"/>
  </r>
  <r>
    <x v="82"/>
    <s v="M"/>
    <n v="4"/>
    <n v="14.73"/>
    <d v="1899-12-30T01:03:14"/>
    <d v="1899-12-30T01:03:14"/>
    <d v="1899-12-30T01:03:14"/>
    <n v="131"/>
    <d v="1899-12-30T00:04:18"/>
    <n v="3.5071428571428571"/>
    <n v="4"/>
    <n v="2.75"/>
    <x v="1"/>
    <n v="0.25"/>
    <n v="0.5"/>
    <n v="0.25"/>
    <n v="8.7333333333333332E-2"/>
    <n v="0"/>
    <n v="0"/>
    <n v="0"/>
    <n v="3.6516190476190475"/>
    <s v="05.02.2023"/>
    <n v="1"/>
    <s v="Almost Kenyan Runners"/>
    <m/>
    <n v="1"/>
  </r>
  <r>
    <x v="43"/>
    <s v="M"/>
    <n v="4"/>
    <n v="18.53"/>
    <d v="1899-12-30T01:35:05"/>
    <d v="1899-12-30T01:39:19"/>
    <d v="1899-12-30T01:37:12"/>
    <n v="87"/>
    <d v="1899-12-30T00:05:15"/>
    <n v="4.4119047619047622"/>
    <n v="2.5"/>
    <n v="1.5"/>
    <x v="0"/>
    <n v="0.5"/>
    <n v="0.25"/>
    <n v="0.25"/>
    <n v="5.8000000000000003E-2"/>
    <n v="0"/>
    <n v="0"/>
    <n v="0"/>
    <n v="3.2639523809523809"/>
    <s v="05.02.2023"/>
    <n v="1"/>
    <s v="Almost Kenyan Runners"/>
    <m/>
    <n v="1"/>
  </r>
  <r>
    <x v="85"/>
    <s v="M"/>
    <n v="4"/>
    <n v="25.02"/>
    <d v="1899-12-30T03:11:49"/>
    <d v="1899-12-30T03:55:37"/>
    <d v="1899-12-30T03:33:43"/>
    <n v="1023"/>
    <d v="1899-12-30T00:08:33"/>
    <n v="5"/>
    <n v="0"/>
    <n v="4"/>
    <x v="0"/>
    <n v="0.5"/>
    <n v="0.25"/>
    <n v="0.25"/>
    <n v="0.68200000000000005"/>
    <n v="0.2"/>
    <n v="0"/>
    <n v="0"/>
    <n v="4.3820000000000006"/>
    <s v="05.02.2023"/>
    <n v="1"/>
    <s v="The GOATs"/>
    <m/>
    <n v="0"/>
  </r>
  <r>
    <x v="74"/>
    <s v="F"/>
    <n v="4"/>
    <n v="3.02"/>
    <d v="1899-12-30T00:19:23"/>
    <d v="1899-12-30T00:22:23"/>
    <d v="1899-12-30T00:20:53"/>
    <m/>
    <d v="1899-12-30T00:06:55"/>
    <n v="0.755"/>
    <n v="1"/>
    <n v="3.25"/>
    <x v="2"/>
    <n v="0.25"/>
    <n v="0.25"/>
    <n v="0.5"/>
    <n v="0"/>
    <n v="0"/>
    <n v="0"/>
    <n v="0"/>
    <n v="2.0637499999999998"/>
    <s v="05.02.2023"/>
    <n v="1"/>
    <s v="UltraHaita lu' Borcan"/>
    <m/>
    <n v="1"/>
  </r>
  <r>
    <x v="18"/>
    <s v="M"/>
    <n v="4"/>
    <n v="42.3"/>
    <d v="1899-12-30T03:50:20"/>
    <d v="1899-12-30T04:12:41"/>
    <d v="1899-12-30T04:01:31"/>
    <n v="118"/>
    <d v="1899-12-30T00:05:43"/>
    <n v="5"/>
    <n v="1.75"/>
    <n v="1"/>
    <x v="0"/>
    <n v="0.5"/>
    <n v="0.25"/>
    <n v="0.25"/>
    <n v="7.8666666666666663E-2"/>
    <n v="1"/>
    <n v="0"/>
    <n v="0"/>
    <n v="4.2661666666666669"/>
    <s v="05.02.2023"/>
    <n v="1"/>
    <s v="UltraHaita lu' Borcan"/>
    <m/>
    <n v="1"/>
  </r>
  <r>
    <x v="51"/>
    <s v="F"/>
    <n v="4"/>
    <n v="5"/>
    <d v="1899-12-30T00:27:49"/>
    <d v="1899-12-30T00:28:33"/>
    <d v="1899-12-30T00:28:11"/>
    <m/>
    <d v="1899-12-30T00:05:38"/>
    <n v="1.25"/>
    <n v="2.5"/>
    <n v="1"/>
    <x v="0"/>
    <n v="0.5"/>
    <n v="0.25"/>
    <n v="0.25"/>
    <n v="0"/>
    <n v="0"/>
    <n v="0"/>
    <n v="0"/>
    <n v="1.5"/>
    <s v="05.02.2023"/>
    <n v="1"/>
    <s v="#notSYRious"/>
    <m/>
    <n v="1"/>
  </r>
  <r>
    <x v="40"/>
    <s v="M"/>
    <n v="4"/>
    <n v="15.5"/>
    <d v="1899-12-30T01:26:45"/>
    <d v="1899-12-30T01:27:30"/>
    <d v="1899-12-30T01:27:08"/>
    <m/>
    <d v="1899-12-30T00:05:37"/>
    <n v="3.6904761904761902"/>
    <n v="1.75"/>
    <n v="0.75"/>
    <x v="0"/>
    <n v="0.5"/>
    <n v="0.25"/>
    <n v="0.25"/>
    <n v="0"/>
    <n v="0"/>
    <n v="0"/>
    <n v="0"/>
    <n v="2.4702380952380949"/>
    <s v="05.02.2023"/>
    <n v="1"/>
    <s v="Almost Kenyan Runners"/>
    <m/>
    <n v="1"/>
  </r>
  <r>
    <x v="50"/>
    <s v="M"/>
    <n v="4"/>
    <n v="50.14"/>
    <d v="1899-12-30T04:58:05"/>
    <d v="1899-12-30T05:06:25"/>
    <d v="1899-12-30T05:02:15"/>
    <n v="382"/>
    <d v="1899-12-30T00:06:02"/>
    <n v="5"/>
    <n v="1.25"/>
    <n v="2.75"/>
    <x v="0"/>
    <n v="0.5"/>
    <n v="0.25"/>
    <n v="0.25"/>
    <n v="0.25466666666666665"/>
    <n v="1.4"/>
    <n v="0"/>
    <n v="0"/>
    <n v="5.1546666666666665"/>
    <s v="05.02.2023"/>
    <n v="1"/>
    <s v="The GOATs"/>
    <m/>
    <n v="1"/>
  </r>
  <r>
    <x v="55"/>
    <s v="M"/>
    <n v="4"/>
    <n v="21.04"/>
    <d v="1899-12-30T02:29:51"/>
    <d v="1899-12-30T02:44:49"/>
    <d v="1899-12-30T02:37:20"/>
    <n v="741"/>
    <d v="1899-12-30T00:07:29"/>
    <n v="5"/>
    <n v="0.25"/>
    <n v="2.5"/>
    <x v="0"/>
    <n v="0.5"/>
    <n v="0.25"/>
    <n v="0.25"/>
    <n v="0.49399999999999999"/>
    <n v="0"/>
    <n v="0"/>
    <n v="0"/>
    <n v="3.6814999999999998"/>
    <s v="05.02.2023"/>
    <n v="1"/>
    <e v="#N/A"/>
    <m/>
    <n v="1"/>
  </r>
  <r>
    <x v="25"/>
    <s v="M"/>
    <n v="4"/>
    <n v="6.13"/>
    <d v="1899-12-30T00:35:02"/>
    <d v="1899-12-30T00:35:11"/>
    <d v="1899-12-30T00:35:06"/>
    <m/>
    <d v="1899-12-30T00:05:44"/>
    <n v="1.4595238095238094"/>
    <n v="1.75"/>
    <n v="1"/>
    <x v="0"/>
    <n v="0.5"/>
    <n v="0.25"/>
    <n v="0.25"/>
    <n v="0"/>
    <n v="0"/>
    <n v="0"/>
    <n v="0"/>
    <n v="1.4172619047619048"/>
    <s v="05.02.2023"/>
    <n v="1"/>
    <e v="#N/A"/>
    <m/>
    <n v="1"/>
  </r>
  <r>
    <x v="88"/>
    <s v="M"/>
    <n v="4"/>
    <n v="16.010000000000002"/>
    <d v="1899-12-30T01:04:19"/>
    <d v="1899-12-30T01:08:44"/>
    <d v="1899-12-30T01:06:32"/>
    <n v="106"/>
    <d v="1899-12-30T00:04:09"/>
    <n v="3.8119047619047621"/>
    <n v="4.5"/>
    <n v="2"/>
    <x v="1"/>
    <n v="0.25"/>
    <n v="0.5"/>
    <n v="0.25"/>
    <n v="7.0666666666666669E-2"/>
    <n v="0"/>
    <n v="0"/>
    <n v="0"/>
    <n v="3.7736428571428573"/>
    <s v="05.02.2023"/>
    <n v="1"/>
    <s v="Almost Kenyan Runners"/>
    <m/>
    <n v="1"/>
  </r>
  <r>
    <x v="20"/>
    <s v="F"/>
    <n v="4"/>
    <n v="16.14"/>
    <d v="1899-12-30T01:38:57"/>
    <d v="1899-12-30T01:49:26"/>
    <d v="1899-12-30T01:44:12"/>
    <n v="204"/>
    <d v="1899-12-30T00:06:27"/>
    <n v="4.0350000000000001"/>
    <n v="1.5"/>
    <n v="1.75"/>
    <x v="0"/>
    <n v="0.5"/>
    <n v="0.25"/>
    <n v="0.25"/>
    <n v="0.13600000000000001"/>
    <n v="0"/>
    <n v="0"/>
    <n v="0"/>
    <n v="2.9660000000000002"/>
    <s v="05.02.2023"/>
    <n v="1"/>
    <s v="MedgidiaRunning"/>
    <m/>
    <n v="1"/>
  </r>
  <r>
    <x v="34"/>
    <s v="M"/>
    <n v="4"/>
    <n v="5.01"/>
    <d v="1899-12-30T00:32:02"/>
    <d v="1899-12-30T00:32:05"/>
    <d v="1899-12-30T00:32:03"/>
    <m/>
    <d v="1899-12-30T00:06:24"/>
    <n v="1.1928571428571428"/>
    <n v="1"/>
    <n v="1"/>
    <x v="0"/>
    <n v="0.5"/>
    <n v="0.25"/>
    <n v="0.25"/>
    <n v="0"/>
    <n v="0"/>
    <n v="0"/>
    <n v="0"/>
    <n v="1.0964285714285715"/>
    <s v="05.02.2023"/>
    <n v="1"/>
    <e v="#N/A"/>
    <m/>
    <n v="1"/>
  </r>
  <r>
    <x v="33"/>
    <s v="M"/>
    <n v="4"/>
    <n v="25.09"/>
    <d v="1899-12-30T02:19:46"/>
    <d v="1899-12-30T02:20:44"/>
    <d v="1899-12-30T02:20:15"/>
    <n v="132"/>
    <d v="1899-12-30T00:05:35"/>
    <n v="5"/>
    <n v="1.75"/>
    <n v="1"/>
    <x v="0"/>
    <n v="0.5"/>
    <n v="0.25"/>
    <n v="0.25"/>
    <n v="8.7999999999999995E-2"/>
    <n v="0.2"/>
    <n v="0"/>
    <n v="0"/>
    <n v="3.4755000000000003"/>
    <s v="05.02.2023"/>
    <n v="1"/>
    <s v="UltraHaita lu' Borcan"/>
    <m/>
    <n v="1"/>
  </r>
  <r>
    <x v="44"/>
    <s v="M"/>
    <n v="4"/>
    <n v="12.5"/>
    <d v="1899-12-30T00:58:30"/>
    <d v="1899-12-30T00:58:30"/>
    <d v="1899-12-30T00:58:30"/>
    <m/>
    <d v="1899-12-30T00:04:41"/>
    <n v="2.9761904761904763"/>
    <n v="3.5"/>
    <n v="2.75"/>
    <x v="1"/>
    <n v="0.25"/>
    <n v="0.5"/>
    <n v="0.25"/>
    <n v="0"/>
    <n v="0"/>
    <n v="0"/>
    <n v="0"/>
    <n v="3.1815476190476191"/>
    <s v="05.02.2023"/>
    <n v="1"/>
    <s v="UltraHaita lu' Borcan"/>
    <m/>
    <n v="1"/>
  </r>
  <r>
    <x v="0"/>
    <s v="M"/>
    <n v="4"/>
    <n v="11.44"/>
    <d v="1899-12-30T01:04:28"/>
    <d v="1899-12-30T01:04:54"/>
    <d v="1899-12-30T01:04:41"/>
    <m/>
    <d v="1899-12-30T00:05:39"/>
    <n v="2.7238095238095235"/>
    <n v="1.75"/>
    <n v="2.25"/>
    <x v="0"/>
    <n v="0.5"/>
    <n v="0.25"/>
    <n v="0.25"/>
    <n v="0"/>
    <n v="0"/>
    <n v="0"/>
    <n v="0"/>
    <n v="2.3619047619047615"/>
    <s v="05.02.2023"/>
    <n v="1"/>
    <s v="UltraHaita lu' Borcan"/>
    <m/>
    <n v="1"/>
  </r>
  <r>
    <x v="65"/>
    <s v="F"/>
    <n v="4"/>
    <n v="11.06"/>
    <d v="1899-12-30T01:34:15"/>
    <d v="1899-12-30T01:48:25"/>
    <d v="1899-12-30T01:41:20"/>
    <n v="438"/>
    <d v="1899-12-30T00:09:10"/>
    <n v="2.7650000000000001"/>
    <n v="0"/>
    <n v="0.5"/>
    <x v="0"/>
    <n v="0.5"/>
    <n v="0.25"/>
    <n v="0.25"/>
    <n v="0.29199999999999998"/>
    <n v="0"/>
    <n v="0"/>
    <n v="0"/>
    <n v="1.7995000000000001"/>
    <s v="05.02.2023"/>
    <n v="1"/>
    <e v="#N/A"/>
    <m/>
    <n v="0"/>
  </r>
  <r>
    <x v="23"/>
    <s v="M"/>
    <n v="4"/>
    <n v="6.01"/>
    <d v="1899-12-30T00:29:39"/>
    <d v="1899-12-30T00:29:39"/>
    <d v="1899-12-30T00:29:39"/>
    <m/>
    <d v="1899-12-30T00:04:56"/>
    <n v="1.4309523809523808"/>
    <n v="3"/>
    <n v="0.5"/>
    <x v="0"/>
    <n v="0.5"/>
    <n v="0.25"/>
    <n v="0.25"/>
    <n v="0"/>
    <n v="0"/>
    <n v="0"/>
    <n v="0"/>
    <n v="1.5904761904761904"/>
    <s v="05.02.2023"/>
    <n v="1"/>
    <s v="Almost Kenyan Runners"/>
    <m/>
    <n v="1"/>
  </r>
  <r>
    <x v="71"/>
    <s v="M"/>
    <n v="4"/>
    <n v="0"/>
    <d v="1899-12-30T00:00:00"/>
    <d v="1899-12-30T00:00:00"/>
    <d v="1899-12-30T00:00:00"/>
    <m/>
    <d v="1899-12-30T00:00:00"/>
    <n v="0"/>
    <n v="0"/>
    <n v="0"/>
    <x v="3"/>
    <n v="0.25"/>
    <n v="0.25"/>
    <n v="0.25"/>
    <n v="0"/>
    <n v="0"/>
    <n v="0"/>
    <n v="0"/>
    <n v="1.5"/>
    <s v="05.02.2023"/>
    <n v="1"/>
    <s v="MedgidiaRunning"/>
    <m/>
    <n v="0"/>
  </r>
  <r>
    <x v="92"/>
    <s v="F"/>
    <n v="4"/>
    <n v="9"/>
    <d v="1899-12-30T00:58:36"/>
    <d v="1899-12-30T01:24:37"/>
    <d v="1899-12-30T01:11:37"/>
    <m/>
    <d v="1899-12-30T00:07:57"/>
    <n v="2.25"/>
    <n v="0.25"/>
    <n v="1.25"/>
    <x v="0"/>
    <n v="0.5"/>
    <n v="0.25"/>
    <n v="0.25"/>
    <n v="0"/>
    <n v="0"/>
    <n v="0"/>
    <n v="0"/>
    <n v="1.5"/>
    <s v="06.02.2023"/>
    <n v="1"/>
    <s v="The GOATs"/>
    <m/>
    <n v="1"/>
  </r>
  <r>
    <x v="30"/>
    <s v="M"/>
    <n v="4"/>
    <n v="8.2100000000000009"/>
    <d v="1899-12-30T00:35:17"/>
    <d v="1899-12-30T00:35:17"/>
    <d v="1899-12-30T00:35:17"/>
    <m/>
    <d v="1899-12-30T00:04:18"/>
    <n v="1.9547619047619049"/>
    <n v="4"/>
    <n v="4"/>
    <x v="1"/>
    <n v="0.25"/>
    <n v="0.5"/>
    <n v="0.25"/>
    <n v="0"/>
    <n v="0"/>
    <n v="0"/>
    <n v="0"/>
    <n v="3.4886904761904765"/>
    <s v="06.02.2023"/>
    <n v="1"/>
    <s v="The GOATs"/>
    <m/>
    <n v="1"/>
  </r>
  <r>
    <x v="80"/>
    <s v="M"/>
    <n v="4"/>
    <n v="7"/>
    <d v="1899-12-30T00:29:51"/>
    <d v="1899-12-30T00:29:58"/>
    <d v="1899-12-30T00:29:55"/>
    <m/>
    <d v="1899-12-30T00:04:16"/>
    <n v="1.6666666666666665"/>
    <n v="4"/>
    <n v="3.75"/>
    <x v="1"/>
    <n v="0.25"/>
    <n v="0.5"/>
    <n v="0.25"/>
    <n v="0"/>
    <n v="0"/>
    <n v="0"/>
    <n v="0"/>
    <n v="3.3541666666666665"/>
    <s v="06.02.2023"/>
    <n v="1"/>
    <s v="Almost Kenyan Runners"/>
    <m/>
    <n v="1"/>
  </r>
  <r>
    <x v="96"/>
    <s v="F"/>
    <n v="4"/>
    <n v="6.5"/>
    <d v="1899-12-30T00:38:34"/>
    <d v="1899-12-30T00:42:39"/>
    <d v="1899-12-30T00:40:36"/>
    <m/>
    <d v="1899-12-30T00:06:15"/>
    <n v="1.625"/>
    <n v="1.75"/>
    <n v="4"/>
    <x v="2"/>
    <n v="0.25"/>
    <n v="0.25"/>
    <n v="0.5"/>
    <n v="0"/>
    <n v="0"/>
    <n v="0"/>
    <n v="0"/>
    <n v="2.84375"/>
    <s v="06.02.2023"/>
    <n v="1"/>
    <e v="#N/A"/>
    <m/>
    <n v="1"/>
  </r>
  <r>
    <x v="84"/>
    <s v="M"/>
    <n v="4"/>
    <n v="11.33"/>
    <d v="1899-12-30T00:51:43"/>
    <d v="1899-12-30T00:53:27"/>
    <d v="1899-12-30T00:52:35"/>
    <m/>
    <d v="1899-12-30T00:04:38"/>
    <n v="2.6976190476190474"/>
    <n v="3.5"/>
    <n v="4"/>
    <x v="1"/>
    <n v="0.25"/>
    <n v="0.5"/>
    <n v="0.25"/>
    <n v="0"/>
    <n v="0"/>
    <n v="0"/>
    <n v="0"/>
    <n v="3.424404761904762"/>
    <s v="06.02.2023"/>
    <n v="1"/>
    <s v="The GOATs"/>
    <m/>
    <n v="1"/>
  </r>
  <r>
    <x v="86"/>
    <s v="F"/>
    <n v="4"/>
    <n v="12.77"/>
    <d v="1899-12-30T01:10:04"/>
    <d v="1899-12-30T01:10:08"/>
    <d v="1899-12-30T01:10:06"/>
    <m/>
    <d v="1899-12-30T00:05:29"/>
    <n v="3.1924999999999999"/>
    <n v="3"/>
    <n v="2"/>
    <x v="0"/>
    <n v="0.5"/>
    <n v="0.25"/>
    <n v="0.25"/>
    <n v="0"/>
    <n v="0"/>
    <n v="0"/>
    <n v="0"/>
    <n v="2.8462499999999999"/>
    <s v="06.02.2023"/>
    <n v="1"/>
    <s v="Almost Kenyan Runners"/>
    <m/>
    <n v="1"/>
  </r>
  <r>
    <x v="46"/>
    <s v="M"/>
    <n v="4"/>
    <n v="9.25"/>
    <d v="1899-12-30T00:49:12"/>
    <d v="1899-12-30T00:49:48"/>
    <d v="1899-12-30T00:49:30"/>
    <m/>
    <d v="1899-12-30T00:05:21"/>
    <n v="2.2023809523809521"/>
    <n v="2"/>
    <n v="2.25"/>
    <x v="0"/>
    <n v="0.5"/>
    <n v="0.25"/>
    <n v="0.25"/>
    <n v="0"/>
    <n v="0"/>
    <n v="0"/>
    <n v="0"/>
    <n v="2.1636904761904763"/>
    <s v="06.02.2023"/>
    <n v="1"/>
    <s v="#notSYRious"/>
    <m/>
    <n v="1"/>
  </r>
  <r>
    <x v="79"/>
    <s v="F"/>
    <n v="4"/>
    <n v="6.03"/>
    <d v="1899-12-30T00:39:29"/>
    <d v="1899-12-30T00:53:15"/>
    <d v="1899-12-30T00:46:22"/>
    <m/>
    <d v="1899-12-30T00:07:41"/>
    <n v="1.5075000000000001"/>
    <n v="0.25"/>
    <n v="3"/>
    <x v="2"/>
    <n v="0.25"/>
    <n v="0.25"/>
    <n v="0.5"/>
    <n v="0"/>
    <n v="0"/>
    <n v="0"/>
    <n v="0"/>
    <n v="1.9393750000000001"/>
    <s v="06.02.2023"/>
    <n v="1"/>
    <e v="#N/A"/>
    <m/>
    <n v="1"/>
  </r>
  <r>
    <x v="81"/>
    <s v="M"/>
    <n v="4"/>
    <n v="23.02"/>
    <d v="1899-12-30T02:10:31"/>
    <d v="1899-12-30T02:13:12"/>
    <d v="1899-12-30T02:11:51"/>
    <n v="457"/>
    <d v="1899-12-30T00:05:44"/>
    <n v="5"/>
    <n v="1.75"/>
    <n v="1"/>
    <x v="0"/>
    <n v="0.5"/>
    <n v="0.25"/>
    <n v="0.25"/>
    <n v="0.30466666666666664"/>
    <n v="0.1"/>
    <n v="0"/>
    <n v="0"/>
    <n v="3.592166666666667"/>
    <s v="06.02.2023"/>
    <n v="1"/>
    <e v="#N/A"/>
    <m/>
    <n v="1"/>
  </r>
  <r>
    <x v="78"/>
    <s v="M"/>
    <n v="4"/>
    <n v="35.82"/>
    <d v="1899-12-30T08:07:26"/>
    <d v="1899-12-30T09:52:56"/>
    <d v="1899-12-30T09:00:11"/>
    <n v="1884"/>
    <d v="1899-12-30T00:15:05"/>
    <n v="5"/>
    <n v="0"/>
    <n v="4.5"/>
    <x v="2"/>
    <n v="0.25"/>
    <n v="0.25"/>
    <n v="0.5"/>
    <n v="1.256"/>
    <n v="0.7"/>
    <n v="0"/>
    <n v="0.4"/>
    <n v="5.8560000000000008"/>
    <s v="06.02.2023"/>
    <n v="1"/>
    <s v="Almost Kenyan Runners"/>
    <m/>
    <n v="0"/>
  </r>
  <r>
    <x v="87"/>
    <s v="M"/>
    <n v="4"/>
    <n v="17.239999999999998"/>
    <d v="1899-12-30T01:10:04"/>
    <d v="1899-12-30T01:10:13"/>
    <d v="1899-12-30T01:10:09"/>
    <m/>
    <d v="1899-12-30T00:04:04"/>
    <n v="4.1047619047619044"/>
    <n v="4.5"/>
    <n v="1"/>
    <x v="0"/>
    <n v="0.5"/>
    <n v="0.25"/>
    <n v="0.25"/>
    <n v="0"/>
    <n v="0"/>
    <n v="0"/>
    <n v="0"/>
    <n v="3.4273809523809522"/>
    <s v="06.02.2023"/>
    <n v="1"/>
    <e v="#N/A"/>
    <m/>
    <n v="1"/>
  </r>
  <r>
    <x v="53"/>
    <s v="M"/>
    <n v="4"/>
    <n v="25.07"/>
    <d v="1899-12-30T02:14:25"/>
    <d v="1899-12-30T02:22:54"/>
    <d v="1899-12-30T02:18:39"/>
    <m/>
    <d v="1899-12-30T00:05:32"/>
    <n v="5"/>
    <n v="1.75"/>
    <n v="1.75"/>
    <x v="0"/>
    <n v="0.5"/>
    <n v="0.25"/>
    <n v="0.25"/>
    <n v="0"/>
    <n v="0.2"/>
    <n v="0"/>
    <n v="0"/>
    <n v="3.5750000000000002"/>
    <s v="01.02.2023"/>
    <n v="1"/>
    <s v="#notSYRious"/>
    <m/>
    <n v="1"/>
  </r>
  <r>
    <x v="1"/>
    <s v="M"/>
    <n v="5"/>
    <n v="27.04"/>
    <d v="1899-12-30T02:47:23"/>
    <d v="1899-12-30T02:47:23"/>
    <d v="1899-12-30T02:47:23"/>
    <m/>
    <d v="1899-12-30T00:06:11"/>
    <n v="5"/>
    <n v="1.25"/>
    <n v="1"/>
    <x v="1"/>
    <n v="0.25"/>
    <n v="0.5"/>
    <n v="0.25"/>
    <n v="0"/>
    <n v="0.3"/>
    <n v="0"/>
    <n v="0"/>
    <n v="2.4249999999999998"/>
    <s v="07.02.2023"/>
    <n v="1"/>
    <e v="#N/A"/>
    <m/>
    <n v="1"/>
  </r>
  <r>
    <x v="36"/>
    <s v="M"/>
    <n v="5"/>
    <n v="20.010000000000002"/>
    <d v="1899-12-30T01:55:54"/>
    <d v="1899-12-30T02:00:46"/>
    <d v="1899-12-30T01:58:20"/>
    <n v="203"/>
    <d v="1899-12-30T00:05:55"/>
    <n v="4.7642857142857142"/>
    <n v="1.5"/>
    <n v="2.5"/>
    <x v="0"/>
    <n v="0.5"/>
    <n v="0.25"/>
    <n v="0.25"/>
    <n v="0.13533333333333333"/>
    <n v="0"/>
    <n v="0"/>
    <n v="0"/>
    <n v="3.5174761904761906"/>
    <s v="07.02.2023"/>
    <n v="1"/>
    <s v="MedgidiaRunning"/>
    <m/>
    <n v="1"/>
  </r>
  <r>
    <x v="0"/>
    <s v="M"/>
    <n v="5"/>
    <n v="11.34"/>
    <d v="1899-12-30T00:59:37"/>
    <d v="1899-12-30T00:59:42"/>
    <d v="1899-12-30T00:59:40"/>
    <m/>
    <d v="1899-12-30T00:05:16"/>
    <n v="2.6999999999999997"/>
    <n v="2.5"/>
    <n v="1.25"/>
    <x v="1"/>
    <n v="0.25"/>
    <n v="0.5"/>
    <n v="0.25"/>
    <n v="0"/>
    <n v="0"/>
    <n v="0"/>
    <n v="0"/>
    <n v="2.2374999999999998"/>
    <s v="07.02.2023"/>
    <n v="1"/>
    <s v="UltraHaita lu' Borcan"/>
    <m/>
    <n v="1"/>
  </r>
  <r>
    <x v="111"/>
    <s v="F"/>
    <n v="5"/>
    <n v="1.06"/>
    <d v="1899-12-30T00:06:12"/>
    <d v="1899-12-30T00:06:12"/>
    <d v="1899-12-30T00:06:12"/>
    <m/>
    <d v="1899-12-30T00:05:51"/>
    <n v="0"/>
    <n v="0"/>
    <n v="3.5"/>
    <x v="2"/>
    <n v="0.25"/>
    <n v="0.25"/>
    <n v="0.5"/>
    <n v="0"/>
    <n v="0"/>
    <n v="0"/>
    <n v="0.4"/>
    <n v="2.15"/>
    <s v="07.02.2023"/>
    <n v="1"/>
    <e v="#N/A"/>
    <m/>
    <n v="0"/>
  </r>
  <r>
    <x v="42"/>
    <s v="M"/>
    <n v="5"/>
    <n v="5.03"/>
    <d v="1899-12-30T00:28:22"/>
    <d v="1899-12-30T00:29:02"/>
    <d v="1899-12-30T00:28:42"/>
    <m/>
    <d v="1899-12-30T00:05:42"/>
    <n v="1.1976190476190476"/>
    <n v="1.75"/>
    <n v="3.75"/>
    <x v="2"/>
    <n v="0.25"/>
    <n v="0.25"/>
    <n v="0.5"/>
    <n v="0"/>
    <n v="0"/>
    <n v="0"/>
    <n v="0"/>
    <n v="2.611904761904762"/>
    <s v="07.02.2023"/>
    <n v="1"/>
    <s v="The GOATs"/>
    <m/>
    <n v="1"/>
  </r>
  <r>
    <x v="8"/>
    <s v="M"/>
    <n v="5"/>
    <n v="8.1"/>
    <d v="1899-12-30T00:40:31"/>
    <d v="1899-12-30T00:45:47"/>
    <d v="1899-12-30T00:43:09"/>
    <n v="250"/>
    <d v="1899-12-30T00:05:20"/>
    <n v="1.9285714285714284"/>
    <n v="2"/>
    <n v="1.25"/>
    <x v="1"/>
    <n v="0.25"/>
    <n v="0.5"/>
    <n v="0.25"/>
    <n v="0.16666666666666666"/>
    <n v="0"/>
    <n v="0"/>
    <n v="0"/>
    <n v="1.9613095238095239"/>
    <s v="07.02.2023"/>
    <n v="1"/>
    <e v="#N/A"/>
    <m/>
    <n v="1"/>
  </r>
  <r>
    <x v="37"/>
    <s v="M"/>
    <n v="5"/>
    <n v="23.44"/>
    <d v="1899-12-30T02:02:35"/>
    <d v="1899-12-30T02:02:35"/>
    <d v="1899-12-30T02:02:35"/>
    <n v="103"/>
    <d v="1899-12-30T00:05:14"/>
    <n v="5"/>
    <n v="2.5"/>
    <n v="2"/>
    <x v="0"/>
    <n v="0.5"/>
    <n v="0.25"/>
    <n v="0.25"/>
    <n v="6.8666666666666668E-2"/>
    <n v="0.1"/>
    <n v="0"/>
    <n v="0"/>
    <n v="3.7936666666666667"/>
    <s v="08.02.2023"/>
    <n v="1"/>
    <e v="#N/A"/>
    <m/>
    <n v="1"/>
  </r>
  <r>
    <x v="65"/>
    <s v="F"/>
    <n v="5"/>
    <n v="14.02"/>
    <d v="1899-12-30T01:55:41"/>
    <d v="1899-12-30T02:15:05"/>
    <d v="1899-12-30T02:05:23"/>
    <n v="445"/>
    <d v="1899-12-30T00:08:57"/>
    <n v="3.5049999999999999"/>
    <n v="0.25"/>
    <n v="1"/>
    <x v="1"/>
    <n v="0.25"/>
    <n v="0.5"/>
    <n v="0.25"/>
    <n v="0.29666666666666669"/>
    <n v="0"/>
    <n v="0"/>
    <n v="0"/>
    <n v="1.5479166666666666"/>
    <s v="08.02.2023"/>
    <n v="1"/>
    <e v="#N/A"/>
    <m/>
    <n v="1"/>
  </r>
  <r>
    <x v="112"/>
    <s v="M"/>
    <n v="5"/>
    <n v="10.199999999999999"/>
    <d v="1899-12-30T00:58:53"/>
    <d v="1899-12-30T00:58:53"/>
    <d v="1899-12-30T00:58:53"/>
    <m/>
    <d v="1899-12-30T00:05:46"/>
    <n v="2.4285714285714284"/>
    <n v="1.5"/>
    <n v="1.5"/>
    <x v="2"/>
    <n v="0.25"/>
    <n v="0.25"/>
    <n v="0.5"/>
    <n v="0"/>
    <n v="0"/>
    <n v="0"/>
    <n v="0"/>
    <n v="1.7321428571428572"/>
    <s v="08.02.2023"/>
    <n v="1"/>
    <e v="#N/A"/>
    <m/>
    <n v="1"/>
  </r>
  <r>
    <x v="70"/>
    <s v="F"/>
    <n v="5"/>
    <n v="12.94"/>
    <d v="1899-12-30T01:51:55"/>
    <d v="1899-12-30T01:59:36"/>
    <d v="1899-12-30T01:55:46"/>
    <n v="448"/>
    <d v="1899-12-30T00:08:57"/>
    <n v="3.2349999999999999"/>
    <n v="0.25"/>
    <n v="3"/>
    <x v="0"/>
    <n v="0.5"/>
    <n v="0.25"/>
    <n v="0.25"/>
    <n v="0.29866666666666669"/>
    <n v="0"/>
    <n v="0"/>
    <n v="0"/>
    <n v="2.7286666666666664"/>
    <s v="08.02.2023"/>
    <n v="1"/>
    <e v="#N/A"/>
    <m/>
    <n v="1"/>
  </r>
  <r>
    <x v="20"/>
    <s v="F"/>
    <n v="5"/>
    <n v="2.61"/>
    <d v="1899-12-30T00:12:25"/>
    <d v="1899-12-30T00:12:31"/>
    <d v="1899-12-30T00:12:28"/>
    <m/>
    <d v="1899-12-30T00:04:47"/>
    <n v="0.65249999999999997"/>
    <n v="4"/>
    <n v="1.25"/>
    <x v="1"/>
    <n v="0.25"/>
    <n v="0.5"/>
    <n v="0.25"/>
    <n v="0"/>
    <n v="0"/>
    <n v="0"/>
    <n v="0"/>
    <n v="2.475625"/>
    <s v="09.02.2023"/>
    <n v="1"/>
    <s v="MedgidiaRunning"/>
    <m/>
    <n v="1"/>
  </r>
  <r>
    <x v="113"/>
    <s v="M"/>
    <n v="5"/>
    <n v="8"/>
    <d v="1899-12-30T00:39:56"/>
    <d v="1899-12-30T00:39:56"/>
    <d v="1899-12-30T00:39:56"/>
    <m/>
    <d v="1899-12-30T00:05:00"/>
    <n v="1.9047619047619047"/>
    <n v="3"/>
    <n v="1"/>
    <x v="1"/>
    <n v="0.25"/>
    <n v="0.5"/>
    <n v="0.25"/>
    <n v="0"/>
    <n v="0"/>
    <n v="0"/>
    <n v="0"/>
    <n v="2.2261904761904763"/>
    <s v="09.02.2023"/>
    <n v="1"/>
    <e v="#N/A"/>
    <m/>
    <n v="1"/>
  </r>
  <r>
    <x v="67"/>
    <s v="M"/>
    <n v="5"/>
    <n v="10.4"/>
    <d v="1899-12-30T00:46:18"/>
    <d v="1899-12-30T00:47:00"/>
    <d v="1899-12-30T00:46:39"/>
    <m/>
    <d v="1899-12-30T00:04:29"/>
    <n v="2.4761904761904763"/>
    <n v="4"/>
    <n v="2"/>
    <x v="1"/>
    <n v="0.25"/>
    <n v="0.5"/>
    <n v="0.25"/>
    <n v="0"/>
    <n v="0"/>
    <n v="0"/>
    <n v="0"/>
    <n v="3.1190476190476191"/>
    <s v="09.02.2023"/>
    <n v="1"/>
    <s v="Almost Kenyan Runners"/>
    <m/>
    <n v="1"/>
  </r>
  <r>
    <x v="7"/>
    <s v="M"/>
    <n v="5"/>
    <n v="4.57"/>
    <d v="1899-12-30T00:21:25"/>
    <d v="1899-12-30T00:21:25"/>
    <d v="1899-12-30T00:21:25"/>
    <m/>
    <d v="1899-12-30T00:04:41"/>
    <n v="1.0880952380952382"/>
    <n v="3.5"/>
    <n v="2"/>
    <x v="1"/>
    <n v="0.25"/>
    <n v="0.5"/>
    <n v="0.25"/>
    <n v="0"/>
    <n v="0"/>
    <n v="0"/>
    <n v="0"/>
    <n v="2.5220238095238097"/>
    <s v="09.02.2023"/>
    <n v="1"/>
    <s v="MedgidiaRunning"/>
    <m/>
    <n v="1"/>
  </r>
  <r>
    <x v="22"/>
    <s v="F"/>
    <n v="5"/>
    <n v="6.1"/>
    <d v="1899-12-30T00:36:55"/>
    <d v="1899-12-30T00:38:25"/>
    <d v="1899-12-30T00:37:40"/>
    <n v="55"/>
    <d v="1899-12-30T00:06:10"/>
    <n v="1.5249999999999999"/>
    <n v="1.75"/>
    <n v="4"/>
    <x v="2"/>
    <n v="0.25"/>
    <n v="0.25"/>
    <n v="0.5"/>
    <n v="3.6666666666666667E-2"/>
    <n v="0"/>
    <n v="0"/>
    <n v="0"/>
    <n v="2.8554166666666667"/>
    <s v="09.02.2023"/>
    <n v="1"/>
    <s v="MedgidiaRunning"/>
    <m/>
    <n v="1"/>
  </r>
  <r>
    <x v="51"/>
    <s v="F"/>
    <n v="5"/>
    <n v="20"/>
    <d v="1899-12-30T04:00:27"/>
    <d v="1899-12-30T04:04:09"/>
    <d v="1899-12-30T04:02:18"/>
    <n v="794"/>
    <d v="1899-12-30T00:12:07"/>
    <n v="5"/>
    <n v="0"/>
    <n v="3.25"/>
    <x v="0"/>
    <n v="0.5"/>
    <n v="0.25"/>
    <n v="0.25"/>
    <n v="0.52933333333333332"/>
    <n v="0"/>
    <n v="0"/>
    <n v="0"/>
    <n v="3.8418333333333332"/>
    <s v="09.02.2023"/>
    <n v="1"/>
    <s v="#notSYRious"/>
    <m/>
    <n v="0"/>
  </r>
  <r>
    <x v="58"/>
    <s v="M"/>
    <n v="5"/>
    <n v="12.43"/>
    <d v="1899-12-30T01:00:51"/>
    <d v="1899-12-30T01:00:51"/>
    <d v="1899-12-30T01:00:51"/>
    <m/>
    <d v="1899-12-30T00:04:54"/>
    <n v="2.9595238095238092"/>
    <n v="3"/>
    <n v="2.25"/>
    <x v="1"/>
    <n v="0.25"/>
    <n v="0.5"/>
    <n v="0.25"/>
    <n v="0"/>
    <n v="0"/>
    <n v="0"/>
    <n v="0"/>
    <n v="2.8023809523809522"/>
    <s v="10.02.2023"/>
    <n v="1"/>
    <s v="Almost Kenyan Runners"/>
    <m/>
    <n v="1"/>
  </r>
  <r>
    <x v="35"/>
    <s v="F"/>
    <n v="5"/>
    <n v="3.02"/>
    <d v="1899-12-30T00:15:38"/>
    <d v="1899-12-30T00:15:38"/>
    <d v="1899-12-30T00:15:38"/>
    <m/>
    <d v="1899-12-30T00:05:11"/>
    <n v="0.755"/>
    <n v="3.5"/>
    <n v="2.75"/>
    <x v="1"/>
    <n v="0.25"/>
    <n v="0.5"/>
    <n v="0.25"/>
    <n v="0"/>
    <n v="0"/>
    <n v="0"/>
    <n v="0"/>
    <n v="2.6262499999999998"/>
    <s v="10.02.2023"/>
    <n v="1"/>
    <s v="#notSYRious"/>
    <m/>
    <n v="1"/>
  </r>
  <r>
    <x v="98"/>
    <s v="F"/>
    <n v="5"/>
    <n v="7.01"/>
    <d v="1899-12-30T00:36:22"/>
    <d v="1899-12-30T00:36:22"/>
    <d v="1899-12-30T00:36:22"/>
    <m/>
    <d v="1899-12-30T00:05:11"/>
    <n v="1.7524999999999999"/>
    <n v="3.5"/>
    <n v="1.75"/>
    <x v="1"/>
    <n v="0.25"/>
    <n v="0.5"/>
    <n v="0.25"/>
    <n v="0"/>
    <n v="0"/>
    <n v="0"/>
    <n v="0"/>
    <n v="2.6256249999999999"/>
    <s v="10.02.2023"/>
    <n v="1"/>
    <s v="#notSYRious"/>
    <m/>
    <n v="1"/>
  </r>
  <r>
    <x v="24"/>
    <s v="M"/>
    <n v="5"/>
    <n v="5.72"/>
    <d v="1899-12-30T00:37:02"/>
    <d v="1899-12-30T00:43:23"/>
    <d v="1899-12-30T00:40:13"/>
    <m/>
    <d v="1899-12-30T00:07:02"/>
    <n v="1.3619047619047617"/>
    <n v="0.25"/>
    <n v="2.5"/>
    <x v="1"/>
    <n v="0.25"/>
    <n v="0.5"/>
    <n v="0.25"/>
    <n v="0"/>
    <n v="0"/>
    <n v="0"/>
    <n v="0"/>
    <n v="1.0904761904761904"/>
    <s v="10.02.2023"/>
    <n v="1"/>
    <e v="#N/A"/>
    <m/>
    <n v="1"/>
  </r>
  <r>
    <x v="60"/>
    <s v="M"/>
    <n v="5"/>
    <n v="30.04"/>
    <d v="1899-12-30T01:52:53"/>
    <d v="1899-12-30T01:53:29"/>
    <d v="1899-12-30T01:53:11"/>
    <m/>
    <d v="1899-12-30T00:03:46"/>
    <n v="5"/>
    <n v="5"/>
    <n v="3.25"/>
    <x v="0"/>
    <n v="0.5"/>
    <n v="0.25"/>
    <n v="0.25"/>
    <n v="0"/>
    <n v="0.4"/>
    <n v="0.89999999999999991"/>
    <n v="0"/>
    <n v="5.8625000000000007"/>
    <s v="10.02.2023"/>
    <n v="1"/>
    <s v="#notSYRious"/>
    <m/>
    <n v="1"/>
  </r>
  <r>
    <x v="28"/>
    <s v="M"/>
    <n v="5"/>
    <n v="18.07"/>
    <d v="1899-12-30T01:42:32"/>
    <d v="1899-12-30T01:43:03"/>
    <d v="1899-12-30T01:42:47"/>
    <n v="583"/>
    <d v="1899-12-30T00:05:41"/>
    <n v="4.3023809523809522"/>
    <n v="1.75"/>
    <n v="2.75"/>
    <x v="2"/>
    <n v="0.25"/>
    <n v="0.25"/>
    <n v="0.5"/>
    <n v="0.38866666666666666"/>
    <n v="0"/>
    <n v="0"/>
    <n v="0"/>
    <n v="3.2767619047619045"/>
    <s v="11.02.2023"/>
    <n v="1"/>
    <s v="UltraHaita lu' Borcan"/>
    <m/>
    <n v="1"/>
  </r>
  <r>
    <x v="16"/>
    <s v="F"/>
    <n v="5"/>
    <n v="13.1"/>
    <d v="1899-12-30T01:13:33"/>
    <d v="1899-12-30T01:17:48"/>
    <d v="1899-12-30T01:15:41"/>
    <n v="87"/>
    <d v="1899-12-30T00:05:47"/>
    <n v="3.2749999999999999"/>
    <n v="2"/>
    <n v="1.75"/>
    <x v="1"/>
    <n v="0.25"/>
    <n v="0.5"/>
    <n v="0.25"/>
    <n v="5.8000000000000003E-2"/>
    <n v="0"/>
    <n v="0"/>
    <n v="0"/>
    <n v="2.3142499999999999"/>
    <s v="11.02.2023"/>
    <n v="1"/>
    <s v="MedgidiaRunning"/>
    <m/>
    <n v="1"/>
  </r>
  <r>
    <x v="29"/>
    <s v="F"/>
    <n v="5"/>
    <n v="19.010000000000002"/>
    <d v="1899-12-30T01:48:39"/>
    <d v="1899-12-30T01:55:50"/>
    <d v="1899-12-30T01:52:14"/>
    <m/>
    <d v="1899-12-30T00:05:54"/>
    <n v="4.7525000000000004"/>
    <n v="2"/>
    <n v="1.5"/>
    <x v="0"/>
    <n v="0.5"/>
    <n v="0.25"/>
    <n v="0.25"/>
    <n v="0"/>
    <n v="0"/>
    <n v="0"/>
    <n v="0"/>
    <n v="3.2512500000000002"/>
    <s v="11.02.2023"/>
    <n v="1"/>
    <e v="#N/A"/>
    <m/>
    <n v="1"/>
  </r>
  <r>
    <x v="105"/>
    <s v="M"/>
    <n v="5"/>
    <n v="12.04"/>
    <d v="1899-12-30T00:47:58"/>
    <d v="1899-12-30T00:47:58"/>
    <d v="1899-12-30T00:47:58"/>
    <m/>
    <d v="1899-12-30T00:03:59"/>
    <n v="2.8666666666666663"/>
    <n v="5"/>
    <n v="1.25"/>
    <x v="1"/>
    <n v="0.25"/>
    <n v="0.5"/>
    <n v="0.25"/>
    <n v="0"/>
    <n v="0"/>
    <n v="0.15000000000000002"/>
    <n v="0"/>
    <n v="3.6791666666666667"/>
    <s v="11.02.2023"/>
    <n v="1"/>
    <s v="The GOATs"/>
    <m/>
    <n v="1"/>
  </r>
  <r>
    <x v="19"/>
    <s v="M"/>
    <n v="5"/>
    <n v="23.02"/>
    <d v="1899-12-30T01:43:39"/>
    <d v="1899-12-30T02:11:55"/>
    <d v="1899-12-30T01:57:47"/>
    <n v="54"/>
    <d v="1899-12-30T00:05:07"/>
    <n v="5"/>
    <n v="2.5"/>
    <n v="2.25"/>
    <x v="1"/>
    <n v="0.25"/>
    <n v="0.5"/>
    <n v="0.25"/>
    <n v="3.5999999999999997E-2"/>
    <n v="0.1"/>
    <n v="0"/>
    <n v="0"/>
    <n v="3.1985000000000001"/>
    <s v="11.02.2023"/>
    <n v="1"/>
    <e v="#N/A"/>
    <m/>
    <n v="1"/>
  </r>
  <r>
    <x v="18"/>
    <s v="M"/>
    <n v="5"/>
    <n v="90.13"/>
    <d v="1899-12-30T08:16:06"/>
    <d v="1899-12-30T09:49:25"/>
    <d v="1899-12-30T09:02:45"/>
    <n v="263"/>
    <d v="1899-12-30T00:06:01"/>
    <n v="5"/>
    <n v="1.25"/>
    <n v="3.25"/>
    <x v="0"/>
    <n v="0.5"/>
    <n v="0.25"/>
    <n v="0.25"/>
    <n v="0.17533333333333334"/>
    <n v="3.4"/>
    <n v="0"/>
    <n v="0"/>
    <n v="7.200333333333333"/>
    <s v="11.02.2023"/>
    <n v="1"/>
    <s v="UltraHaita lu' Borcan"/>
    <m/>
    <n v="1"/>
  </r>
  <r>
    <x v="84"/>
    <s v="M"/>
    <n v="5"/>
    <n v="35.340000000000003"/>
    <d v="1899-12-30T03:25:54"/>
    <d v="1899-12-30T03:29:18"/>
    <d v="1899-12-30T03:27:36"/>
    <n v="72"/>
    <d v="1899-12-30T00:05:52"/>
    <n v="5"/>
    <n v="1.5"/>
    <n v="4"/>
    <x v="0"/>
    <n v="0.5"/>
    <n v="0.25"/>
    <n v="0.25"/>
    <n v="4.8000000000000001E-2"/>
    <n v="0.7"/>
    <n v="0"/>
    <n v="0"/>
    <n v="4.6230000000000002"/>
    <s v="11.02.2023"/>
    <n v="1"/>
    <s v="The GOATs"/>
    <m/>
    <n v="1"/>
  </r>
  <r>
    <x v="47"/>
    <s v="M"/>
    <n v="5"/>
    <n v="12.57"/>
    <d v="1899-12-30T01:11:42"/>
    <d v="1899-12-30T01:18:10"/>
    <d v="1899-12-30T01:14:56"/>
    <n v="133"/>
    <d v="1899-12-30T00:05:58"/>
    <n v="2.9928571428571429"/>
    <n v="1.5"/>
    <n v="2"/>
    <x v="1"/>
    <n v="0.25"/>
    <n v="0.5"/>
    <n v="0.25"/>
    <n v="8.8666666666666671E-2"/>
    <n v="0"/>
    <n v="0"/>
    <n v="0"/>
    <n v="2.0868809523809526"/>
    <s v="11.02.2023"/>
    <n v="1"/>
    <e v="#N/A"/>
    <m/>
    <n v="1"/>
  </r>
  <r>
    <x v="11"/>
    <s v="M"/>
    <n v="5"/>
    <n v="11.01"/>
    <d v="1899-12-30T00:55:22"/>
    <d v="1899-12-30T00:55:22"/>
    <d v="1899-12-30T00:55:22"/>
    <n v="209"/>
    <d v="1899-12-30T00:05:02"/>
    <n v="2.6214285714285714"/>
    <n v="2.5"/>
    <n v="0.5"/>
    <x v="1"/>
    <n v="0.25"/>
    <n v="0.5"/>
    <n v="0.25"/>
    <n v="0.13933333333333334"/>
    <n v="0"/>
    <n v="0"/>
    <n v="0.4"/>
    <n v="2.5696904761904764"/>
    <s v="12.02.2023"/>
    <n v="1"/>
    <e v="#N/A"/>
    <m/>
    <n v="1"/>
  </r>
  <r>
    <x v="106"/>
    <s v="F"/>
    <n v="5"/>
    <n v="9.0399999999999991"/>
    <d v="1899-12-30T01:00:10"/>
    <d v="1899-12-30T01:00:13"/>
    <d v="1899-12-30T01:00:12"/>
    <n v="57"/>
    <d v="1899-12-30T00:06:40"/>
    <n v="2.2599999999999998"/>
    <n v="1.25"/>
    <n v="2.5"/>
    <x v="2"/>
    <n v="0.25"/>
    <n v="0.25"/>
    <n v="0.5"/>
    <n v="3.7999999999999999E-2"/>
    <n v="0"/>
    <n v="0"/>
    <n v="0"/>
    <n v="2.1654999999999998"/>
    <s v="12.02.2023"/>
    <n v="1"/>
    <s v="MedgidiaRunning"/>
    <m/>
    <n v="1"/>
  </r>
  <r>
    <x v="12"/>
    <s v="M"/>
    <n v="5"/>
    <n v="18.010000000000002"/>
    <d v="1899-12-30T01:19:57"/>
    <d v="1899-12-30T01:19:57"/>
    <d v="1899-12-30T01:19:57"/>
    <n v="136"/>
    <d v="1899-12-30T00:04:26"/>
    <n v="4.288095238095238"/>
    <n v="4"/>
    <n v="3.25"/>
    <x v="2"/>
    <n v="0.25"/>
    <n v="0.25"/>
    <n v="0.5"/>
    <n v="9.0666666666666673E-2"/>
    <n v="0"/>
    <n v="0"/>
    <n v="0"/>
    <n v="3.7876904761904759"/>
    <s v="12.02.2023"/>
    <n v="1"/>
    <s v="#notSYRious"/>
    <m/>
    <n v="1"/>
  </r>
  <r>
    <x v="41"/>
    <s v="M"/>
    <n v="5"/>
    <n v="75.05"/>
    <d v="1899-12-30T07:07:38"/>
    <d v="1899-12-30T07:17:50"/>
    <d v="1899-12-30T07:12:44"/>
    <n v="1035"/>
    <d v="1899-12-30T00:05:46"/>
    <n v="5"/>
    <n v="1.75"/>
    <n v="4"/>
    <x v="0"/>
    <n v="0.5"/>
    <n v="0.25"/>
    <n v="0.25"/>
    <n v="0.69"/>
    <n v="2.7"/>
    <n v="0"/>
    <n v="0"/>
    <n v="7.3274999999999997"/>
    <s v="12.02.2023"/>
    <n v="1"/>
    <s v="UltraHaita lu' Borcan"/>
    <m/>
    <n v="1"/>
  </r>
  <r>
    <x v="33"/>
    <s v="M"/>
    <n v="5"/>
    <n v="30.1"/>
    <d v="1899-12-30T02:52:35"/>
    <d v="1899-12-30T02:52:57"/>
    <d v="1899-12-30T02:52:46"/>
    <n v="56"/>
    <d v="1899-12-30T00:05:44"/>
    <n v="5"/>
    <n v="1.75"/>
    <n v="1.25"/>
    <x v="0"/>
    <n v="0.5"/>
    <n v="0.25"/>
    <n v="0.25"/>
    <n v="3.7333333333333336E-2"/>
    <n v="0.4"/>
    <n v="0"/>
    <n v="0"/>
    <n v="3.6873333333333331"/>
    <s v="12.02.2023"/>
    <n v="1"/>
    <s v="UltraHaita lu' Borcan"/>
    <m/>
    <n v="1"/>
  </r>
  <r>
    <x v="15"/>
    <s v="F"/>
    <n v="5"/>
    <n v="9.3699999999999992"/>
    <d v="1899-12-30T00:52:00"/>
    <d v="1899-12-30T00:52:00"/>
    <d v="1899-12-30T00:52:00"/>
    <m/>
    <d v="1899-12-30T00:05:33"/>
    <n v="2.3424999999999998"/>
    <n v="2.5"/>
    <n v="3.5"/>
    <x v="1"/>
    <n v="0.25"/>
    <n v="0.5"/>
    <n v="0.25"/>
    <n v="0"/>
    <n v="0"/>
    <n v="0"/>
    <n v="0"/>
    <n v="2.7106249999999998"/>
    <s v="12.02.2023"/>
    <n v="1"/>
    <e v="#N/A"/>
    <m/>
    <n v="1"/>
  </r>
  <r>
    <x v="43"/>
    <s v="M"/>
    <n v="5"/>
    <n v="20.010000000000002"/>
    <d v="1899-12-30T01:33:12"/>
    <d v="1899-12-30T01:33:12"/>
    <d v="1899-12-30T01:33:12"/>
    <m/>
    <d v="1899-12-30T00:04:39"/>
    <n v="4.7642857142857142"/>
    <n v="3.5"/>
    <n v="1.25"/>
    <x v="1"/>
    <n v="0.25"/>
    <n v="0.5"/>
    <n v="0.25"/>
    <n v="0"/>
    <n v="0"/>
    <n v="0"/>
    <n v="0"/>
    <n v="3.2535714285714286"/>
    <s v="12.02.2023"/>
    <n v="1"/>
    <s v="Almost Kenyan Runners"/>
    <m/>
    <n v="1"/>
  </r>
  <r>
    <x v="14"/>
    <s v="F"/>
    <n v="5"/>
    <n v="7.06"/>
    <d v="1899-12-30T00:38:47"/>
    <d v="1899-12-30T00:38:47"/>
    <d v="1899-12-30T00:38:47"/>
    <m/>
    <d v="1899-12-30T00:05:30"/>
    <n v="1.7649999999999999"/>
    <n v="3"/>
    <n v="3.5"/>
    <x v="2"/>
    <n v="0.25"/>
    <n v="0.25"/>
    <n v="0.5"/>
    <n v="0"/>
    <n v="0"/>
    <n v="0"/>
    <n v="0"/>
    <n v="2.9412500000000001"/>
    <s v="12.02.2023"/>
    <n v="1"/>
    <s v="MedgidiaRunning"/>
    <m/>
    <n v="1"/>
  </r>
  <r>
    <x v="83"/>
    <s v="M"/>
    <n v="5"/>
    <n v="10.14"/>
    <d v="1899-12-30T00:50:36"/>
    <d v="1899-12-30T00:48:44"/>
    <d v="1899-12-30T00:49:40"/>
    <m/>
    <d v="1899-12-30T00:04:54"/>
    <n v="2.4142857142857141"/>
    <n v="3"/>
    <n v="2"/>
    <x v="1"/>
    <n v="0.25"/>
    <n v="0.5"/>
    <n v="0.25"/>
    <n v="0"/>
    <n v="0"/>
    <n v="0"/>
    <n v="0"/>
    <n v="2.6035714285714286"/>
    <s v="12.02.2023"/>
    <n v="1"/>
    <e v="#N/A"/>
    <m/>
    <n v="1"/>
  </r>
  <r>
    <x v="45"/>
    <s v="F"/>
    <n v="5"/>
    <n v="11.92"/>
    <d v="1899-12-30T01:32:54"/>
    <d v="1899-12-30T01:48:01"/>
    <d v="1899-12-30T01:40:27"/>
    <m/>
    <d v="1899-12-30T00:08:26"/>
    <n v="2.98"/>
    <n v="0.25"/>
    <n v="2.25"/>
    <x v="1"/>
    <n v="0.25"/>
    <n v="0.5"/>
    <n v="0.25"/>
    <n v="0"/>
    <n v="0"/>
    <n v="0"/>
    <n v="0"/>
    <n v="1.4325000000000001"/>
    <s v="12.02.2023"/>
    <n v="1"/>
    <e v="#N/A"/>
    <m/>
    <n v="1"/>
  </r>
  <r>
    <x v="34"/>
    <s v="M"/>
    <n v="5"/>
    <n v="10.65"/>
    <d v="1899-12-30T01:23:45"/>
    <d v="1899-12-30T01:24:13"/>
    <d v="1899-12-30T01:23:59"/>
    <n v="454"/>
    <d v="1899-12-30T00:07:53"/>
    <n v="2.5357142857142856"/>
    <n v="0.25"/>
    <n v="2"/>
    <x v="1"/>
    <n v="0.25"/>
    <n v="0.5"/>
    <n v="0.25"/>
    <n v="0.30266666666666664"/>
    <n v="0"/>
    <n v="0"/>
    <n v="0"/>
    <n v="1.561595238095238"/>
    <s v="12.02.2023"/>
    <n v="1"/>
    <e v="#N/A"/>
    <m/>
    <n v="1"/>
  </r>
  <r>
    <x v="62"/>
    <s v="M"/>
    <n v="5"/>
    <n v="19.3"/>
    <d v="1899-12-30T01:53:04"/>
    <d v="1899-12-30T01:53:49"/>
    <d v="1899-12-30T01:53:27"/>
    <m/>
    <d v="1899-12-30T00:05:53"/>
    <n v="4.5952380952380949"/>
    <n v="1.5"/>
    <n v="1.75"/>
    <x v="0"/>
    <n v="0.5"/>
    <n v="0.25"/>
    <n v="0.25"/>
    <n v="0"/>
    <n v="0"/>
    <n v="0"/>
    <n v="0"/>
    <n v="3.1101190476190474"/>
    <s v="12.02.2023"/>
    <n v="1"/>
    <e v="#N/A"/>
    <m/>
    <n v="1"/>
  </r>
  <r>
    <x v="40"/>
    <s v="M"/>
    <n v="5"/>
    <n v="10.25"/>
    <d v="1899-12-30T00:52:44"/>
    <d v="1899-12-30T00:52:44"/>
    <d v="1899-12-30T00:52:44"/>
    <m/>
    <d v="1899-12-30T00:05:09"/>
    <n v="2.4404761904761902"/>
    <n v="2.5"/>
    <n v="1.25"/>
    <x v="1"/>
    <n v="0.25"/>
    <n v="0.5"/>
    <n v="0.25"/>
    <n v="0"/>
    <n v="0"/>
    <n v="0"/>
    <n v="0"/>
    <n v="2.1726190476190474"/>
    <s v="12.02.2023"/>
    <n v="1"/>
    <s v="Almost Kenyan Runners"/>
    <m/>
    <n v="1"/>
  </r>
  <r>
    <x v="13"/>
    <s v="M"/>
    <n v="5"/>
    <n v="5.34"/>
    <d v="1899-12-30T00:38:08"/>
    <d v="1899-12-30T00:39:50"/>
    <d v="1899-12-30T00:38:59"/>
    <n v="266"/>
    <d v="1899-12-30T00:07:18"/>
    <n v="1.2714285714285714"/>
    <n v="0.25"/>
    <n v="3"/>
    <x v="2"/>
    <n v="0.25"/>
    <n v="0.25"/>
    <n v="0.5"/>
    <n v="0.17733333333333334"/>
    <n v="0"/>
    <n v="0"/>
    <n v="0"/>
    <n v="2.0576904761904764"/>
    <s v="12.02.2023"/>
    <n v="1"/>
    <s v="MedgidiaRunning"/>
    <m/>
    <n v="1"/>
  </r>
  <r>
    <x v="77"/>
    <s v="F"/>
    <n v="5"/>
    <n v="23.06"/>
    <d v="1899-12-30T02:58:17"/>
    <d v="1899-12-30T02:59:06"/>
    <d v="1899-12-30T02:58:42"/>
    <n v="833"/>
    <d v="1899-12-30T00:07:45"/>
    <n v="5"/>
    <n v="0.25"/>
    <n v="4"/>
    <x v="0"/>
    <n v="0.5"/>
    <n v="0.25"/>
    <n v="0.25"/>
    <n v="0.55533333333333335"/>
    <n v="0.1"/>
    <n v="0"/>
    <n v="0"/>
    <n v="4.2178333333333331"/>
    <s v="12.02.2023"/>
    <n v="1"/>
    <s v="The GOATs"/>
    <m/>
    <n v="1"/>
  </r>
  <r>
    <x v="85"/>
    <s v="M"/>
    <n v="5"/>
    <n v="27.35"/>
    <d v="1899-12-30T03:56:50"/>
    <d v="1899-12-30T04:17:22"/>
    <d v="1899-12-30T04:07:06"/>
    <n v="1506"/>
    <d v="1899-12-30T00:09:02"/>
    <n v="5"/>
    <n v="0"/>
    <n v="4.25"/>
    <x v="2"/>
    <n v="0.25"/>
    <n v="0.25"/>
    <n v="0.5"/>
    <n v="1.004"/>
    <n v="0.3"/>
    <n v="0"/>
    <n v="0"/>
    <n v="4.6789999999999994"/>
    <s v="12.02.2023"/>
    <n v="1"/>
    <s v="The GOATs"/>
    <m/>
    <n v="0"/>
  </r>
  <r>
    <x v="68"/>
    <s v="F"/>
    <n v="5"/>
    <n v="0"/>
    <d v="1899-12-30T00:00:00"/>
    <d v="1899-12-30T00:00:00"/>
    <d v="1899-12-30T00:00:00"/>
    <m/>
    <d v="1899-12-30T00:00:00"/>
    <n v="0"/>
    <n v="0"/>
    <n v="0"/>
    <x v="3"/>
    <n v="0.25"/>
    <n v="0.25"/>
    <n v="0.25"/>
    <n v="0"/>
    <n v="0"/>
    <n v="0"/>
    <n v="0"/>
    <n v="1.5"/>
    <s v="12.02.2023"/>
    <n v="1"/>
    <s v="Almost Kenyan Runners"/>
    <m/>
    <n v="0"/>
  </r>
  <r>
    <x v="27"/>
    <s v="M"/>
    <n v="5"/>
    <n v="0"/>
    <d v="1899-12-30T00:00:00"/>
    <d v="1899-12-30T00:00:00"/>
    <d v="1899-12-30T00:00:00"/>
    <m/>
    <d v="1899-12-30T00:00:00"/>
    <n v="0"/>
    <n v="0"/>
    <n v="0"/>
    <x v="3"/>
    <n v="0.25"/>
    <n v="0.25"/>
    <n v="0.25"/>
    <n v="0"/>
    <n v="0"/>
    <n v="0"/>
    <n v="0"/>
    <n v="1.5"/>
    <s v="12.02.2023"/>
    <n v="1"/>
    <s v="#notSYRious"/>
    <m/>
    <n v="0"/>
  </r>
  <r>
    <x v="78"/>
    <s v="M"/>
    <n v="5"/>
    <n v="43.19"/>
    <d v="1899-12-30T08:40:17"/>
    <d v="1899-12-30T09:37:30"/>
    <d v="1899-12-30T09:08:54"/>
    <n v="1333"/>
    <d v="1899-12-30T00:12:43"/>
    <n v="5"/>
    <n v="0"/>
    <n v="3.75"/>
    <x v="2"/>
    <n v="0.25"/>
    <n v="0.25"/>
    <n v="0.5"/>
    <n v="0.88866666666666672"/>
    <n v="1.1000000000000001"/>
    <n v="0"/>
    <n v="0.4"/>
    <n v="5.5136666666666674"/>
    <s v="12.02.2023"/>
    <n v="1"/>
    <s v="Almost Kenyan Runners"/>
    <m/>
    <n v="0"/>
  </r>
  <r>
    <x v="39"/>
    <s v="M"/>
    <n v="5"/>
    <n v="6.13"/>
    <d v="1899-12-30T00:33:28"/>
    <d v="1899-12-30T00:33:28"/>
    <d v="1899-12-30T00:33:28"/>
    <m/>
    <d v="1899-12-30T00:05:28"/>
    <n v="1.4595238095238094"/>
    <n v="2"/>
    <n v="3.75"/>
    <x v="2"/>
    <n v="0.25"/>
    <n v="0.25"/>
    <n v="0.5"/>
    <n v="0"/>
    <n v="0"/>
    <n v="0"/>
    <n v="0"/>
    <n v="2.7398809523809522"/>
    <s v="12.02.2023"/>
    <n v="1"/>
    <s v="#notSYRious"/>
    <m/>
    <n v="1"/>
  </r>
  <r>
    <x v="48"/>
    <s v="M"/>
    <n v="5"/>
    <n v="21.13"/>
    <d v="1899-12-30T01:30:16"/>
    <d v="1899-12-30T01:30:38"/>
    <d v="1899-12-30T01:30:27"/>
    <m/>
    <d v="1899-12-30T00:04:17"/>
    <n v="5"/>
    <n v="4"/>
    <n v="1.5"/>
    <x v="1"/>
    <n v="0.25"/>
    <n v="0.5"/>
    <n v="0.25"/>
    <n v="0"/>
    <n v="0"/>
    <n v="0"/>
    <n v="0"/>
    <n v="3.625"/>
    <s v="12.02.2023"/>
    <n v="1"/>
    <s v="UltraHaita lu' Borcan"/>
    <m/>
    <n v="1"/>
  </r>
  <r>
    <x v="107"/>
    <s v="M"/>
    <n v="5"/>
    <n v="55.25"/>
    <d v="1899-12-30T06:35:04"/>
    <d v="1899-12-30T07:19:25"/>
    <d v="1899-12-30T06:57:15"/>
    <n v="1046"/>
    <d v="1899-12-30T00:07:33"/>
    <n v="5"/>
    <n v="0.25"/>
    <n v="3.25"/>
    <x v="2"/>
    <n v="0.25"/>
    <n v="0.25"/>
    <n v="0.5"/>
    <n v="0.69733333333333336"/>
    <n v="1.7"/>
    <n v="0"/>
    <n v="0"/>
    <n v="5.3348333333333331"/>
    <s v="12.02.2023"/>
    <n v="1"/>
    <s v="The GOATs"/>
    <m/>
    <n v="1"/>
  </r>
  <r>
    <x v="49"/>
    <s v="M"/>
    <n v="5"/>
    <n v="10.039999999999999"/>
    <d v="1899-12-30T01:03:23"/>
    <d v="1899-12-30T01:04:00"/>
    <d v="1899-12-30T01:03:42"/>
    <m/>
    <d v="1899-12-30T00:06:21"/>
    <n v="2.39047619047619"/>
    <n v="1"/>
    <n v="1.5"/>
    <x v="0"/>
    <n v="0.5"/>
    <n v="0.25"/>
    <n v="0.25"/>
    <n v="0"/>
    <n v="0"/>
    <n v="0"/>
    <n v="0"/>
    <n v="1.820238095238095"/>
    <s v="12.02.2023"/>
    <n v="1"/>
    <s v="The GOATs"/>
    <m/>
    <n v="1"/>
  </r>
  <r>
    <x v="2"/>
    <s v="F"/>
    <n v="5"/>
    <n v="2.52"/>
    <d v="1899-12-30T00:12:34"/>
    <d v="1899-12-30T00:12:36"/>
    <d v="1899-12-30T00:12:35"/>
    <m/>
    <d v="1899-12-30T00:05:00"/>
    <n v="0.63"/>
    <n v="4"/>
    <n v="2.5"/>
    <x v="1"/>
    <n v="0.25"/>
    <n v="0.5"/>
    <n v="0.25"/>
    <n v="0"/>
    <n v="0"/>
    <n v="0"/>
    <n v="0"/>
    <n v="2.7825000000000002"/>
    <s v="12.02.2023"/>
    <n v="1"/>
    <s v="MedgidiaRunning"/>
    <m/>
    <n v="1"/>
  </r>
  <r>
    <x v="75"/>
    <s v="F"/>
    <n v="5"/>
    <n v="3.03"/>
    <d v="1899-12-30T00:14:19"/>
    <d v="1899-12-30T00:14:31"/>
    <d v="1899-12-30T00:14:25"/>
    <m/>
    <d v="1899-12-30T00:04:45"/>
    <n v="0.75749999999999995"/>
    <n v="4.5"/>
    <n v="3"/>
    <x v="1"/>
    <n v="0.25"/>
    <n v="0.5"/>
    <n v="0.25"/>
    <n v="0"/>
    <n v="0"/>
    <n v="0"/>
    <n v="0"/>
    <n v="3.1893750000000001"/>
    <s v="12.02.2023"/>
    <n v="1"/>
    <s v="#notSYRious"/>
    <m/>
    <n v="1"/>
  </r>
  <r>
    <x v="99"/>
    <s v="F"/>
    <n v="5"/>
    <n v="9.42"/>
    <d v="1899-12-30T00:53:32"/>
    <d v="1899-12-30T00:53:38"/>
    <d v="1899-12-30T00:53:35"/>
    <m/>
    <d v="1899-12-30T00:05:41"/>
    <n v="2.355"/>
    <n v="2.5"/>
    <n v="3"/>
    <x v="1"/>
    <n v="0.25"/>
    <n v="0.5"/>
    <n v="0.25"/>
    <n v="0"/>
    <n v="0"/>
    <n v="0"/>
    <n v="0"/>
    <n v="2.5887500000000001"/>
    <s v="12.02.2023"/>
    <n v="1"/>
    <s v="#notSYRious"/>
    <m/>
    <n v="1"/>
  </r>
  <r>
    <x v="63"/>
    <s v="M"/>
    <n v="5"/>
    <n v="12.73"/>
    <d v="1899-12-30T01:14:19"/>
    <d v="1899-12-30T01:14:22"/>
    <d v="1899-12-30T01:14:21"/>
    <m/>
    <d v="1899-12-30T00:05:50"/>
    <n v="3.0309523809523808"/>
    <n v="1.5"/>
    <n v="1"/>
    <x v="1"/>
    <n v="0.25"/>
    <n v="0.5"/>
    <n v="0.25"/>
    <n v="0"/>
    <n v="0"/>
    <n v="0"/>
    <n v="0"/>
    <n v="1.7577380952380952"/>
    <s v="12.02.2023"/>
    <n v="1"/>
    <s v="MedgidiaRunning"/>
    <m/>
    <n v="1"/>
  </r>
  <r>
    <x v="74"/>
    <s v="F"/>
    <n v="5"/>
    <n v="5.21"/>
    <d v="1899-12-30T00:30:36"/>
    <d v="1899-12-30T00:31:57"/>
    <d v="1899-12-30T00:31:17"/>
    <m/>
    <d v="1899-12-30T00:06:00"/>
    <n v="1.3025"/>
    <n v="2"/>
    <n v="3"/>
    <x v="1"/>
    <n v="0.25"/>
    <n v="0.5"/>
    <n v="0.25"/>
    <n v="0"/>
    <n v="0"/>
    <n v="0"/>
    <n v="0"/>
    <n v="2.0756250000000001"/>
    <s v="12.02.2023"/>
    <n v="1"/>
    <s v="UltraHaita lu' Borcan"/>
    <m/>
    <n v="1"/>
  </r>
  <r>
    <x v="21"/>
    <s v="M"/>
    <n v="5"/>
    <n v="10.33"/>
    <d v="1899-12-30T01:03:28"/>
    <d v="1899-12-30T01:07:55"/>
    <d v="1899-12-30T01:05:42"/>
    <m/>
    <d v="1899-12-30T00:06:22"/>
    <n v="2.4595238095238092"/>
    <n v="1"/>
    <n v="2.5"/>
    <x v="1"/>
    <n v="0.25"/>
    <n v="0.5"/>
    <n v="0.25"/>
    <n v="0"/>
    <n v="0"/>
    <n v="0"/>
    <n v="0.4"/>
    <n v="2.1398809523809521"/>
    <s v="12.02.2023"/>
    <n v="1"/>
    <s v="#notSYRious"/>
    <m/>
    <n v="1"/>
  </r>
  <r>
    <x v="55"/>
    <s v="M"/>
    <n v="5"/>
    <n v="42.79"/>
    <d v="1899-12-30T04:43:38"/>
    <d v="1899-12-30T04:43:44"/>
    <d v="1899-12-30T04:43:41"/>
    <n v="2422"/>
    <d v="1899-12-30T00:06:38"/>
    <n v="5"/>
    <n v="0.75"/>
    <n v="2.5"/>
    <x v="0"/>
    <n v="0.5"/>
    <n v="0.25"/>
    <n v="0.25"/>
    <n v="1.6146666666666667"/>
    <n v="1"/>
    <n v="0"/>
    <n v="0"/>
    <n v="5.9271666666666665"/>
    <s v="12.02.2023"/>
    <n v="1"/>
    <e v="#N/A"/>
    <m/>
    <n v="1"/>
  </r>
  <r>
    <x v="69"/>
    <s v="M"/>
    <n v="5"/>
    <n v="25"/>
    <d v="1899-12-30T02:17:20"/>
    <d v="1899-12-30T02:17:20"/>
    <d v="1899-12-30T02:17:20"/>
    <n v="64"/>
    <d v="1899-12-30T00:05:30"/>
    <n v="5"/>
    <n v="2"/>
    <n v="1.5"/>
    <x v="0"/>
    <n v="0.5"/>
    <n v="0.25"/>
    <n v="0.25"/>
    <n v="4.2666666666666665E-2"/>
    <n v="0.2"/>
    <n v="0"/>
    <n v="0"/>
    <n v="3.617666666666667"/>
    <s v="12.02.2023"/>
    <n v="1"/>
    <s v="Almost Kenyan Runners"/>
    <m/>
    <n v="1"/>
  </r>
  <r>
    <x v="76"/>
    <s v="F"/>
    <n v="5"/>
    <n v="14.97"/>
    <d v="1899-12-30T01:44:34"/>
    <d v="1899-12-30T01:59:31"/>
    <d v="1899-12-30T01:52:02"/>
    <m/>
    <d v="1899-12-30T00:07:29"/>
    <n v="3.7425000000000002"/>
    <n v="0.5"/>
    <n v="2.25"/>
    <x v="0"/>
    <n v="0.5"/>
    <n v="0.25"/>
    <n v="0.25"/>
    <n v="0"/>
    <n v="0"/>
    <n v="0"/>
    <n v="0"/>
    <n v="2.5587499999999999"/>
    <s v="12.02.2023"/>
    <n v="1"/>
    <e v="#N/A"/>
    <m/>
    <n v="1"/>
  </r>
  <r>
    <x v="3"/>
    <s v="M"/>
    <n v="5"/>
    <n v="22.02"/>
    <d v="1899-12-30T02:08:30"/>
    <d v="1899-12-30T02:30:38"/>
    <d v="1899-12-30T02:19:34"/>
    <n v="114"/>
    <d v="1899-12-30T00:06:20"/>
    <n v="5"/>
    <n v="1"/>
    <n v="2.5"/>
    <x v="0"/>
    <n v="0.5"/>
    <n v="0.25"/>
    <n v="0.25"/>
    <n v="7.5999999999999998E-2"/>
    <n v="0"/>
    <n v="0"/>
    <n v="0.4"/>
    <n v="3.851"/>
    <s v="12.02.2023"/>
    <n v="1"/>
    <s v="MedgidiaRunning"/>
    <m/>
    <n v="1"/>
  </r>
  <r>
    <x v="103"/>
    <s v="M"/>
    <n v="5"/>
    <n v="17.07"/>
    <d v="1899-12-30T01:50:23"/>
    <d v="1899-12-30T01:50:39"/>
    <d v="1899-12-30T01:50:31"/>
    <m/>
    <d v="1899-12-30T00:06:28"/>
    <n v="4.0642857142857141"/>
    <n v="1"/>
    <n v="1"/>
    <x v="1"/>
    <n v="0.25"/>
    <n v="0.5"/>
    <n v="0.25"/>
    <n v="0"/>
    <n v="0"/>
    <n v="0"/>
    <n v="0"/>
    <n v="1.7660714285714285"/>
    <s v="12.02.2023"/>
    <n v="1"/>
    <e v="#N/A"/>
    <m/>
    <n v="1"/>
  </r>
  <r>
    <x v="59"/>
    <s v="M"/>
    <n v="5"/>
    <n v="22.02"/>
    <d v="1899-12-30T02:04:30"/>
    <d v="1899-12-30T02:04:30"/>
    <d v="1899-12-30T02:04:30"/>
    <n v="538"/>
    <d v="1899-12-30T00:05:39"/>
    <n v="5"/>
    <n v="1.75"/>
    <n v="1.5"/>
    <x v="0"/>
    <n v="0.5"/>
    <n v="0.25"/>
    <n v="0.25"/>
    <n v="0.35866666666666669"/>
    <n v="0"/>
    <n v="0"/>
    <n v="0"/>
    <n v="3.6711666666666667"/>
    <s v="12.02.2023"/>
    <n v="1"/>
    <s v="UltraHaita lu' Borcan"/>
    <m/>
    <n v="1"/>
  </r>
  <r>
    <x v="104"/>
    <s v="F"/>
    <n v="5"/>
    <n v="10.36"/>
    <d v="1899-12-30T01:46:54"/>
    <d v="1899-12-30T01:59:26"/>
    <d v="1899-12-30T01:53:10"/>
    <m/>
    <d v="1899-12-30T00:10:55"/>
    <n v="2.59"/>
    <n v="0"/>
    <n v="2.25"/>
    <x v="1"/>
    <n v="0.25"/>
    <n v="0.5"/>
    <n v="0.25"/>
    <n v="0"/>
    <n v="0"/>
    <n v="0"/>
    <n v="0.7"/>
    <n v="1.91"/>
    <s v="12.02.2023"/>
    <n v="1"/>
    <e v="#N/A"/>
    <m/>
    <n v="0"/>
  </r>
  <r>
    <x v="100"/>
    <s v="M"/>
    <n v="5"/>
    <n v="10.36"/>
    <d v="1899-12-30T00:59:41"/>
    <d v="1899-12-30T01:01:58"/>
    <d v="1899-12-30T01:00:49"/>
    <m/>
    <d v="1899-12-30T00:05:52"/>
    <n v="2.4666666666666663"/>
    <n v="1.5"/>
    <n v="2.25"/>
    <x v="2"/>
    <n v="0.25"/>
    <n v="0.25"/>
    <n v="0.5"/>
    <n v="0"/>
    <n v="0"/>
    <n v="0"/>
    <n v="0"/>
    <n v="2.1166666666666667"/>
    <s v="12.02.2023"/>
    <n v="1"/>
    <e v="#N/A"/>
    <m/>
    <n v="1"/>
  </r>
  <r>
    <x v="9"/>
    <s v="M"/>
    <n v="5"/>
    <n v="23.45"/>
    <d v="1899-12-30T02:12:03"/>
    <d v="1899-12-30T02:12:26"/>
    <d v="1899-12-30T02:12:14"/>
    <n v="451"/>
    <d v="1899-12-30T00:05:38"/>
    <n v="5"/>
    <n v="1.75"/>
    <n v="3.25"/>
    <x v="2"/>
    <n v="0.25"/>
    <n v="0.25"/>
    <n v="0.5"/>
    <n v="0.30066666666666669"/>
    <n v="0.1"/>
    <n v="0"/>
    <n v="0"/>
    <n v="3.7131666666666669"/>
    <s v="12.02.2023"/>
    <n v="1"/>
    <s v="The GOATs"/>
    <m/>
    <n v="1"/>
  </r>
  <r>
    <x v="38"/>
    <s v="F"/>
    <n v="5"/>
    <n v="7.96"/>
    <d v="1899-12-30T01:13:42"/>
    <d v="1899-12-30T01:16:59"/>
    <d v="1899-12-30T01:15:21"/>
    <n v="288"/>
    <d v="1899-12-30T00:09:28"/>
    <n v="1.99"/>
    <n v="0"/>
    <n v="1"/>
    <x v="1"/>
    <n v="0.25"/>
    <n v="0.5"/>
    <n v="0.25"/>
    <n v="0.192"/>
    <n v="0"/>
    <n v="0"/>
    <n v="0"/>
    <n v="0.9395"/>
    <s v="12.02.2023"/>
    <n v="1"/>
    <s v="#notSYRious"/>
    <m/>
    <n v="0"/>
  </r>
  <r>
    <x v="109"/>
    <s v="M"/>
    <n v="5"/>
    <n v="23.45"/>
    <d v="1899-12-30T02:08:05"/>
    <d v="1899-12-30T02:12:22"/>
    <d v="1899-12-30T02:10:14"/>
    <n v="464"/>
    <d v="1899-12-30T00:05:33"/>
    <n v="5"/>
    <n v="1.75"/>
    <n v="3"/>
    <x v="2"/>
    <n v="0.25"/>
    <n v="0.25"/>
    <n v="0.5"/>
    <n v="0.30933333333333335"/>
    <n v="0.1"/>
    <n v="0"/>
    <n v="0"/>
    <n v="3.5968333333333335"/>
    <s v="12.02.2023"/>
    <n v="1"/>
    <e v="#N/A"/>
    <m/>
    <n v="1"/>
  </r>
  <r>
    <x v="52"/>
    <s v="M"/>
    <n v="5"/>
    <n v="16.010000000000002"/>
    <d v="1899-12-30T01:21:53"/>
    <d v="1899-12-30T01:21:53"/>
    <d v="1899-12-30T01:21:53"/>
    <m/>
    <d v="1899-12-30T00:05:07"/>
    <n v="3.8119047619047621"/>
    <n v="2.5"/>
    <n v="2"/>
    <x v="2"/>
    <n v="0.25"/>
    <n v="0.25"/>
    <n v="0.5"/>
    <n v="0"/>
    <n v="0"/>
    <n v="0"/>
    <n v="0"/>
    <n v="2.5779761904761904"/>
    <s v="12.02.2023"/>
    <n v="1"/>
    <e v="#N/A"/>
    <m/>
    <n v="1"/>
  </r>
  <r>
    <x v="32"/>
    <s v="M"/>
    <n v="5"/>
    <n v="28.23"/>
    <d v="1899-12-30T02:38:13"/>
    <d v="1899-12-30T02:39:29"/>
    <d v="1899-12-30T02:38:51"/>
    <m/>
    <d v="1899-12-30T00:05:38"/>
    <n v="5"/>
    <n v="1.75"/>
    <n v="2.5"/>
    <x v="0"/>
    <n v="0.5"/>
    <n v="0.25"/>
    <n v="0.25"/>
    <n v="0"/>
    <n v="0.3"/>
    <n v="0"/>
    <n v="0"/>
    <n v="3.8624999999999998"/>
    <s v="12.02.2023"/>
    <n v="1"/>
    <e v="#N/A"/>
    <m/>
    <n v="1"/>
  </r>
  <r>
    <x v="64"/>
    <s v="M"/>
    <n v="5"/>
    <n v="21.12"/>
    <d v="1899-12-30T01:47:51"/>
    <d v="1899-12-30T01:59:52"/>
    <d v="1899-12-30T01:53:51"/>
    <m/>
    <d v="1899-12-30T00:05:23"/>
    <n v="5"/>
    <n v="2"/>
    <n v="3.25"/>
    <x v="2"/>
    <n v="0.25"/>
    <n v="0.25"/>
    <n v="0.5"/>
    <n v="0"/>
    <n v="0"/>
    <n v="0"/>
    <n v="0"/>
    <n v="3.375"/>
    <s v="12.02.2023"/>
    <n v="1"/>
    <s v="The GOATs"/>
    <m/>
    <n v="1"/>
  </r>
  <r>
    <x v="44"/>
    <s v="M"/>
    <n v="5"/>
    <n v="10.199999999999999"/>
    <d v="1899-12-30T00:48:54"/>
    <d v="1899-12-30T00:48:54"/>
    <d v="1899-12-30T00:48:54"/>
    <m/>
    <d v="1899-12-30T00:04:48"/>
    <n v="2.4285714285714284"/>
    <n v="3"/>
    <n v="3.25"/>
    <x v="1"/>
    <n v="0.25"/>
    <n v="0.5"/>
    <n v="0.25"/>
    <n v="0"/>
    <n v="0"/>
    <n v="0"/>
    <n v="0"/>
    <n v="2.9196428571428572"/>
    <s v="13.02.2023"/>
    <n v="1"/>
    <s v="UltraHaita lu' Borcan"/>
    <m/>
    <n v="1"/>
  </r>
  <r>
    <x v="54"/>
    <s v="F"/>
    <n v="5"/>
    <n v="8.19"/>
    <d v="1899-12-30T01:01:44"/>
    <d v="1899-12-30T01:18:46"/>
    <d v="1899-12-30T01:10:15"/>
    <m/>
    <d v="1899-12-30T00:08:35"/>
    <n v="2.0474999999999999"/>
    <n v="0.25"/>
    <n v="2.75"/>
    <x v="1"/>
    <n v="0.25"/>
    <n v="0.5"/>
    <n v="0.25"/>
    <n v="0"/>
    <n v="0"/>
    <n v="0"/>
    <n v="0.7"/>
    <n v="2.024375"/>
    <s v="13.02.2023"/>
    <n v="1"/>
    <s v="UltraHaita lu' Borcan"/>
    <m/>
    <n v="1"/>
  </r>
  <r>
    <x v="57"/>
    <s v="M"/>
    <n v="5"/>
    <n v="9.8699999999999992"/>
    <d v="1899-12-30T00:50:20"/>
    <d v="1899-12-30T00:50:21"/>
    <d v="1899-12-30T00:50:21"/>
    <m/>
    <d v="1899-12-30T00:05:06"/>
    <n v="2.3499999999999996"/>
    <n v="2.5"/>
    <n v="2.5"/>
    <x v="2"/>
    <n v="0.25"/>
    <n v="0.25"/>
    <n v="0.5"/>
    <n v="0"/>
    <n v="0"/>
    <n v="0"/>
    <n v="0"/>
    <n v="2.4624999999999999"/>
    <s v="09.02.2023"/>
    <n v="1"/>
    <s v="The GOATs"/>
    <m/>
    <n v="1"/>
  </r>
  <r>
    <x v="82"/>
    <s v="M"/>
    <n v="5"/>
    <n v="24"/>
    <d v="1899-12-30T01:50:04"/>
    <d v="1899-12-30T01:50:17"/>
    <d v="1899-12-30T01:50:10"/>
    <n v="338"/>
    <d v="1899-12-30T00:04:35"/>
    <n v="5"/>
    <n v="3.5"/>
    <n v="4"/>
    <x v="2"/>
    <n v="0.25"/>
    <n v="0.25"/>
    <n v="0.5"/>
    <n v="0.22533333333333333"/>
    <n v="0.1"/>
    <n v="0"/>
    <n v="0"/>
    <n v="4.450333333333333"/>
    <s v="13.02.2023"/>
    <n v="1"/>
    <s v="Almost Kenyan Runners"/>
    <m/>
    <n v="1"/>
  </r>
  <r>
    <x v="4"/>
    <s v="M"/>
    <n v="5"/>
    <n v="10.02"/>
    <d v="1899-12-30T00:45:51"/>
    <d v="1899-12-30T00:45:55"/>
    <d v="1899-12-30T00:45:53"/>
    <m/>
    <d v="1899-12-30T00:04:35"/>
    <n v="2.3857142857142857"/>
    <n v="3.5"/>
    <n v="3.75"/>
    <x v="2"/>
    <n v="0.25"/>
    <n v="0.25"/>
    <n v="0.5"/>
    <n v="0"/>
    <n v="0"/>
    <n v="0"/>
    <n v="0.4"/>
    <n v="3.7464285714285714"/>
    <s v="13.02.2023"/>
    <n v="1"/>
    <s v="UltraHaita lu' Borcan"/>
    <m/>
    <n v="1"/>
  </r>
  <r>
    <x v="50"/>
    <s v="M"/>
    <n v="5"/>
    <n v="55.03"/>
    <d v="1899-12-30T06:28:52"/>
    <d v="1899-12-30T07:19:37"/>
    <d v="1899-12-30T06:54:15"/>
    <n v="1182"/>
    <d v="1899-12-30T00:07:32"/>
    <n v="5"/>
    <n v="0.25"/>
    <n v="4.5"/>
    <x v="0"/>
    <n v="0.5"/>
    <n v="0.25"/>
    <n v="0.25"/>
    <n v="0.78800000000000003"/>
    <n v="1.7"/>
    <n v="0"/>
    <n v="0"/>
    <n v="6.1755000000000004"/>
    <s v="13.02.2023"/>
    <n v="1"/>
    <s v="The GOATs"/>
    <m/>
    <n v="1"/>
  </r>
  <r>
    <x v="87"/>
    <s v="M"/>
    <n v="5"/>
    <n v="0"/>
    <d v="1899-12-30T00:00:00"/>
    <d v="1899-12-30T00:00:00"/>
    <d v="1899-12-30T00:00:00"/>
    <m/>
    <d v="1899-12-30T00:00:00"/>
    <n v="0"/>
    <n v="0"/>
    <n v="0"/>
    <x v="3"/>
    <n v="0.25"/>
    <n v="0.25"/>
    <n v="0.25"/>
    <n v="0"/>
    <n v="0"/>
    <n v="0"/>
    <n v="0"/>
    <n v="1.5"/>
    <s v="13.02.2023"/>
    <n v="1"/>
    <e v="#N/A"/>
    <m/>
    <n v="0"/>
  </r>
  <r>
    <x v="53"/>
    <s v="M"/>
    <n v="5"/>
    <n v="0"/>
    <d v="1899-12-30T00:00:00"/>
    <d v="1899-12-30T00:00:00"/>
    <d v="1899-12-30T00:00:00"/>
    <m/>
    <d v="1899-12-30T00:00:00"/>
    <n v="0"/>
    <n v="0"/>
    <n v="0"/>
    <x v="3"/>
    <n v="0.25"/>
    <n v="0.25"/>
    <n v="0.25"/>
    <n v="0"/>
    <n v="0"/>
    <n v="0"/>
    <n v="0"/>
    <n v="1.5"/>
    <s v="13.02.2023"/>
    <n v="1"/>
    <s v="#notSYRious"/>
    <m/>
    <n v="0"/>
  </r>
  <r>
    <x v="88"/>
    <s v="M"/>
    <n v="5"/>
    <n v="24"/>
    <d v="1899-12-30T01:40:26"/>
    <d v="1899-12-30T01:58:40"/>
    <d v="1899-12-30T01:49:33"/>
    <m/>
    <d v="1899-12-30T00:04:34"/>
    <n v="5"/>
    <n v="3.5"/>
    <n v="2.5"/>
    <x v="0"/>
    <n v="0.5"/>
    <n v="0.25"/>
    <n v="0.25"/>
    <n v="0"/>
    <n v="0.1"/>
    <n v="0"/>
    <n v="0"/>
    <n v="4.0999999999999996"/>
    <s v="13.02.2023"/>
    <n v="1"/>
    <s v="Almost Kenyan Runners"/>
    <m/>
    <n v="1"/>
  </r>
  <r>
    <x v="23"/>
    <s v="M"/>
    <n v="5"/>
    <n v="4.3499999999999996"/>
    <d v="1899-12-30T00:21:10"/>
    <d v="1899-12-30T00:25:27"/>
    <d v="1899-12-30T00:23:18"/>
    <m/>
    <d v="1899-12-30T00:05:21"/>
    <n v="1.0357142857142856"/>
    <n v="2"/>
    <n v="1"/>
    <x v="1"/>
    <n v="0.25"/>
    <n v="0.5"/>
    <n v="0.25"/>
    <n v="0"/>
    <n v="0"/>
    <n v="0"/>
    <n v="0"/>
    <n v="1.5089285714285714"/>
    <s v="13.02.2023"/>
    <n v="1"/>
    <s v="Almost Kenyan Runners"/>
    <m/>
    <n v="1"/>
  </r>
  <r>
    <x v="80"/>
    <s v="M"/>
    <n v="5"/>
    <n v="21.03"/>
    <d v="1899-12-30T01:49:50"/>
    <d v="1899-12-30T01:51:26"/>
    <d v="1899-12-30T01:50:38"/>
    <n v="136"/>
    <d v="1899-12-30T00:05:16"/>
    <n v="5"/>
    <n v="2.5"/>
    <n v="3.25"/>
    <x v="1"/>
    <n v="0.25"/>
    <n v="0.5"/>
    <n v="0.25"/>
    <n v="9.0666666666666673E-2"/>
    <n v="0"/>
    <n v="0"/>
    <n v="0"/>
    <n v="3.4031666666666665"/>
    <s v="13.02.2023"/>
    <n v="1"/>
    <s v="Almost Kenyan Runners"/>
    <m/>
    <n v="1"/>
  </r>
  <r>
    <x v="30"/>
    <s v="M"/>
    <n v="5"/>
    <n v="32.33"/>
    <d v="1899-12-30T02:58:45"/>
    <d v="1899-12-30T03:04:33"/>
    <d v="1899-12-30T03:01:39"/>
    <n v="999"/>
    <d v="1899-12-30T00:05:37"/>
    <n v="5"/>
    <n v="1.75"/>
    <n v="4"/>
    <x v="0"/>
    <n v="0.5"/>
    <n v="0.25"/>
    <n v="0.25"/>
    <n v="0.66600000000000004"/>
    <n v="0.5"/>
    <n v="0"/>
    <n v="0"/>
    <n v="5.1035000000000004"/>
    <s v="13.02.2023"/>
    <n v="1"/>
    <s v="The GOATs"/>
    <m/>
    <n v="1"/>
  </r>
  <r>
    <x v="81"/>
    <s v="M"/>
    <n v="5"/>
    <n v="8.82"/>
    <d v="1899-12-30T00:39:36"/>
    <d v="1899-12-30T00:39:36"/>
    <d v="1899-12-30T00:39:36"/>
    <n v="123"/>
    <d v="1899-12-30T00:04:29"/>
    <n v="2.1"/>
    <n v="4"/>
    <n v="1.75"/>
    <x v="1"/>
    <n v="0.25"/>
    <n v="0.5"/>
    <n v="0.25"/>
    <n v="8.2000000000000003E-2"/>
    <n v="0"/>
    <n v="0"/>
    <n v="0"/>
    <n v="3.0444999999999998"/>
    <s v="13.02.2023"/>
    <n v="1"/>
    <e v="#N/A"/>
    <m/>
    <n v="1"/>
  </r>
  <r>
    <x v="96"/>
    <s v="F"/>
    <n v="5"/>
    <n v="7.34"/>
    <d v="1899-12-30T00:45:26"/>
    <d v="1899-12-30T01:02:58"/>
    <d v="1899-12-30T00:54:12"/>
    <m/>
    <d v="1899-12-30T00:07:23"/>
    <n v="1.835"/>
    <n v="0.5"/>
    <n v="3.5"/>
    <x v="2"/>
    <n v="0.25"/>
    <n v="0.25"/>
    <n v="0.5"/>
    <n v="0"/>
    <n v="0"/>
    <n v="0"/>
    <n v="0"/>
    <n v="2.3337500000000002"/>
    <s v="13.02.2023"/>
    <n v="1"/>
    <e v="#N/A"/>
    <m/>
    <n v="1"/>
  </r>
  <r>
    <x v="46"/>
    <s v="M"/>
    <n v="5"/>
    <n v="9.68"/>
    <d v="1899-12-30T00:51:34"/>
    <d v="1899-12-30T00:52:08"/>
    <d v="1899-12-30T00:51:51"/>
    <m/>
    <d v="1899-12-30T00:05:21"/>
    <n v="2.3047619047619046"/>
    <n v="2"/>
    <n v="3.5"/>
    <x v="2"/>
    <n v="0.25"/>
    <n v="0.25"/>
    <n v="0.5"/>
    <n v="0"/>
    <n v="0"/>
    <n v="0"/>
    <n v="0"/>
    <n v="2.8261904761904759"/>
    <s v="13.02.2023"/>
    <n v="1"/>
    <s v="#notSYRious"/>
    <m/>
    <n v="1"/>
  </r>
  <r>
    <x v="92"/>
    <s v="F"/>
    <n v="5"/>
    <n v="7"/>
    <d v="1899-12-30T00:42:13"/>
    <d v="1899-12-30T00:43:01"/>
    <d v="1899-12-30T00:42:37"/>
    <m/>
    <d v="1899-12-30T00:06:05"/>
    <n v="1.75"/>
    <n v="1.75"/>
    <n v="1.5"/>
    <x v="1"/>
    <n v="0.25"/>
    <n v="0.5"/>
    <n v="0.25"/>
    <n v="0"/>
    <n v="0"/>
    <n v="0"/>
    <n v="0"/>
    <n v="1.6875"/>
    <s v="13.02.2023"/>
    <n v="1"/>
    <s v="The GOATs"/>
    <m/>
    <n v="1"/>
  </r>
  <r>
    <x v="86"/>
    <s v="F"/>
    <n v="5"/>
    <n v="20.73"/>
    <d v="1899-12-30T02:01:08"/>
    <d v="1899-12-30T02:01:27"/>
    <d v="1899-12-30T02:01:17"/>
    <m/>
    <d v="1899-12-30T00:05:51"/>
    <n v="5"/>
    <n v="2"/>
    <n v="1.25"/>
    <x v="0"/>
    <n v="0.5"/>
    <n v="0.25"/>
    <n v="0.25"/>
    <n v="0"/>
    <n v="0"/>
    <n v="0"/>
    <n v="0"/>
    <n v="3.3125"/>
    <s v="13.02.2023"/>
    <n v="1"/>
    <s v="Almost Kenyan Runners"/>
    <m/>
    <n v="1"/>
  </r>
  <r>
    <x v="1"/>
    <s v="M"/>
    <n v="6"/>
    <n v="24.13"/>
    <d v="1899-12-30T02:23:40"/>
    <d v="1899-12-30T02:23:40"/>
    <d v="1899-12-30T02:23:40"/>
    <m/>
    <d v="1899-12-30T00:05:57"/>
    <n v="5"/>
    <n v="1.5"/>
    <n v="1"/>
    <x v="2"/>
    <n v="0.25"/>
    <n v="0.25"/>
    <n v="0.5"/>
    <n v="0"/>
    <n v="0.1"/>
    <n v="0"/>
    <n v="0"/>
    <n v="2.2250000000000001"/>
    <s v="14.02.2023"/>
    <n v="1"/>
    <e v="#N/A"/>
    <m/>
    <n v="1"/>
  </r>
  <r>
    <x v="0"/>
    <s v="M"/>
    <n v="6"/>
    <n v="11.33"/>
    <d v="1899-12-30T01:02:12"/>
    <d v="1899-12-30T01:02:15"/>
    <d v="1899-12-30T01:02:14"/>
    <m/>
    <d v="1899-12-30T00:05:30"/>
    <n v="2.6976190476190474"/>
    <n v="2"/>
    <n v="3"/>
    <x v="2"/>
    <n v="0.25"/>
    <n v="0.25"/>
    <n v="0.5"/>
    <n v="0"/>
    <n v="0"/>
    <n v="0"/>
    <n v="0"/>
    <n v="2.674404761904762"/>
    <s v="14.02.2023"/>
    <n v="1"/>
    <s v="UltraHaita lu' Borcan"/>
    <m/>
    <n v="1"/>
  </r>
  <r>
    <x v="92"/>
    <s v="F"/>
    <n v="6"/>
    <n v="10.050000000000001"/>
    <d v="1899-12-30T00:58:54"/>
    <d v="1899-12-30T01:12:55"/>
    <d v="1899-12-30T01:05:55"/>
    <m/>
    <d v="1899-12-30T00:06:33"/>
    <n v="2.5125000000000002"/>
    <n v="1.25"/>
    <n v="2"/>
    <x v="2"/>
    <n v="0.25"/>
    <n v="0.25"/>
    <n v="0.5"/>
    <n v="0"/>
    <n v="0"/>
    <n v="0"/>
    <n v="0"/>
    <n v="1.940625"/>
    <s v="14.02.2023"/>
    <n v="1"/>
    <s v="The GOATs"/>
    <m/>
    <n v="1"/>
  </r>
  <r>
    <x v="112"/>
    <s v="M"/>
    <n v="6"/>
    <n v="16.059999999999999"/>
    <d v="1899-12-30T01:33:46"/>
    <d v="1899-12-30T01:34:00"/>
    <d v="1899-12-30T01:33:53"/>
    <n v="78"/>
    <d v="1899-12-30T00:05:51"/>
    <n v="3.8238095238095235"/>
    <n v="1.5"/>
    <n v="1.75"/>
    <x v="0"/>
    <n v="0.5"/>
    <n v="0.25"/>
    <n v="0.25"/>
    <n v="5.1999999999999998E-2"/>
    <n v="0"/>
    <n v="0"/>
    <n v="0"/>
    <n v="2.7764047619047618"/>
    <s v="15.02.2023"/>
    <n v="1"/>
    <e v="#N/A"/>
    <m/>
    <n v="1"/>
  </r>
  <r>
    <x v="21"/>
    <s v="M"/>
    <n v="6"/>
    <n v="11.49"/>
    <d v="1899-12-30T01:18:59"/>
    <d v="1899-12-30T01:33:37"/>
    <d v="1899-12-30T01:26:18"/>
    <n v="127"/>
    <d v="1899-12-30T00:07:31"/>
    <n v="2.7357142857142858"/>
    <n v="0.25"/>
    <n v="4"/>
    <x v="2"/>
    <n v="0.25"/>
    <n v="0.25"/>
    <n v="0.5"/>
    <n v="8.4666666666666668E-2"/>
    <n v="0"/>
    <n v="0"/>
    <n v="0.4"/>
    <n v="3.231095238095238"/>
    <s v="15.02.2023"/>
    <n v="1"/>
    <s v="#notSYRious"/>
    <m/>
    <n v="1"/>
  </r>
  <r>
    <x v="109"/>
    <s v="M"/>
    <n v="6"/>
    <n v="15.27"/>
    <d v="1899-12-30T01:45:58"/>
    <d v="1899-12-30T02:11:27"/>
    <d v="1899-12-30T01:58:43"/>
    <n v="549"/>
    <d v="1899-12-30T00:07:46"/>
    <n v="3.6357142857142857"/>
    <n v="0.25"/>
    <n v="3"/>
    <x v="2"/>
    <n v="0.25"/>
    <n v="0.25"/>
    <n v="0.5"/>
    <n v="0.36599999999999999"/>
    <n v="0"/>
    <n v="0"/>
    <n v="0"/>
    <n v="2.8374285714285716"/>
    <s v="15.02.2023"/>
    <n v="1"/>
    <e v="#N/A"/>
    <m/>
    <n v="1"/>
  </r>
  <r>
    <x v="28"/>
    <s v="M"/>
    <n v="6"/>
    <n v="11.02"/>
    <d v="1899-12-30T00:53:13"/>
    <d v="1899-12-30T00:53:57"/>
    <d v="1899-12-30T00:53:35"/>
    <m/>
    <d v="1899-12-30T00:04:52"/>
    <n v="2.6238095238095238"/>
    <n v="3"/>
    <n v="2"/>
    <x v="2"/>
    <n v="0.25"/>
    <n v="0.25"/>
    <n v="0.5"/>
    <n v="0"/>
    <n v="0"/>
    <n v="0"/>
    <n v="0"/>
    <n v="2.4059523809523808"/>
    <s v="15.02.2023"/>
    <n v="1"/>
    <s v="UltraHaita lu' Borcan"/>
    <m/>
    <n v="1"/>
  </r>
  <r>
    <x v="7"/>
    <s v="M"/>
    <n v="6"/>
    <n v="14.02"/>
    <d v="1899-12-30T01:21:40"/>
    <d v="1899-12-30T01:25:09"/>
    <d v="1899-12-30T01:23:25"/>
    <m/>
    <d v="1899-12-30T00:05:57"/>
    <n v="3.3380952380952378"/>
    <n v="1.5"/>
    <n v="4"/>
    <x v="2"/>
    <n v="0.25"/>
    <n v="0.25"/>
    <n v="0.5"/>
    <n v="0"/>
    <n v="0"/>
    <n v="0"/>
    <n v="0"/>
    <n v="3.2095238095238097"/>
    <s v="16.02.2023"/>
    <n v="1"/>
    <s v="MedgidiaRunning"/>
    <m/>
    <n v="1"/>
  </r>
  <r>
    <x v="12"/>
    <s v="M"/>
    <n v="6"/>
    <n v="10.01"/>
    <d v="1899-12-30T00:41:10"/>
    <d v="1899-12-30T00:41:10"/>
    <d v="1899-12-30T00:41:10"/>
    <m/>
    <d v="1899-12-30T00:04:07"/>
    <n v="2.3833333333333333"/>
    <n v="4.5"/>
    <n v="2.5"/>
    <x v="1"/>
    <n v="0.25"/>
    <n v="0.5"/>
    <n v="0.25"/>
    <n v="0"/>
    <n v="0"/>
    <n v="0"/>
    <n v="0"/>
    <n v="3.4708333333333332"/>
    <s v="17.02.2023"/>
    <n v="1"/>
    <s v="#notSYRious"/>
    <m/>
    <n v="1"/>
  </r>
  <r>
    <x v="11"/>
    <s v="M"/>
    <n v="6"/>
    <n v="12.5"/>
    <d v="1899-12-30T01:03:46"/>
    <d v="1899-12-30T01:03:56"/>
    <d v="1899-12-30T01:03:51"/>
    <n v="223"/>
    <d v="1899-12-30T00:05:06"/>
    <n v="2.9761904761904763"/>
    <n v="2.5"/>
    <n v="2.5"/>
    <x v="2"/>
    <n v="0.25"/>
    <n v="0.25"/>
    <n v="0.5"/>
    <n v="0.14866666666666667"/>
    <n v="0"/>
    <n v="0"/>
    <n v="0.4"/>
    <n v="3.1677142857142857"/>
    <s v="17.02.2023"/>
    <n v="1"/>
    <e v="#N/A"/>
    <m/>
    <n v="1"/>
  </r>
  <r>
    <x v="45"/>
    <s v="F"/>
    <n v="6"/>
    <n v="11.37"/>
    <d v="1899-12-30T01:15:01"/>
    <d v="1899-12-30T01:16:25"/>
    <d v="1899-12-30T01:15:43"/>
    <n v="194"/>
    <d v="1899-12-30T00:06:40"/>
    <n v="2.8424999999999998"/>
    <n v="1.25"/>
    <n v="1.5"/>
    <x v="2"/>
    <n v="0.25"/>
    <n v="0.25"/>
    <n v="0.5"/>
    <n v="0.12933333333333333"/>
    <n v="0"/>
    <n v="0"/>
    <n v="0"/>
    <n v="1.9024583333333331"/>
    <s v="18.02.2023"/>
    <n v="1"/>
    <e v="#N/A"/>
    <m/>
    <n v="1"/>
  </r>
  <r>
    <x v="62"/>
    <s v="M"/>
    <n v="6"/>
    <n v="22.5"/>
    <d v="1899-12-30T02:28:47"/>
    <d v="1899-12-30T02:29:40"/>
    <d v="1899-12-30T02:29:13"/>
    <n v="85"/>
    <d v="1899-12-30T00:06:38"/>
    <n v="5"/>
    <n v="0.75"/>
    <n v="2.25"/>
    <x v="0"/>
    <n v="0.5"/>
    <n v="0.25"/>
    <n v="0.25"/>
    <n v="5.6666666666666664E-2"/>
    <n v="0"/>
    <n v="0"/>
    <n v="0"/>
    <n v="3.3066666666666666"/>
    <s v="18.02.2023"/>
    <n v="1"/>
    <e v="#N/A"/>
    <m/>
    <n v="1"/>
  </r>
  <r>
    <x v="17"/>
    <s v="M"/>
    <n v="6"/>
    <n v="21.21"/>
    <d v="1899-12-30T01:52:23"/>
    <d v="1899-12-30T02:11:29"/>
    <d v="1899-12-30T02:01:56"/>
    <n v="56"/>
    <d v="1899-12-30T00:05:45"/>
    <n v="5"/>
    <n v="1.75"/>
    <n v="2.5"/>
    <x v="0"/>
    <n v="0.5"/>
    <n v="0.25"/>
    <n v="0.25"/>
    <n v="3.7333333333333336E-2"/>
    <n v="0"/>
    <n v="0"/>
    <n v="0"/>
    <n v="3.5998333333333332"/>
    <s v="18.02.2023"/>
    <n v="1"/>
    <e v="#N/A"/>
    <m/>
    <n v="1"/>
  </r>
  <r>
    <x v="9"/>
    <s v="M"/>
    <n v="6"/>
    <n v="55.07"/>
    <d v="1899-12-30T05:26:58"/>
    <d v="1899-12-30T05:27:10"/>
    <d v="1899-12-30T05:27:04"/>
    <n v="105"/>
    <d v="1899-12-30T00:05:56"/>
    <n v="5"/>
    <n v="1.5"/>
    <n v="2.5"/>
    <x v="0"/>
    <n v="0.5"/>
    <n v="0.25"/>
    <n v="0.25"/>
    <n v="7.0000000000000007E-2"/>
    <n v="1.7"/>
    <n v="0"/>
    <n v="0"/>
    <n v="5.27"/>
    <s v="18.02.2023"/>
    <n v="1"/>
    <s v="The GOATs"/>
    <m/>
    <n v="1"/>
  </r>
  <r>
    <x v="88"/>
    <s v="M"/>
    <n v="6"/>
    <n v="19.010000000000002"/>
    <d v="1899-12-30T01:14:44"/>
    <d v="1899-12-30T01:20:29"/>
    <d v="1899-12-30T01:17:36"/>
    <m/>
    <d v="1899-12-30T00:04:05"/>
    <n v="4.5261904761904761"/>
    <n v="4.5"/>
    <n v="2.25"/>
    <x v="1"/>
    <n v="0.25"/>
    <n v="0.5"/>
    <n v="0.25"/>
    <n v="0"/>
    <n v="0"/>
    <n v="0"/>
    <n v="0"/>
    <n v="3.9440476190476188"/>
    <s v="18.02.2023"/>
    <n v="1"/>
    <s v="Almost Kenyan Runners"/>
    <m/>
    <n v="1"/>
  </r>
  <r>
    <x v="60"/>
    <s v="M"/>
    <n v="6"/>
    <n v="50.08"/>
    <d v="1899-12-30T03:23:12"/>
    <d v="1899-12-30T03:23:12"/>
    <d v="1899-12-30T03:23:12"/>
    <m/>
    <d v="1899-12-30T00:04:03"/>
    <n v="5"/>
    <n v="4.5"/>
    <n v="3.75"/>
    <x v="2"/>
    <n v="0.25"/>
    <n v="0.25"/>
    <n v="0.5"/>
    <n v="0"/>
    <n v="1.4"/>
    <n v="0"/>
    <n v="0"/>
    <n v="5.65"/>
    <s v="18.02.2023"/>
    <n v="1"/>
    <s v="#notSYRious"/>
    <m/>
    <n v="1"/>
  </r>
  <r>
    <x v="16"/>
    <s v="F"/>
    <n v="6"/>
    <n v="10.01"/>
    <d v="1899-12-30T00:55:27"/>
    <d v="1899-12-30T00:59:36"/>
    <d v="1899-12-30T00:57:31"/>
    <m/>
    <d v="1899-12-30T00:05:45"/>
    <n v="2.5024999999999999"/>
    <n v="2.5"/>
    <n v="2.75"/>
    <x v="2"/>
    <n v="0.25"/>
    <n v="0.25"/>
    <n v="0.5"/>
    <n v="0"/>
    <n v="0"/>
    <n v="0"/>
    <n v="0"/>
    <n v="2.6256249999999999"/>
    <s v="18.02.2023"/>
    <n v="1"/>
    <s v="MedgidiaRunning"/>
    <m/>
    <n v="1"/>
  </r>
  <r>
    <x v="18"/>
    <s v="M"/>
    <n v="6"/>
    <n v="20.03"/>
    <d v="1899-12-30T01:37:14"/>
    <d v="1899-12-30T01:58:29"/>
    <d v="1899-12-30T01:47:51"/>
    <m/>
    <d v="1899-12-30T00:05:23"/>
    <n v="4.769047619047619"/>
    <n v="2"/>
    <n v="3"/>
    <x v="1"/>
    <n v="0.25"/>
    <n v="0.5"/>
    <n v="0.25"/>
    <n v="0"/>
    <n v="0"/>
    <n v="0"/>
    <n v="0"/>
    <n v="2.9422619047619047"/>
    <s v="18.02.2023"/>
    <n v="1"/>
    <s v="UltraHaita lu' Borcan"/>
    <m/>
    <n v="1"/>
  </r>
  <r>
    <x v="35"/>
    <s v="F"/>
    <n v="6"/>
    <n v="11.26"/>
    <d v="1899-12-30T01:15:21"/>
    <d v="1899-12-30T01:24:28"/>
    <d v="1899-12-30T01:19:54"/>
    <m/>
    <d v="1899-12-30T00:07:06"/>
    <n v="2.8149999999999999"/>
    <n v="0.75"/>
    <n v="3.75"/>
    <x v="2"/>
    <n v="0.25"/>
    <n v="0.25"/>
    <n v="0.5"/>
    <n v="0"/>
    <n v="0"/>
    <n v="0"/>
    <n v="0"/>
    <n v="2.7662499999999999"/>
    <s v="18.02.2023"/>
    <n v="1"/>
    <s v="#notSYRious"/>
    <m/>
    <n v="1"/>
  </r>
  <r>
    <x v="44"/>
    <s v="M"/>
    <n v="6"/>
    <n v="30.3"/>
    <d v="1899-12-30T02:41:14"/>
    <d v="1899-12-30T02:47:51"/>
    <d v="1899-12-30T02:44:33"/>
    <m/>
    <d v="1899-12-30T00:05:26"/>
    <n v="5"/>
    <n v="2"/>
    <n v="3.25"/>
    <x v="0"/>
    <n v="0.5"/>
    <n v="0.25"/>
    <n v="0.25"/>
    <n v="0"/>
    <n v="0.4"/>
    <n v="0"/>
    <n v="0"/>
    <n v="4.2125000000000004"/>
    <s v="18.02.2023"/>
    <n v="1"/>
    <s v="UltraHaita lu' Borcan"/>
    <m/>
    <n v="1"/>
  </r>
  <r>
    <x v="47"/>
    <s v="M"/>
    <n v="6"/>
    <n v="9.59"/>
    <d v="1899-12-30T00:47:07"/>
    <d v="1899-12-30T00:49:18"/>
    <d v="1899-12-30T00:48:12"/>
    <m/>
    <d v="1899-12-30T00:05:02"/>
    <n v="2.2833333333333332"/>
    <n v="2.5"/>
    <n v="1.75"/>
    <x v="2"/>
    <n v="0.25"/>
    <n v="0.25"/>
    <n v="0.5"/>
    <n v="0"/>
    <n v="0"/>
    <n v="0"/>
    <n v="0"/>
    <n v="2.0708333333333333"/>
    <s v="18.02.2023"/>
    <n v="1"/>
    <e v="#N/A"/>
    <m/>
    <n v="1"/>
  </r>
  <r>
    <x v="42"/>
    <s v="M"/>
    <n v="6"/>
    <n v="21.21"/>
    <d v="1899-12-30T01:50:13"/>
    <d v="1899-12-30T01:50:23"/>
    <d v="1899-12-30T01:50:18"/>
    <m/>
    <d v="1899-12-30T00:05:12"/>
    <n v="5"/>
    <n v="2.5"/>
    <n v="2.25"/>
    <x v="0"/>
    <n v="0.5"/>
    <n v="0.25"/>
    <n v="0.25"/>
    <n v="0"/>
    <n v="0"/>
    <n v="0"/>
    <n v="0"/>
    <n v="3.6875"/>
    <s v="18.02.2023"/>
    <n v="1"/>
    <s v="The GOATs"/>
    <m/>
    <n v="1"/>
  </r>
  <r>
    <x v="67"/>
    <s v="M"/>
    <n v="6"/>
    <n v="10.45"/>
    <d v="1899-12-30T00:46:59"/>
    <d v="1899-12-30T00:47:21"/>
    <d v="1899-12-30T00:47:10"/>
    <m/>
    <d v="1899-12-30T00:04:31"/>
    <n v="2.4880952380952377"/>
    <n v="4"/>
    <n v="2"/>
    <x v="2"/>
    <n v="0.25"/>
    <n v="0.25"/>
    <n v="0.5"/>
    <n v="0"/>
    <n v="0"/>
    <n v="0"/>
    <n v="0"/>
    <n v="2.6220238095238093"/>
    <s v="19.02.2023"/>
    <n v="1"/>
    <s v="Almost Kenyan Runners"/>
    <m/>
    <n v="1"/>
  </r>
  <r>
    <x v="107"/>
    <s v="M"/>
    <n v="6"/>
    <n v="22.41"/>
    <d v="1899-12-30T02:18:45"/>
    <d v="1899-12-30T02:18:53"/>
    <d v="1899-12-30T02:18:49"/>
    <n v="151"/>
    <d v="1899-12-30T00:06:12"/>
    <n v="5"/>
    <n v="1.25"/>
    <n v="4"/>
    <x v="2"/>
    <n v="0.25"/>
    <n v="0.25"/>
    <n v="0.5"/>
    <n v="0.10066666666666667"/>
    <n v="0"/>
    <n v="0"/>
    <n v="0"/>
    <n v="3.6631666666666667"/>
    <s v="19.02.2023"/>
    <n v="1"/>
    <s v="The GOATs"/>
    <m/>
    <n v="1"/>
  </r>
  <r>
    <x v="50"/>
    <s v="M"/>
    <n v="6"/>
    <n v="25.01"/>
    <d v="1899-12-30T02:23:33"/>
    <d v="1899-12-30T02:27:12"/>
    <d v="1899-12-30T02:25:22"/>
    <n v="126"/>
    <d v="1899-12-30T00:05:49"/>
    <n v="5"/>
    <n v="1.5"/>
    <n v="5"/>
    <x v="2"/>
    <n v="0.25"/>
    <n v="0.25"/>
    <n v="0.5"/>
    <n v="8.4000000000000005E-2"/>
    <n v="0.2"/>
    <n v="0"/>
    <n v="0"/>
    <n v="4.4089999999999998"/>
    <s v="19.02.2023"/>
    <n v="1"/>
    <s v="The GOATs"/>
    <m/>
    <n v="1"/>
  </r>
  <r>
    <x v="15"/>
    <s v="F"/>
    <n v="6"/>
    <n v="21.05"/>
    <d v="1899-12-30T02:09:46"/>
    <d v="1899-12-30T02:10:06"/>
    <d v="1899-12-30T02:09:56"/>
    <n v="110"/>
    <d v="1899-12-30T00:06:10"/>
    <n v="5"/>
    <n v="1.75"/>
    <n v="3.75"/>
    <x v="2"/>
    <n v="0.25"/>
    <n v="0.25"/>
    <n v="0.5"/>
    <n v="7.3333333333333334E-2"/>
    <n v="0"/>
    <n v="0"/>
    <n v="0"/>
    <n v="3.6358333333333333"/>
    <s v="19.02.2023"/>
    <n v="1"/>
    <e v="#N/A"/>
    <m/>
    <n v="1"/>
  </r>
  <r>
    <x v="113"/>
    <s v="M"/>
    <n v="6"/>
    <n v="12"/>
    <d v="1899-12-30T00:59:55"/>
    <d v="1899-12-30T00:59:55"/>
    <d v="1899-12-30T00:59:55"/>
    <m/>
    <d v="1899-12-30T00:05:00"/>
    <n v="2.8571428571428572"/>
    <n v="3"/>
    <n v="1.25"/>
    <x v="2"/>
    <n v="0.25"/>
    <n v="0.25"/>
    <n v="0.5"/>
    <n v="0"/>
    <n v="0"/>
    <n v="0"/>
    <n v="0"/>
    <n v="2.0892857142857144"/>
    <s v="19.02.2023"/>
    <n v="1"/>
    <e v="#N/A"/>
    <m/>
    <n v="1"/>
  </r>
  <r>
    <x v="84"/>
    <s v="M"/>
    <n v="6"/>
    <n v="21.12"/>
    <d v="1899-12-30T01:43:38"/>
    <d v="1899-12-30T01:45:01"/>
    <d v="1899-12-30T01:44:20"/>
    <m/>
    <d v="1899-12-30T00:04:56"/>
    <n v="5"/>
    <n v="3"/>
    <n v="3.75"/>
    <x v="2"/>
    <n v="0.25"/>
    <n v="0.25"/>
    <n v="0.5"/>
    <n v="0"/>
    <n v="0"/>
    <n v="0"/>
    <n v="0"/>
    <n v="3.875"/>
    <s v="19.02.2023"/>
    <n v="1"/>
    <s v="The GOATs"/>
    <m/>
    <n v="1"/>
  </r>
  <r>
    <x v="13"/>
    <s v="M"/>
    <n v="6"/>
    <n v="4.3099999999999996"/>
    <d v="1899-12-30T01:09:25"/>
    <d v="1899-12-30T01:53:16"/>
    <d v="1899-12-30T01:31:20"/>
    <m/>
    <d v="1899-12-30T00:21:12"/>
    <n v="1.0261904761904761"/>
    <n v="0"/>
    <n v="3.25"/>
    <x v="2"/>
    <n v="0.25"/>
    <n v="0.25"/>
    <n v="0.5"/>
    <n v="0"/>
    <n v="0"/>
    <n v="0"/>
    <n v="0"/>
    <n v="1.881547619047619"/>
    <s v="19.02.2023"/>
    <n v="1"/>
    <s v="MedgidiaRunning"/>
    <m/>
    <n v="0"/>
  </r>
  <r>
    <x v="69"/>
    <s v="M"/>
    <n v="6"/>
    <n v="25"/>
    <d v="1899-12-30T02:02:33"/>
    <d v="1899-12-30T02:02:33"/>
    <d v="1899-12-30T02:02:33"/>
    <m/>
    <d v="1899-12-30T00:04:54"/>
    <n v="5"/>
    <n v="3"/>
    <n v="3.25"/>
    <x v="2"/>
    <n v="0.25"/>
    <n v="0.25"/>
    <n v="0.5"/>
    <n v="0"/>
    <n v="0.2"/>
    <n v="0"/>
    <n v="0"/>
    <n v="3.8250000000000002"/>
    <s v="19.02.2023"/>
    <n v="1"/>
    <s v="Almost Kenyan Runners"/>
    <m/>
    <n v="1"/>
  </r>
  <r>
    <x v="48"/>
    <s v="M"/>
    <n v="6"/>
    <n v="21.14"/>
    <d v="1899-12-30T01:29:25"/>
    <d v="1899-12-30T01:34:12"/>
    <d v="1899-12-30T01:31:48"/>
    <m/>
    <d v="1899-12-30T00:04:21"/>
    <n v="5"/>
    <n v="4"/>
    <n v="1.25"/>
    <x v="2"/>
    <n v="0.25"/>
    <n v="0.25"/>
    <n v="0.5"/>
    <n v="0"/>
    <n v="0"/>
    <n v="0"/>
    <n v="0"/>
    <n v="2.875"/>
    <s v="19.02.2023"/>
    <n v="1"/>
    <s v="UltraHaita lu' Borcan"/>
    <m/>
    <n v="1"/>
  </r>
  <r>
    <x v="22"/>
    <s v="F"/>
    <n v="6"/>
    <n v="10.130000000000001"/>
    <d v="1899-12-30T01:00:03"/>
    <d v="1899-12-30T01:02:18"/>
    <d v="1899-12-30T01:01:10"/>
    <m/>
    <d v="1899-12-30T00:06:02"/>
    <n v="2.5325000000000002"/>
    <n v="1.75"/>
    <n v="3.75"/>
    <x v="2"/>
    <n v="0.25"/>
    <n v="0.25"/>
    <n v="0.5"/>
    <n v="0"/>
    <n v="0"/>
    <n v="0"/>
    <n v="0"/>
    <n v="2.9456250000000002"/>
    <s v="19.02.2023"/>
    <n v="1"/>
    <s v="MedgidiaRunning"/>
    <m/>
    <n v="1"/>
  </r>
  <r>
    <x v="3"/>
    <s v="M"/>
    <n v="6"/>
    <n v="15.07"/>
    <d v="1899-12-30T01:18:39"/>
    <d v="1899-12-30T01:25:55"/>
    <d v="1899-12-30T01:22:17"/>
    <m/>
    <d v="1899-12-30T00:05:28"/>
    <n v="3.5880952380952382"/>
    <n v="2"/>
    <n v="4"/>
    <x v="2"/>
    <n v="0.25"/>
    <n v="0.25"/>
    <n v="0.5"/>
    <n v="0"/>
    <n v="0"/>
    <n v="0"/>
    <n v="0.4"/>
    <n v="3.7970238095238096"/>
    <s v="19.02.2023"/>
    <n v="1"/>
    <s v="MedgidiaRunning"/>
    <m/>
    <n v="1"/>
  </r>
  <r>
    <x v="27"/>
    <s v="M"/>
    <n v="6"/>
    <n v="21.08"/>
    <d v="1899-12-30T02:14:02"/>
    <d v="1899-12-30T02:14:51"/>
    <d v="1899-12-30T02:14:26"/>
    <m/>
    <d v="1899-12-30T00:06:23"/>
    <n v="5"/>
    <n v="1"/>
    <n v="2.75"/>
    <x v="0"/>
    <n v="0.5"/>
    <n v="0.25"/>
    <n v="0.25"/>
    <n v="0"/>
    <n v="0"/>
    <n v="0"/>
    <n v="0"/>
    <n v="3.4375"/>
    <s v="19.02.2023"/>
    <n v="1"/>
    <s v="#notSYRious"/>
    <m/>
    <n v="1"/>
  </r>
  <r>
    <x v="20"/>
    <s v="F"/>
    <n v="6"/>
    <n v="10.08"/>
    <d v="1899-12-30T00:55:15"/>
    <d v="1899-12-30T00:57:11"/>
    <d v="1899-12-30T00:56:13"/>
    <n v="142"/>
    <d v="1899-12-30T00:05:35"/>
    <n v="2.52"/>
    <n v="2.5"/>
    <n v="3.25"/>
    <x v="2"/>
    <n v="0.25"/>
    <n v="0.25"/>
    <n v="0.5"/>
    <n v="9.4666666666666663E-2"/>
    <n v="0"/>
    <n v="0"/>
    <n v="0"/>
    <n v="2.9746666666666663"/>
    <s v="19.02.2023"/>
    <n v="1"/>
    <s v="MedgidiaRunning"/>
    <m/>
    <n v="1"/>
  </r>
  <r>
    <x v="52"/>
    <s v="M"/>
    <n v="6"/>
    <n v="22.27"/>
    <d v="1899-12-30T03:02:02"/>
    <d v="1899-12-30T03:12:51"/>
    <d v="1899-12-30T03:07:26"/>
    <n v="984"/>
    <d v="1899-12-30T00:08:25"/>
    <n v="5"/>
    <n v="0"/>
    <n v="2.75"/>
    <x v="2"/>
    <n v="0.25"/>
    <n v="0.25"/>
    <n v="0.5"/>
    <n v="0.65600000000000003"/>
    <n v="0"/>
    <n v="0"/>
    <n v="0"/>
    <n v="3.2810000000000001"/>
    <s v="19.02.2023"/>
    <n v="1"/>
    <e v="#N/A"/>
    <m/>
    <n v="0"/>
  </r>
  <r>
    <x v="77"/>
    <s v="F"/>
    <n v="6"/>
    <n v="16.010000000000002"/>
    <d v="1899-12-30T01:22:15"/>
    <d v="1899-12-30T01:23:31"/>
    <d v="1899-12-30T01:22:53"/>
    <n v="76"/>
    <d v="1899-12-30T00:05:11"/>
    <n v="4.0025000000000004"/>
    <n v="3.5"/>
    <n v="4.75"/>
    <x v="2"/>
    <n v="0.25"/>
    <n v="0.25"/>
    <n v="0.5"/>
    <n v="5.0666666666666665E-2"/>
    <n v="0"/>
    <n v="0"/>
    <n v="0"/>
    <n v="4.3012916666666667"/>
    <s v="19.02.2023"/>
    <n v="1"/>
    <s v="The GOATs"/>
    <m/>
    <n v="1"/>
  </r>
  <r>
    <x v="19"/>
    <s v="M"/>
    <n v="6"/>
    <n v="30.01"/>
    <d v="1899-12-30T02:15:21"/>
    <d v="1899-12-30T02:46:16"/>
    <d v="1899-12-30T02:30:48"/>
    <n v="65"/>
    <d v="1899-12-30T00:05:02"/>
    <n v="5"/>
    <n v="2.5"/>
    <n v="2"/>
    <x v="0"/>
    <n v="0.5"/>
    <n v="0.25"/>
    <n v="0.25"/>
    <n v="4.3333333333333335E-2"/>
    <n v="0.4"/>
    <n v="0"/>
    <n v="0"/>
    <n v="4.0683333333333334"/>
    <s v="19.02.2023"/>
    <n v="1"/>
    <e v="#N/A"/>
    <m/>
    <n v="1"/>
  </r>
  <r>
    <x v="59"/>
    <s v="M"/>
    <n v="6"/>
    <n v="8.0399999999999991"/>
    <d v="1899-12-30T00:46:14"/>
    <d v="1899-12-30T00:46:51"/>
    <d v="1899-12-30T00:46:33"/>
    <m/>
    <d v="1899-12-30T00:05:47"/>
    <n v="1.9142857142857139"/>
    <n v="1.5"/>
    <n v="1.5"/>
    <x v="1"/>
    <n v="0.25"/>
    <n v="0.5"/>
    <n v="0.25"/>
    <n v="0"/>
    <n v="0"/>
    <n v="0"/>
    <n v="0"/>
    <n v="1.6035714285714284"/>
    <s v="19.02.2023"/>
    <n v="1"/>
    <s v="UltraHaita lu' Borcan"/>
    <m/>
    <n v="1"/>
  </r>
  <r>
    <x v="98"/>
    <s v="F"/>
    <n v="6"/>
    <n v="15.01"/>
    <d v="1899-12-30T01:25:04"/>
    <d v="1899-12-30T01:25:04"/>
    <d v="1899-12-30T01:25:04"/>
    <m/>
    <d v="1899-12-30T00:05:40"/>
    <n v="3.7524999999999999"/>
    <n v="2.5"/>
    <n v="3.5"/>
    <x v="2"/>
    <n v="0.25"/>
    <n v="0.25"/>
    <n v="0.5"/>
    <n v="0"/>
    <n v="0"/>
    <n v="0"/>
    <n v="0"/>
    <n v="3.3131249999999999"/>
    <s v="19.02.2023"/>
    <n v="1"/>
    <s v="#notSYRious"/>
    <m/>
    <n v="1"/>
  </r>
  <r>
    <x v="70"/>
    <s v="F"/>
    <n v="6"/>
    <n v="17.37"/>
    <d v="1899-12-30T02:37:07"/>
    <d v="1899-12-30T02:57:53"/>
    <d v="1899-12-30T02:47:30"/>
    <n v="676"/>
    <d v="1899-12-30T00:09:39"/>
    <n v="4.3425000000000002"/>
    <n v="0"/>
    <n v="3.5"/>
    <x v="2"/>
    <n v="0.25"/>
    <n v="0.25"/>
    <n v="0.5"/>
    <n v="0.45066666666666666"/>
    <n v="0"/>
    <n v="0"/>
    <n v="0"/>
    <n v="3.2862916666666671"/>
    <s v="19.02.2023"/>
    <n v="1"/>
    <e v="#N/A"/>
    <m/>
    <n v="0"/>
  </r>
  <r>
    <x v="68"/>
    <s v="F"/>
    <n v="6"/>
    <n v="3.1"/>
    <d v="1899-12-30T00:18:53"/>
    <d v="1899-12-30T00:18:59"/>
    <d v="1899-12-30T00:18:56"/>
    <m/>
    <d v="1899-12-30T00:06:06"/>
    <n v="0.77500000000000002"/>
    <n v="1.75"/>
    <n v="1.5"/>
    <x v="2"/>
    <n v="0.25"/>
    <n v="0.25"/>
    <n v="0.5"/>
    <n v="0"/>
    <n v="0"/>
    <n v="0"/>
    <n v="0"/>
    <n v="1.3812500000000001"/>
    <s v="19.02.2023"/>
    <n v="1"/>
    <s v="Almost Kenyan Runners"/>
    <m/>
    <n v="1"/>
  </r>
  <r>
    <x v="23"/>
    <s v="M"/>
    <n v="6"/>
    <n v="0"/>
    <d v="1899-12-30T00:00:00"/>
    <d v="1899-12-30T00:00:00"/>
    <d v="1899-12-30T00:00:00"/>
    <m/>
    <d v="1899-12-30T00:00:00"/>
    <n v="0"/>
    <n v="0"/>
    <n v="0"/>
    <x v="3"/>
    <n v="0.25"/>
    <n v="0.25"/>
    <n v="0.25"/>
    <n v="0"/>
    <n v="0"/>
    <n v="0"/>
    <n v="0"/>
    <n v="1.5"/>
    <s v="19.02.2023"/>
    <n v="1"/>
    <s v="Almost Kenyan Runners"/>
    <m/>
    <n v="0"/>
  </r>
  <r>
    <x v="82"/>
    <s v="M"/>
    <n v="6"/>
    <n v="27"/>
    <d v="1899-12-30T01:58:56"/>
    <d v="1899-12-30T01:59:26"/>
    <d v="1899-12-30T01:59:11"/>
    <n v="284"/>
    <d v="1899-12-30T00:04:25"/>
    <n v="5"/>
    <n v="4"/>
    <n v="3.5"/>
    <x v="0"/>
    <n v="0.5"/>
    <n v="0.25"/>
    <n v="0.25"/>
    <n v="0.18933333333333333"/>
    <n v="0.3"/>
    <n v="0"/>
    <n v="0"/>
    <n v="4.8643333333333327"/>
    <s v="19.02.2023"/>
    <n v="1"/>
    <s v="Almost Kenyan Runners"/>
    <m/>
    <n v="1"/>
  </r>
  <r>
    <x v="111"/>
    <s v="F"/>
    <n v="6"/>
    <n v="2.79"/>
    <d v="1899-12-30T00:18:58"/>
    <d v="1899-12-30T00:19:01"/>
    <d v="1899-12-30T00:19:00"/>
    <m/>
    <d v="1899-12-30T00:06:48"/>
    <n v="0.69750000000000001"/>
    <n v="1"/>
    <n v="3.75"/>
    <x v="2"/>
    <n v="0.25"/>
    <n v="0.25"/>
    <n v="0.5"/>
    <n v="0"/>
    <n v="0"/>
    <n v="0"/>
    <n v="0.4"/>
    <n v="2.6993749999999999"/>
    <s v="19.02.2023"/>
    <n v="1"/>
    <e v="#N/A"/>
    <m/>
    <n v="1"/>
  </r>
  <r>
    <x v="74"/>
    <s v="F"/>
    <n v="6"/>
    <n v="21.12"/>
    <d v="1899-12-30T02:13:42"/>
    <d v="1899-12-30T02:38:30"/>
    <d v="1899-12-30T02:26:06"/>
    <m/>
    <d v="1899-12-30T00:06:55"/>
    <n v="5"/>
    <n v="1"/>
    <n v="3"/>
    <x v="0"/>
    <n v="0.5"/>
    <n v="0.25"/>
    <n v="0.25"/>
    <n v="0"/>
    <n v="0"/>
    <n v="0"/>
    <n v="0"/>
    <n v="3.5"/>
    <s v="19.02.2023"/>
    <n v="1"/>
    <s v="UltraHaita lu' Borcan"/>
    <m/>
    <n v="1"/>
  </r>
  <r>
    <x v="29"/>
    <s v="F"/>
    <n v="6"/>
    <n v="10.02"/>
    <d v="1899-12-30T00:49:50"/>
    <d v="1899-12-30T00:49:50"/>
    <d v="1899-12-30T00:49:50"/>
    <m/>
    <d v="1899-12-30T00:04:58"/>
    <n v="2.5049999999999999"/>
    <n v="4"/>
    <n v="1.75"/>
    <x v="1"/>
    <n v="0.25"/>
    <n v="0.5"/>
    <n v="0.25"/>
    <n v="0"/>
    <n v="0"/>
    <n v="0"/>
    <n v="0"/>
    <n v="3.0637499999999998"/>
    <s v="19.02.2023"/>
    <n v="1"/>
    <e v="#N/A"/>
    <m/>
    <n v="1"/>
  </r>
  <r>
    <x v="71"/>
    <s v="M"/>
    <n v="6"/>
    <n v="12.74"/>
    <d v="1899-12-30T02:13:47"/>
    <d v="1899-12-30T06:01:49"/>
    <d v="1899-12-30T04:07:48"/>
    <n v="674"/>
    <d v="1899-12-30T00:19:27"/>
    <n v="3.0333333333333332"/>
    <n v="0"/>
    <n v="3.75"/>
    <x v="2"/>
    <n v="0.25"/>
    <n v="0.25"/>
    <n v="0.5"/>
    <n v="0.44933333333333331"/>
    <n v="0"/>
    <n v="0"/>
    <n v="0"/>
    <n v="3.0826666666666664"/>
    <s v="19.02.2023"/>
    <n v="1"/>
    <s v="MedgidiaRunning"/>
    <m/>
    <n v="0"/>
  </r>
  <r>
    <x v="8"/>
    <s v="M"/>
    <n v="6"/>
    <n v="10.01"/>
    <d v="1899-12-30T00:48:08"/>
    <d v="1899-12-30T01:00:18"/>
    <d v="1899-12-30T00:54:13"/>
    <m/>
    <d v="1899-12-30T00:05:25"/>
    <n v="2.3833333333333333"/>
    <n v="2"/>
    <n v="0.5"/>
    <x v="2"/>
    <n v="0.25"/>
    <n v="0.25"/>
    <n v="0.5"/>
    <n v="0"/>
    <n v="0"/>
    <n v="0"/>
    <n v="0"/>
    <n v="1.3458333333333332"/>
    <s v="19.02.2023"/>
    <n v="1"/>
    <e v="#N/A"/>
    <m/>
    <n v="1"/>
  </r>
  <r>
    <x v="14"/>
    <s v="F"/>
    <n v="6"/>
    <n v="10"/>
    <d v="1899-12-30T00:55:50"/>
    <d v="1899-12-30T00:59:05"/>
    <d v="1899-12-30T00:57:28"/>
    <n v="50"/>
    <d v="1899-12-30T00:05:45"/>
    <n v="2.5"/>
    <n v="2.5"/>
    <n v="2.25"/>
    <x v="0"/>
    <n v="0.5"/>
    <n v="0.25"/>
    <n v="0.25"/>
    <n v="3.3333333333333333E-2"/>
    <n v="0"/>
    <n v="0"/>
    <n v="0"/>
    <n v="2.4708333333333332"/>
    <s v="19.02.2023"/>
    <n v="1"/>
    <s v="MedgidiaRunning"/>
    <m/>
    <n v="1"/>
  </r>
  <r>
    <x v="55"/>
    <s v="M"/>
    <n v="6"/>
    <n v="12.58"/>
    <d v="1899-12-30T01:13:27"/>
    <d v="1899-12-30T01:18:51"/>
    <d v="1899-12-30T01:16:09"/>
    <m/>
    <d v="1899-12-30T00:06:03"/>
    <n v="2.9952380952380953"/>
    <n v="1.25"/>
    <n v="1.75"/>
    <x v="2"/>
    <n v="0.25"/>
    <n v="0.25"/>
    <n v="0.5"/>
    <n v="0"/>
    <n v="0"/>
    <n v="0"/>
    <n v="0"/>
    <n v="1.9363095238095238"/>
    <s v="19.02.2023"/>
    <n v="1"/>
    <e v="#N/A"/>
    <m/>
    <n v="1"/>
  </r>
  <r>
    <x v="34"/>
    <s v="M"/>
    <n v="6"/>
    <n v="10.61"/>
    <d v="1899-12-30T01:30:54"/>
    <d v="1899-12-30T01:36:58"/>
    <d v="1899-12-30T01:33:56"/>
    <n v="376"/>
    <d v="1899-12-30T00:08:51"/>
    <n v="2.5261904761904761"/>
    <n v="0"/>
    <n v="2.25"/>
    <x v="2"/>
    <n v="0.25"/>
    <n v="0.25"/>
    <n v="0.5"/>
    <n v="0.25066666666666665"/>
    <n v="0"/>
    <n v="0"/>
    <n v="0"/>
    <n v="2.0072142857142858"/>
    <s v="19.02.2023"/>
    <n v="1"/>
    <e v="#N/A"/>
    <m/>
    <n v="0"/>
  </r>
  <r>
    <x v="36"/>
    <s v="M"/>
    <n v="6"/>
    <n v="10.01"/>
    <d v="1899-12-30T00:50:04"/>
    <d v="1899-12-30T00:52:08"/>
    <d v="1899-12-30T00:51:06"/>
    <m/>
    <d v="1899-12-30T00:05:06"/>
    <n v="2.3833333333333333"/>
    <n v="2.5"/>
    <n v="3.5"/>
    <x v="1"/>
    <n v="0.25"/>
    <n v="0.5"/>
    <n v="0.25"/>
    <n v="0"/>
    <n v="0"/>
    <n v="0"/>
    <n v="0"/>
    <n v="2.7208333333333332"/>
    <s v="19.02.2023"/>
    <n v="1"/>
    <s v="MedgidiaRunning"/>
    <m/>
    <n v="1"/>
  </r>
  <r>
    <x v="58"/>
    <s v="M"/>
    <n v="6"/>
    <n v="3.14"/>
    <d v="1899-12-30T00:12:18"/>
    <d v="1899-12-30T00:12:18"/>
    <d v="1899-12-30T00:12:18"/>
    <m/>
    <d v="1899-12-30T00:03:55"/>
    <n v="0.74761904761904763"/>
    <n v="5"/>
    <n v="3.75"/>
    <x v="1"/>
    <n v="0.25"/>
    <n v="0.5"/>
    <n v="0.25"/>
    <n v="0"/>
    <n v="0"/>
    <n v="0.45000000000000007"/>
    <n v="0"/>
    <n v="4.0744047619047619"/>
    <s v="19.02.2023"/>
    <n v="1"/>
    <s v="Almost Kenyan Runners"/>
    <m/>
    <n v="1"/>
  </r>
  <r>
    <x v="76"/>
    <s v="F"/>
    <n v="6"/>
    <n v="10.02"/>
    <d v="1899-12-30T00:57:11"/>
    <d v="1899-12-30T00:58:24"/>
    <d v="1899-12-30T00:57:48"/>
    <m/>
    <d v="1899-12-30T00:05:46"/>
    <n v="2.5049999999999999"/>
    <n v="2"/>
    <n v="1.5"/>
    <x v="2"/>
    <n v="0.25"/>
    <n v="0.25"/>
    <n v="0.5"/>
    <n v="0"/>
    <n v="0"/>
    <n v="0"/>
    <n v="0"/>
    <n v="1.87625"/>
    <s v="19.02.2023"/>
    <n v="1"/>
    <e v="#N/A"/>
    <m/>
    <n v="1"/>
  </r>
  <r>
    <x v="83"/>
    <s v="M"/>
    <n v="6"/>
    <n v="20.25"/>
    <d v="1899-12-30T03:37:26"/>
    <d v="1899-12-30T03:47:58"/>
    <d v="1899-12-30T03:42:42"/>
    <n v="1480"/>
    <d v="1899-12-30T00:11:00"/>
    <n v="4.8214285714285712"/>
    <n v="0"/>
    <n v="3"/>
    <x v="2"/>
    <n v="0.25"/>
    <n v="0.25"/>
    <n v="0.5"/>
    <n v="0.98666666666666669"/>
    <n v="0"/>
    <n v="0"/>
    <n v="0"/>
    <n v="3.6920238095238096"/>
    <s v="19.02.2023"/>
    <n v="1"/>
    <e v="#N/A"/>
    <m/>
    <n v="0"/>
  </r>
  <r>
    <x v="106"/>
    <s v="F"/>
    <n v="6"/>
    <n v="7.3"/>
    <d v="1899-12-30T00:47:52"/>
    <d v="1899-12-30T00:50:10"/>
    <d v="1899-12-30T00:49:01"/>
    <m/>
    <d v="1899-12-30T00:06:43"/>
    <n v="1.825"/>
    <n v="1.25"/>
    <n v="4"/>
    <x v="2"/>
    <n v="0.25"/>
    <n v="0.25"/>
    <n v="0.5"/>
    <n v="0"/>
    <n v="0"/>
    <n v="0"/>
    <n v="0"/>
    <n v="2.7687499999999998"/>
    <s v="19.02.2023"/>
    <n v="1"/>
    <s v="MedgidiaRunning"/>
    <m/>
    <n v="1"/>
  </r>
  <r>
    <x v="87"/>
    <s v="M"/>
    <n v="6"/>
    <n v="42.27"/>
    <d v="1899-12-30T02:35:58"/>
    <d v="1899-12-30T02:35:50"/>
    <d v="1899-12-30T02:35:54"/>
    <n v="124"/>
    <d v="1899-12-30T00:03:41"/>
    <n v="5"/>
    <n v="5"/>
    <n v="4"/>
    <x v="2"/>
    <n v="0.25"/>
    <n v="0.25"/>
    <n v="0.5"/>
    <n v="8.2666666666666666E-2"/>
    <n v="1"/>
    <n v="1.4999999999999998"/>
    <n v="0"/>
    <n v="7.0826666666666664"/>
    <s v="20.02.2023"/>
    <n v="1"/>
    <e v="#N/A"/>
    <m/>
    <n v="1"/>
  </r>
  <r>
    <x v="78"/>
    <s v="M"/>
    <n v="6"/>
    <n v="33.82"/>
    <d v="1899-12-30T06:06:27"/>
    <d v="1899-12-30T06:32:41"/>
    <d v="1899-12-30T06:19:34"/>
    <n v="331"/>
    <d v="1899-12-30T00:11:13"/>
    <n v="5"/>
    <n v="0"/>
    <n v="2.5"/>
    <x v="1"/>
    <n v="0.25"/>
    <n v="0.5"/>
    <n v="0.25"/>
    <n v="0.22066666666666668"/>
    <n v="0.6"/>
    <n v="0"/>
    <n v="0.4"/>
    <n v="3.0956666666666668"/>
    <s v="20.02.2023"/>
    <n v="1"/>
    <s v="Almost Kenyan Runners"/>
    <m/>
    <n v="0"/>
  </r>
  <r>
    <x v="64"/>
    <s v="M"/>
    <n v="6"/>
    <n v="21.1"/>
    <d v="1899-12-30T02:01:48"/>
    <d v="1899-12-30T02:22:13"/>
    <d v="1899-12-30T02:12:01"/>
    <n v="96"/>
    <d v="1899-12-30T00:06:15"/>
    <n v="5"/>
    <n v="1.25"/>
    <n v="3.25"/>
    <x v="0"/>
    <n v="0.5"/>
    <n v="0.25"/>
    <n v="0.25"/>
    <n v="6.4000000000000001E-2"/>
    <n v="0"/>
    <n v="0"/>
    <n v="0"/>
    <n v="3.6890000000000001"/>
    <s v="20.02.2023"/>
    <n v="1"/>
    <s v="The GOATs"/>
    <m/>
    <n v="1"/>
  </r>
  <r>
    <x v="72"/>
    <s v="F"/>
    <n v="6"/>
    <n v="10.09"/>
    <d v="1899-12-30T01:00:37"/>
    <d v="1899-12-30T01:00:52"/>
    <d v="1899-12-30T01:00:45"/>
    <m/>
    <d v="1899-12-30T00:06:01"/>
    <n v="2.5225"/>
    <n v="1.75"/>
    <n v="4"/>
    <x v="2"/>
    <n v="0.25"/>
    <n v="0.25"/>
    <n v="0.5"/>
    <n v="0"/>
    <n v="0"/>
    <n v="0"/>
    <n v="0"/>
    <n v="3.0681250000000002"/>
    <s v="20.02.2023"/>
    <n v="1"/>
    <e v="#N/A"/>
    <m/>
    <n v="1"/>
  </r>
  <r>
    <x v="51"/>
    <s v="F"/>
    <n v="6"/>
    <n v="14.03"/>
    <d v="1899-12-30T03:49:55"/>
    <d v="1899-12-30T03:50:23"/>
    <d v="1899-12-30T03:50:09"/>
    <n v="944"/>
    <d v="1899-12-30T00:16:24"/>
    <n v="3.5074999999999998"/>
    <n v="0"/>
    <n v="3.5"/>
    <x v="2"/>
    <n v="0.25"/>
    <n v="0.25"/>
    <n v="0.5"/>
    <n v="0.6293333333333333"/>
    <n v="0"/>
    <n v="0"/>
    <n v="0"/>
    <n v="3.2562083333333334"/>
    <s v="20.02.2023"/>
    <n v="1"/>
    <s v="#notSYRious"/>
    <m/>
    <n v="0"/>
  </r>
  <r>
    <x v="43"/>
    <s v="M"/>
    <n v="6"/>
    <n v="23.01"/>
    <d v="1899-12-30T01:58:47"/>
    <d v="1899-12-30T02:01:01"/>
    <d v="1899-12-30T01:59:54"/>
    <n v="81"/>
    <d v="1899-12-30T00:05:13"/>
    <n v="5"/>
    <n v="2.5"/>
    <n v="2.5"/>
    <x v="2"/>
    <n v="0.25"/>
    <n v="0.25"/>
    <n v="0.5"/>
    <n v="5.3999999999999999E-2"/>
    <n v="0.1"/>
    <n v="0"/>
    <n v="0"/>
    <n v="3.2789999999999999"/>
    <s v="20.02.2023"/>
    <n v="1"/>
    <s v="Almost Kenyan Runners"/>
    <m/>
    <n v="1"/>
  </r>
  <r>
    <x v="24"/>
    <s v="M"/>
    <n v="6"/>
    <n v="11.33"/>
    <d v="1899-12-30T00:53:50"/>
    <d v="1899-12-30T00:54:52"/>
    <d v="1899-12-30T00:54:21"/>
    <m/>
    <d v="1899-12-30T00:04:48"/>
    <n v="2.6976190476190474"/>
    <n v="3"/>
    <n v="1.5"/>
    <x v="0"/>
    <n v="0.5"/>
    <n v="0.25"/>
    <n v="0.25"/>
    <n v="0"/>
    <n v="0"/>
    <n v="0"/>
    <n v="0"/>
    <n v="2.4738095238095239"/>
    <s v="20.02.2023"/>
    <n v="1"/>
    <e v="#N/A"/>
    <m/>
    <n v="1"/>
  </r>
  <r>
    <x v="65"/>
    <s v="F"/>
    <n v="6"/>
    <n v="11.69"/>
    <d v="1899-12-30T01:36:57"/>
    <d v="1899-12-30T01:50:37"/>
    <d v="1899-12-30T01:43:47"/>
    <n v="414"/>
    <d v="1899-12-30T00:08:53"/>
    <n v="2.9224999999999999"/>
    <n v="0.25"/>
    <n v="1.25"/>
    <x v="2"/>
    <n v="0.25"/>
    <n v="0.25"/>
    <n v="0.5"/>
    <n v="0.27600000000000002"/>
    <n v="0"/>
    <n v="0"/>
    <n v="0"/>
    <n v="1.6941249999999999"/>
    <s v="20.02.2023"/>
    <n v="1"/>
    <e v="#N/A"/>
    <m/>
    <n v="1"/>
  </r>
  <r>
    <x v="40"/>
    <s v="M"/>
    <n v="6"/>
    <n v="18.21"/>
    <d v="1899-12-30T01:45:00"/>
    <d v="1899-12-30T01:45:03"/>
    <d v="1899-12-30T01:45:01"/>
    <n v="75"/>
    <d v="1899-12-30T00:05:46"/>
    <n v="4.3357142857142854"/>
    <n v="1.5"/>
    <n v="1.25"/>
    <x v="0"/>
    <n v="0.5"/>
    <n v="0.25"/>
    <n v="0.25"/>
    <n v="0.05"/>
    <n v="0"/>
    <n v="0"/>
    <n v="0"/>
    <n v="2.9053571428571425"/>
    <s v="20.02.2023"/>
    <n v="1"/>
    <s v="Almost Kenyan Runners"/>
    <m/>
    <n v="1"/>
  </r>
  <r>
    <x v="57"/>
    <s v="M"/>
    <n v="6"/>
    <n v="12.24"/>
    <d v="1899-12-30T00:58:35"/>
    <d v="1899-12-30T00:58:35"/>
    <d v="1899-12-30T00:58:35"/>
    <m/>
    <d v="1899-12-30T00:04:47"/>
    <n v="2.9142857142857141"/>
    <n v="3"/>
    <n v="2"/>
    <x v="1"/>
    <n v="0.25"/>
    <n v="0.5"/>
    <n v="0.25"/>
    <n v="0"/>
    <n v="0"/>
    <n v="0"/>
    <n v="0"/>
    <n v="2.7285714285714286"/>
    <s v="20.02.2023"/>
    <n v="1"/>
    <s v="The GOATs"/>
    <m/>
    <n v="1"/>
  </r>
  <r>
    <x v="103"/>
    <s v="M"/>
    <n v="6"/>
    <n v="16.98"/>
    <d v="1899-12-30T01:49:28"/>
    <d v="1899-12-30T01:49:46"/>
    <d v="1899-12-30T01:49:37"/>
    <m/>
    <d v="1899-12-30T00:06:27"/>
    <n v="4.0428571428571427"/>
    <n v="1"/>
    <n v="1.5"/>
    <x v="2"/>
    <n v="0.25"/>
    <n v="0.25"/>
    <n v="0.5"/>
    <n v="0"/>
    <n v="0"/>
    <n v="0"/>
    <n v="0"/>
    <n v="2.0107142857142857"/>
    <s v="20.02.2023"/>
    <n v="1"/>
    <e v="#N/A"/>
    <m/>
    <n v="1"/>
  </r>
  <r>
    <x v="54"/>
    <s v="F"/>
    <n v="6"/>
    <n v="8.1"/>
    <d v="1899-12-30T01:00:18"/>
    <d v="1899-12-30T01:30:04"/>
    <d v="1899-12-30T01:15:11"/>
    <m/>
    <d v="1899-12-30T00:09:17"/>
    <n v="2.0249999999999999"/>
    <n v="0"/>
    <n v="2.25"/>
    <x v="2"/>
    <n v="0.25"/>
    <n v="0.25"/>
    <n v="0.5"/>
    <n v="0"/>
    <n v="0"/>
    <n v="0"/>
    <n v="0.7"/>
    <n v="2.3312499999999998"/>
    <s v="20.02.2023"/>
    <n v="1"/>
    <s v="UltraHaita lu' Borcan"/>
    <m/>
    <n v="0"/>
  </r>
  <r>
    <x v="37"/>
    <s v="M"/>
    <n v="6"/>
    <n v="10.31"/>
    <d v="1899-12-30T00:55:18"/>
    <d v="1899-12-30T00:55:21"/>
    <d v="1899-12-30T00:55:20"/>
    <m/>
    <d v="1899-12-30T00:05:22"/>
    <n v="2.4547619047619049"/>
    <n v="2"/>
    <n v="2"/>
    <x v="2"/>
    <n v="0.25"/>
    <n v="0.25"/>
    <n v="0.5"/>
    <n v="0"/>
    <n v="0"/>
    <n v="0"/>
    <n v="0"/>
    <n v="2.1136904761904765"/>
    <s v="20.02.2023"/>
    <n v="1"/>
    <e v="#N/A"/>
    <m/>
    <n v="1"/>
  </r>
  <r>
    <x v="104"/>
    <s v="F"/>
    <n v="6"/>
    <n v="5.0199999999999996"/>
    <d v="1899-12-30T00:52:50"/>
    <d v="1899-12-30T00:59:55"/>
    <d v="1899-12-30T00:56:23"/>
    <m/>
    <d v="1899-12-30T00:11:14"/>
    <n v="1.2549999999999999"/>
    <n v="0"/>
    <n v="2"/>
    <x v="2"/>
    <n v="0.25"/>
    <n v="0.25"/>
    <n v="0.5"/>
    <n v="0"/>
    <n v="0"/>
    <n v="0"/>
    <n v="0.7"/>
    <n v="2.0137499999999999"/>
    <s v="20.02.2023"/>
    <n v="1"/>
    <e v="#N/A"/>
    <m/>
    <n v="0"/>
  </r>
  <r>
    <x v="114"/>
    <s v="M"/>
    <n v="6"/>
    <n v="27.19"/>
    <d v="1899-12-30T02:44:45"/>
    <d v="1899-12-30T02:46:21"/>
    <d v="1899-12-30T02:45:33"/>
    <m/>
    <d v="1899-12-30T00:06:05"/>
    <n v="5"/>
    <n v="1.25"/>
    <n v="0.5"/>
    <x v="2"/>
    <n v="0.25"/>
    <n v="0.25"/>
    <n v="0.5"/>
    <n v="0"/>
    <n v="0.3"/>
    <n v="0"/>
    <n v="0"/>
    <n v="2.1124999999999998"/>
    <s v="20.02.2023"/>
    <n v="1"/>
    <e v="#N/A"/>
    <m/>
    <n v="1"/>
  </r>
  <r>
    <x v="100"/>
    <s v="M"/>
    <n v="6"/>
    <n v="21.11"/>
    <d v="1899-12-30T02:24:15"/>
    <d v="1899-12-30T02:25:56"/>
    <d v="1899-12-30T02:25:06"/>
    <m/>
    <d v="1899-12-30T00:06:52"/>
    <n v="5"/>
    <n v="0.5"/>
    <n v="2"/>
    <x v="0"/>
    <n v="0.5"/>
    <n v="0.25"/>
    <n v="0.25"/>
    <n v="0"/>
    <n v="0"/>
    <n v="0"/>
    <n v="0"/>
    <n v="3.125"/>
    <s v="20.02.2023"/>
    <n v="1"/>
    <e v="#N/A"/>
    <m/>
    <n v="1"/>
  </r>
  <r>
    <x v="32"/>
    <s v="M"/>
    <n v="6"/>
    <n v="28.01"/>
    <d v="1899-12-30T02:21:44"/>
    <d v="1899-12-30T02:22:07"/>
    <d v="1899-12-30T02:21:55"/>
    <m/>
    <d v="1899-12-30T00:05:04"/>
    <n v="5"/>
    <n v="2.5"/>
    <n v="2"/>
    <x v="0"/>
    <n v="0.5"/>
    <n v="0.25"/>
    <n v="0.25"/>
    <n v="0"/>
    <n v="0.3"/>
    <n v="0"/>
    <n v="0"/>
    <n v="3.9249999999999998"/>
    <s v="20.02.2023"/>
    <n v="1"/>
    <e v="#N/A"/>
    <m/>
    <n v="1"/>
  </r>
  <r>
    <x v="4"/>
    <s v="M"/>
    <n v="6"/>
    <n v="42.25"/>
    <d v="1899-12-30T03:27:39"/>
    <d v="1899-12-30T03:27:54"/>
    <d v="1899-12-30T03:27:47"/>
    <m/>
    <d v="1899-12-30T00:04:55"/>
    <n v="5"/>
    <n v="3"/>
    <n v="1"/>
    <x v="0"/>
    <n v="0.5"/>
    <n v="0.25"/>
    <n v="0.25"/>
    <n v="0"/>
    <n v="1"/>
    <n v="0"/>
    <n v="0.4"/>
    <n v="4.9000000000000004"/>
    <s v="20.02.2023"/>
    <n v="1"/>
    <s v="UltraHaita lu' Borcan"/>
    <m/>
    <n v="1"/>
  </r>
  <r>
    <x v="49"/>
    <s v="M"/>
    <n v="6"/>
    <n v="0"/>
    <d v="1899-12-30T00:00:00"/>
    <d v="1899-12-30T00:00:00"/>
    <d v="1899-12-30T00:00:00"/>
    <m/>
    <d v="1899-12-30T00:00:00"/>
    <n v="0"/>
    <n v="0"/>
    <n v="0"/>
    <x v="3"/>
    <n v="0.25"/>
    <n v="0.25"/>
    <n v="0.25"/>
    <n v="0"/>
    <n v="0"/>
    <n v="0"/>
    <n v="0"/>
    <n v="1.5"/>
    <s v="20.02.2023"/>
    <n v="1"/>
    <s v="The GOATs"/>
    <m/>
    <n v="0"/>
  </r>
  <r>
    <x v="81"/>
    <s v="M"/>
    <n v="6"/>
    <n v="20.399999999999999"/>
    <d v="1899-12-30T01:30:37"/>
    <d v="1899-12-30T01:30:37"/>
    <d v="1899-12-30T01:30:37"/>
    <n v="45"/>
    <d v="1899-12-30T00:04:27"/>
    <n v="4.8571428571428568"/>
    <n v="4"/>
    <n v="2"/>
    <x v="2"/>
    <n v="0.25"/>
    <n v="0.25"/>
    <n v="0.5"/>
    <n v="0"/>
    <n v="0"/>
    <n v="0"/>
    <n v="0"/>
    <n v="3.2142857142857144"/>
    <s v="20.02.2023"/>
    <n v="1"/>
    <e v="#N/A"/>
    <m/>
    <n v="1"/>
  </r>
  <r>
    <x v="105"/>
    <s v="M"/>
    <n v="6"/>
    <n v="14.01"/>
    <d v="1899-12-30T00:57:12"/>
    <d v="1899-12-30T00:58:11"/>
    <d v="1899-12-30T00:57:42"/>
    <n v="57"/>
    <d v="1899-12-30T00:04:07"/>
    <n v="3.3357142857142854"/>
    <n v="4.5"/>
    <n v="0.5"/>
    <x v="0"/>
    <n v="0.5"/>
    <n v="0.25"/>
    <n v="0.25"/>
    <n v="3.7999999999999999E-2"/>
    <n v="0"/>
    <n v="0"/>
    <n v="0"/>
    <n v="2.9558571428571425"/>
    <s v="20.02.2023"/>
    <n v="1"/>
    <s v="The GOATs"/>
    <m/>
    <n v="1"/>
  </r>
  <r>
    <x v="96"/>
    <s v="F"/>
    <n v="6"/>
    <n v="8.4"/>
    <d v="1899-12-30T00:47:06"/>
    <d v="1899-12-30T00:48:54"/>
    <d v="1899-12-30T00:48:00"/>
    <m/>
    <d v="1899-12-30T00:05:43"/>
    <n v="2.1"/>
    <n v="2.5"/>
    <n v="2.75"/>
    <x v="1"/>
    <n v="0.25"/>
    <n v="0.5"/>
    <n v="0.25"/>
    <n v="0"/>
    <n v="0"/>
    <n v="0"/>
    <n v="0"/>
    <n v="2.4624999999999999"/>
    <s v="20.02.2023"/>
    <n v="1"/>
    <e v="#N/A"/>
    <m/>
    <n v="1"/>
  </r>
  <r>
    <x v="30"/>
    <s v="M"/>
    <n v="6"/>
    <n v="25.16"/>
    <d v="1899-12-30T02:37:14"/>
    <d v="1899-12-30T02:37:37"/>
    <d v="1899-12-30T02:37:25"/>
    <n v="1086"/>
    <d v="1899-12-30T00:06:15"/>
    <n v="5"/>
    <n v="1.25"/>
    <n v="4"/>
    <x v="2"/>
    <n v="0.25"/>
    <n v="0.25"/>
    <n v="0.5"/>
    <n v="0.72399999999999998"/>
    <n v="0.2"/>
    <n v="0"/>
    <n v="0"/>
    <n v="4.4865000000000004"/>
    <s v="21.02.2023"/>
    <n v="1"/>
    <s v="The GOATs"/>
    <m/>
    <n v="1"/>
  </r>
  <r>
    <x v="41"/>
    <s v="M"/>
    <n v="6"/>
    <n v="22.06"/>
    <d v="1899-12-30T01:33:46"/>
    <d v="1899-12-30T01:34:06"/>
    <d v="1899-12-30T01:33:56"/>
    <n v="75"/>
    <d v="1899-12-30T00:04:15"/>
    <n v="5"/>
    <n v="4.5"/>
    <n v="3.25"/>
    <x v="1"/>
    <n v="0.25"/>
    <n v="0.5"/>
    <n v="0.25"/>
    <n v="0.05"/>
    <n v="0"/>
    <n v="0"/>
    <n v="0"/>
    <n v="4.3624999999999998"/>
    <s v="21.02.2023"/>
    <n v="1"/>
    <s v="UltraHaita lu' Borcan"/>
    <m/>
    <n v="1"/>
  </r>
  <r>
    <x v="2"/>
    <s v="F"/>
    <n v="6"/>
    <n v="7.57"/>
    <d v="1899-12-30T00:48:44"/>
    <d v="1899-12-30T00:50:23"/>
    <d v="1899-12-30T00:49:34"/>
    <m/>
    <d v="1899-12-30T00:06:33"/>
    <n v="1.8925000000000001"/>
    <n v="1.25"/>
    <n v="3.75"/>
    <x v="2"/>
    <n v="0.25"/>
    <n v="0.25"/>
    <n v="0.5"/>
    <n v="0"/>
    <n v="0"/>
    <n v="0"/>
    <n v="0"/>
    <n v="2.660625"/>
    <s v="21.02.2023"/>
    <n v="1"/>
    <s v="MedgidiaRunning"/>
    <m/>
    <n v="1"/>
  </r>
  <r>
    <x v="85"/>
    <s v="M"/>
    <n v="6"/>
    <n v="21.06"/>
    <d v="1899-12-30T02:01:47"/>
    <d v="1899-12-30T02:18:14"/>
    <d v="1899-12-30T02:10:00"/>
    <n v="67"/>
    <d v="1899-12-30T00:06:10"/>
    <n v="5"/>
    <n v="1.25"/>
    <n v="4.25"/>
    <x v="0"/>
    <n v="0.5"/>
    <n v="0.25"/>
    <n v="0.25"/>
    <n v="4.4666666666666667E-2"/>
    <n v="0"/>
    <n v="0"/>
    <n v="0"/>
    <n v="3.9196666666666666"/>
    <s v="21.02.2023"/>
    <n v="1"/>
    <s v="The GOATs"/>
    <m/>
    <n v="1"/>
  </r>
  <r>
    <x v="46"/>
    <s v="M"/>
    <n v="6"/>
    <n v="16.739999999999998"/>
    <d v="1899-12-30T01:56:01"/>
    <d v="1899-12-30T02:39:46"/>
    <d v="1899-12-30T02:17:53"/>
    <n v="308"/>
    <d v="1899-12-30T00:08:14"/>
    <n v="3.9857142857142853"/>
    <n v="0"/>
    <n v="4"/>
    <x v="2"/>
    <n v="0.25"/>
    <n v="0.25"/>
    <n v="0.5"/>
    <n v="0.20533333333333334"/>
    <n v="0"/>
    <n v="0"/>
    <n v="0"/>
    <n v="3.2017619047619048"/>
    <s v="21.02.2023"/>
    <n v="1"/>
    <s v="#notSYRious"/>
    <m/>
    <n v="0"/>
  </r>
  <r>
    <x v="80"/>
    <s v="M"/>
    <n v="6"/>
    <n v="7.07"/>
    <d v="1899-12-30T00:30:49"/>
    <d v="1899-12-30T00:30:49"/>
    <d v="1899-12-30T00:30:49"/>
    <m/>
    <d v="1899-12-30T00:04:22"/>
    <n v="1.6833333333333333"/>
    <n v="4"/>
    <n v="2.5"/>
    <x v="1"/>
    <n v="0.25"/>
    <n v="0.5"/>
    <n v="0.25"/>
    <n v="0"/>
    <n v="0"/>
    <n v="0"/>
    <n v="0"/>
    <n v="3.0458333333333334"/>
    <s v="21.02.2023"/>
    <n v="1"/>
    <s v="Almost Kenyan Runners"/>
    <m/>
    <n v="1"/>
  </r>
  <r>
    <x v="75"/>
    <s v="F"/>
    <n v="6"/>
    <n v="10"/>
    <d v="1899-12-30T00:55:57"/>
    <d v="1899-12-30T01:00:15"/>
    <d v="1899-12-30T00:58:06"/>
    <n v="63"/>
    <d v="1899-12-30T00:05:49"/>
    <n v="2.5"/>
    <n v="2"/>
    <n v="3.25"/>
    <x v="2"/>
    <n v="0.25"/>
    <n v="0.25"/>
    <n v="0.5"/>
    <n v="4.2000000000000003E-2"/>
    <n v="0"/>
    <n v="0"/>
    <n v="0"/>
    <n v="2.7919999999999998"/>
    <s v="21.02.2023"/>
    <n v="1"/>
    <s v="#notSYRious"/>
    <m/>
    <n v="1"/>
  </r>
  <r>
    <x v="39"/>
    <s v="M"/>
    <n v="6"/>
    <n v="12.99"/>
    <d v="1899-12-30T01:45:29"/>
    <d v="1899-12-30T01:45:57"/>
    <d v="1899-12-30T01:45:43"/>
    <m/>
    <d v="1899-12-30T00:08:08"/>
    <n v="3.092857142857143"/>
    <n v="0"/>
    <n v="1.5"/>
    <x v="0"/>
    <n v="0.5"/>
    <n v="0.25"/>
    <n v="0.25"/>
    <n v="0"/>
    <n v="0"/>
    <n v="0"/>
    <n v="0"/>
    <n v="1.9214285714285715"/>
    <s v="21.02.2023"/>
    <n v="1"/>
    <s v="#notSYRious"/>
    <m/>
    <n v="0"/>
  </r>
  <r>
    <x v="108"/>
    <s v="M"/>
    <n v="6"/>
    <n v="19.46"/>
    <d v="1899-12-30T02:58:08"/>
    <d v="1899-12-30T03:18:58"/>
    <d v="1899-12-30T03:08:33"/>
    <n v="652"/>
    <d v="1899-12-30T00:09:41"/>
    <n v="4.6333333333333337"/>
    <n v="0"/>
    <n v="1.75"/>
    <x v="2"/>
    <n v="0.25"/>
    <n v="0.25"/>
    <n v="0.5"/>
    <n v="0.43466666666666665"/>
    <n v="0"/>
    <n v="0"/>
    <n v="0"/>
    <n v="2.468"/>
    <s v="21.02.2023"/>
    <n v="1"/>
    <e v="#N/A"/>
    <m/>
    <n v="0"/>
  </r>
  <r>
    <x v="28"/>
    <s v="M"/>
    <n v="7"/>
    <n v="22.15"/>
    <d v="1899-12-30T02:01:32"/>
    <d v="1899-12-30T02:05:17"/>
    <d v="1899-12-30T02:03:25"/>
    <m/>
    <d v="1899-12-30T00:05:34"/>
    <n v="5"/>
    <n v="1.75"/>
    <n v="2.75"/>
    <x v="0"/>
    <n v="0.5"/>
    <n v="0.25"/>
    <n v="0.25"/>
    <n v="0"/>
    <n v="0"/>
    <n v="0"/>
    <n v="0"/>
    <n v="3.625"/>
    <s v="22.02.2023"/>
    <n v="1"/>
    <s v="UltraHaita lu' Borcan"/>
    <m/>
    <n v="1"/>
  </r>
  <r>
    <x v="22"/>
    <s v="F"/>
    <n v="7"/>
    <n v="10.06"/>
    <d v="1899-12-30T00:59:48"/>
    <d v="1899-12-30T01:02:01"/>
    <d v="1899-12-30T01:00:55"/>
    <m/>
    <d v="1899-12-30T00:06:03"/>
    <n v="2.5150000000000001"/>
    <n v="1.75"/>
    <n v="3"/>
    <x v="1"/>
    <n v="0.25"/>
    <n v="0.5"/>
    <n v="0.25"/>
    <n v="0"/>
    <n v="0"/>
    <n v="0"/>
    <n v="0"/>
    <n v="2.2537500000000001"/>
    <s v="22.02.2023"/>
    <n v="1"/>
    <s v="MedgidiaRunning"/>
    <m/>
    <n v="1"/>
  </r>
  <r>
    <x v="18"/>
    <s v="M"/>
    <n v="7"/>
    <n v="12.8"/>
    <d v="1899-12-30T01:15:47"/>
    <d v="1899-12-30T01:25:24"/>
    <d v="1899-12-30T01:20:35"/>
    <n v="77"/>
    <d v="1899-12-30T00:06:18"/>
    <n v="3.0476190476190474"/>
    <n v="1"/>
    <n v="2.5"/>
    <x v="2"/>
    <n v="0.25"/>
    <n v="0.25"/>
    <n v="0.5"/>
    <n v="5.1333333333333335E-2"/>
    <n v="0"/>
    <n v="0"/>
    <n v="0"/>
    <n v="2.3132380952380953"/>
    <s v="22.02.2023"/>
    <n v="1"/>
    <s v="UltraHaita lu' Borcan"/>
    <m/>
    <n v="1"/>
  </r>
  <r>
    <x v="0"/>
    <s v="M"/>
    <n v="7"/>
    <n v="25.15"/>
    <d v="1899-12-30T02:23:39"/>
    <d v="1899-12-30T02:24:15"/>
    <d v="1899-12-30T02:23:57"/>
    <m/>
    <d v="1899-12-30T00:05:43"/>
    <n v="5"/>
    <n v="1.75"/>
    <n v="2"/>
    <x v="0"/>
    <n v="0.5"/>
    <n v="0.25"/>
    <n v="0.25"/>
    <n v="0"/>
    <n v="0.2"/>
    <n v="0"/>
    <n v="0"/>
    <n v="3.6375000000000002"/>
    <s v="22.02.2023"/>
    <n v="1"/>
    <s v="UltraHaita lu' Borcan"/>
    <m/>
    <n v="1"/>
  </r>
  <r>
    <x v="13"/>
    <s v="M"/>
    <n v="7"/>
    <n v="8.9"/>
    <d v="1899-12-30T01:13:46"/>
    <d v="1899-12-30T01:16:57"/>
    <d v="1899-12-30T01:15:22"/>
    <n v="151"/>
    <d v="1899-12-30T00:08:28"/>
    <n v="2.1190476190476191"/>
    <n v="0"/>
    <n v="2.5"/>
    <x v="0"/>
    <n v="0.5"/>
    <n v="0.25"/>
    <n v="0.25"/>
    <n v="0.10066666666666667"/>
    <n v="0"/>
    <n v="0"/>
    <n v="0"/>
    <n v="1.7851904761904762"/>
    <s v="22.02.2023"/>
    <n v="1"/>
    <s v="MedgidiaRunning"/>
    <m/>
    <n v="0"/>
  </r>
  <r>
    <x v="42"/>
    <s v="M"/>
    <n v="7"/>
    <n v="11.02"/>
    <d v="1899-12-30T00:54:13"/>
    <d v="1899-12-30T00:54:13"/>
    <d v="1899-12-30T00:54:13"/>
    <m/>
    <d v="1899-12-30T00:04:55"/>
    <n v="2.6238095238095238"/>
    <n v="3"/>
    <n v="4"/>
    <x v="2"/>
    <n v="0.25"/>
    <n v="0.25"/>
    <n v="0.5"/>
    <n v="0"/>
    <n v="0"/>
    <n v="0"/>
    <n v="0"/>
    <n v="3.4059523809523808"/>
    <s v="23.02.2023"/>
    <n v="1"/>
    <s v="The GOATs"/>
    <m/>
    <n v="1"/>
  </r>
  <r>
    <x v="109"/>
    <s v="M"/>
    <n v="7"/>
    <n v="22.02"/>
    <d v="1899-12-30T02:31:08"/>
    <d v="1899-12-30T03:15:00"/>
    <d v="1899-12-30T02:53:04"/>
    <n v="807"/>
    <d v="1899-12-30T00:07:52"/>
    <n v="5"/>
    <n v="0.25"/>
    <n v="2.5"/>
    <x v="0"/>
    <n v="0.5"/>
    <n v="0.25"/>
    <n v="0.25"/>
    <n v="0.53800000000000003"/>
    <n v="0"/>
    <n v="0"/>
    <n v="0"/>
    <n v="3.7255000000000003"/>
    <s v="23.02.2023"/>
    <n v="1"/>
    <e v="#N/A"/>
    <m/>
    <n v="1"/>
  </r>
  <r>
    <x v="99"/>
    <s v="F"/>
    <n v="7"/>
    <n v="9.4700000000000006"/>
    <d v="1899-12-30T00:54:27"/>
    <d v="1899-12-30T00:54:30"/>
    <d v="1899-12-30T00:54:29"/>
    <m/>
    <d v="1899-12-30T00:05:45"/>
    <n v="2.3675000000000002"/>
    <n v="2.5"/>
    <n v="2.25"/>
    <x v="0"/>
    <n v="0.5"/>
    <n v="0.25"/>
    <n v="0.25"/>
    <n v="0"/>
    <n v="0"/>
    <n v="0"/>
    <n v="0"/>
    <n v="2.3712499999999999"/>
    <s v="23.02.2023"/>
    <n v="1"/>
    <s v="#notSYRious"/>
    <m/>
    <n v="1"/>
  </r>
  <r>
    <x v="21"/>
    <s v="M"/>
    <n v="7"/>
    <n v="11.75"/>
    <d v="1899-12-30T01:09:00"/>
    <d v="1899-12-30T01:15:35"/>
    <d v="1899-12-30T01:12:18"/>
    <n v="172"/>
    <d v="1899-12-30T00:06:09"/>
    <n v="2.7976190476190474"/>
    <n v="1.25"/>
    <n v="1.75"/>
    <x v="1"/>
    <n v="0.25"/>
    <n v="0.5"/>
    <n v="0.25"/>
    <n v="0.11466666666666667"/>
    <n v="0"/>
    <n v="0"/>
    <n v="0.4"/>
    <n v="2.2765714285714287"/>
    <s v="23.02.2023"/>
    <n v="1"/>
    <s v="#notSYRious"/>
    <m/>
    <n v="1"/>
  </r>
  <r>
    <x v="27"/>
    <s v="M"/>
    <n v="7"/>
    <n v="25.67"/>
    <d v="1899-12-30T03:09:22"/>
    <d v="1899-12-30T03:44:50"/>
    <d v="1899-12-30T03:27:06"/>
    <n v="1280"/>
    <d v="1899-12-30T00:08:04"/>
    <n v="5"/>
    <n v="0"/>
    <n v="4"/>
    <x v="0"/>
    <n v="0.5"/>
    <n v="0.25"/>
    <n v="0.25"/>
    <n v="0.85333333333333339"/>
    <n v="0.2"/>
    <n v="0"/>
    <n v="0"/>
    <n v="4.5533333333333337"/>
    <s v="23.02.2023"/>
    <n v="1"/>
    <s v="#notSYRious"/>
    <m/>
    <n v="0"/>
  </r>
  <r>
    <x v="37"/>
    <s v="M"/>
    <n v="7"/>
    <n v="25.01"/>
    <d v="1899-12-30T02:07:25"/>
    <d v="1899-12-30T02:08:32"/>
    <d v="1899-12-30T02:07:58"/>
    <n v="120"/>
    <d v="1899-12-30T00:05:07"/>
    <n v="5"/>
    <n v="2.5"/>
    <n v="1"/>
    <x v="0"/>
    <n v="0.5"/>
    <n v="0.25"/>
    <n v="0.25"/>
    <n v="0.08"/>
    <n v="0.2"/>
    <n v="0"/>
    <n v="0"/>
    <n v="3.6550000000000002"/>
    <s v="23.02.2023"/>
    <n v="1"/>
    <e v="#N/A"/>
    <m/>
    <n v="1"/>
  </r>
  <r>
    <x v="24"/>
    <s v="M"/>
    <n v="7"/>
    <n v="12.51"/>
    <d v="1899-12-30T01:08:29"/>
    <d v="1899-12-30T01:17:12"/>
    <d v="1899-12-30T01:12:51"/>
    <m/>
    <d v="1899-12-30T00:05:49"/>
    <n v="2.9785714285714282"/>
    <n v="1.5"/>
    <n v="1.5"/>
    <x v="0"/>
    <n v="0.5"/>
    <n v="0.25"/>
    <n v="0.25"/>
    <n v="0"/>
    <n v="0"/>
    <n v="0"/>
    <n v="0"/>
    <n v="2.2392857142857139"/>
    <s v="23.02.2023"/>
    <n v="1"/>
    <e v="#N/A"/>
    <m/>
    <n v="1"/>
  </r>
  <r>
    <x v="112"/>
    <s v="M"/>
    <n v="7"/>
    <n v="10.11"/>
    <d v="1899-12-30T00:52:44"/>
    <d v="1899-12-30T00:53:03"/>
    <d v="1899-12-30T00:52:54"/>
    <n v="64"/>
    <d v="1899-12-30T00:05:14"/>
    <n v="2.407142857142857"/>
    <n v="2.5"/>
    <n v="2.25"/>
    <x v="0"/>
    <n v="0.5"/>
    <n v="0.25"/>
    <n v="0.25"/>
    <n v="4.2666666666666665E-2"/>
    <n v="0"/>
    <n v="0"/>
    <n v="0"/>
    <n v="2.4337380952380951"/>
    <s v="23.02.2023"/>
    <n v="1"/>
    <e v="#N/A"/>
    <m/>
    <n v="1"/>
  </r>
  <r>
    <x v="32"/>
    <s v="M"/>
    <n v="7"/>
    <n v="35.020000000000003"/>
    <d v="1899-12-30T03:00:55"/>
    <d v="1899-12-30T03:01:51"/>
    <d v="1899-12-30T03:01:23"/>
    <n v="106"/>
    <d v="1899-12-30T00:05:11"/>
    <n v="5"/>
    <n v="2.5"/>
    <n v="2.75"/>
    <x v="0"/>
    <n v="0.5"/>
    <n v="0.25"/>
    <n v="0.25"/>
    <n v="7.0666666666666669E-2"/>
    <n v="0.7"/>
    <n v="0"/>
    <n v="0"/>
    <n v="4.5831666666666671"/>
    <s v="25.02.2023"/>
    <n v="1"/>
    <e v="#N/A"/>
    <m/>
    <n v="1"/>
  </r>
  <r>
    <x v="64"/>
    <s v="M"/>
    <n v="7"/>
    <n v="3.06"/>
    <d v="1899-12-30T00:11:39"/>
    <d v="1899-12-30T00:11:39"/>
    <d v="1899-12-30T00:11:39"/>
    <m/>
    <d v="1899-12-30T00:03:48"/>
    <n v="0.72857142857142854"/>
    <n v="5"/>
    <n v="3"/>
    <x v="1"/>
    <n v="0.25"/>
    <n v="0.5"/>
    <n v="0.25"/>
    <n v="0"/>
    <n v="0"/>
    <n v="0.89999999999999991"/>
    <n v="0"/>
    <n v="4.3321428571428573"/>
    <s v="25.02.2023"/>
    <n v="1"/>
    <s v="The GOATs"/>
    <m/>
    <n v="1"/>
  </r>
  <r>
    <x v="113"/>
    <s v="M"/>
    <n v="7"/>
    <n v="12"/>
    <d v="1899-12-30T00:59:51"/>
    <d v="1899-12-30T00:59:51"/>
    <d v="1899-12-30T00:59:51"/>
    <m/>
    <d v="1899-12-30T00:04:59"/>
    <n v="2.8571428571428572"/>
    <n v="3"/>
    <n v="1.25"/>
    <x v="0"/>
    <n v="0.5"/>
    <n v="0.25"/>
    <n v="0.25"/>
    <n v="0"/>
    <n v="0"/>
    <n v="0"/>
    <n v="0"/>
    <n v="2.4910714285714288"/>
    <s v="25.02.2023"/>
    <n v="1"/>
    <e v="#N/A"/>
    <m/>
    <n v="1"/>
  </r>
  <r>
    <x v="7"/>
    <s v="M"/>
    <n v="7"/>
    <n v="40.58"/>
    <d v="1899-12-30T03:56:53"/>
    <d v="1899-12-30T04:06:02"/>
    <d v="1899-12-30T04:01:28"/>
    <n v="306"/>
    <d v="1899-12-30T00:05:57"/>
    <n v="5"/>
    <n v="1.5"/>
    <n v="2.5"/>
    <x v="0"/>
    <n v="0.5"/>
    <n v="0.25"/>
    <n v="0.25"/>
    <n v="0.20399999999999999"/>
    <n v="0.9"/>
    <n v="0"/>
    <n v="0"/>
    <n v="4.6040000000000001"/>
    <s v="25.02.2023"/>
    <n v="1"/>
    <s v="MedgidiaRunning"/>
    <m/>
    <n v="1"/>
  </r>
  <r>
    <x v="70"/>
    <s v="F"/>
    <n v="7"/>
    <n v="15.01"/>
    <d v="1899-12-30T01:35:17"/>
    <d v="1899-12-30T01:43:17"/>
    <d v="1899-12-30T01:39:17"/>
    <n v="163"/>
    <d v="1899-12-30T00:06:37"/>
    <n v="3.7524999999999999"/>
    <n v="1.25"/>
    <n v="2.75"/>
    <x v="0"/>
    <n v="0.5"/>
    <n v="0.25"/>
    <n v="0.25"/>
    <n v="0.10866666666666666"/>
    <n v="0"/>
    <n v="0"/>
    <n v="0"/>
    <n v="2.9849166666666664"/>
    <s v="25.02.2023"/>
    <n v="1"/>
    <e v="#N/A"/>
    <m/>
    <n v="1"/>
  </r>
  <r>
    <x v="115"/>
    <s v="M"/>
    <n v="7"/>
    <n v="10.130000000000001"/>
    <d v="1899-12-30T01:05:56"/>
    <d v="1899-12-30T01:05:56"/>
    <d v="1899-12-30T01:05:56"/>
    <m/>
    <d v="1899-12-30T00:06:31"/>
    <n v="2.4119047619047618"/>
    <n v="1"/>
    <n v="0.5"/>
    <x v="0"/>
    <n v="0.5"/>
    <n v="0.25"/>
    <n v="0.25"/>
    <n v="0"/>
    <n v="0"/>
    <n v="0"/>
    <n v="0"/>
    <n v="1.5809523809523809"/>
    <s v="25.02.2023"/>
    <n v="1"/>
    <e v="#N/A"/>
    <m/>
    <n v="1"/>
  </r>
  <r>
    <x v="34"/>
    <s v="M"/>
    <n v="7"/>
    <n v="17.12"/>
    <d v="1899-12-30T01:57:38"/>
    <d v="1899-12-30T02:03:31"/>
    <d v="1899-12-30T02:00:34"/>
    <n v="468"/>
    <d v="1899-12-30T00:07:03"/>
    <n v="4.0761904761904759"/>
    <n v="0.25"/>
    <n v="2"/>
    <x v="0"/>
    <n v="0.5"/>
    <n v="0.25"/>
    <n v="0.25"/>
    <n v="0.312"/>
    <n v="0"/>
    <n v="0"/>
    <n v="0"/>
    <n v="2.9125952380952378"/>
    <s v="25.02.2023"/>
    <n v="1"/>
    <e v="#N/A"/>
    <m/>
    <n v="1"/>
  </r>
  <r>
    <x v="51"/>
    <s v="F"/>
    <n v="7"/>
    <n v="0"/>
    <d v="1899-12-30T00:00:00"/>
    <d v="1899-12-30T00:00:00"/>
    <d v="1899-12-30T00:00:00"/>
    <m/>
    <d v="1899-12-30T00:00:00"/>
    <n v="0"/>
    <n v="0"/>
    <n v="0"/>
    <x v="3"/>
    <n v="0.25"/>
    <n v="0.25"/>
    <n v="0.25"/>
    <n v="0"/>
    <n v="0"/>
    <n v="0"/>
    <n v="0"/>
    <n v="1.5"/>
    <s v="26.02.2023"/>
    <n v="1"/>
    <s v="#notSYRious"/>
    <m/>
    <n v="0"/>
  </r>
  <r>
    <x v="98"/>
    <s v="F"/>
    <n v="7"/>
    <n v="21.13"/>
    <d v="1899-12-30T02:00:13"/>
    <d v="1899-12-30T02:00:13"/>
    <d v="1899-12-30T02:00:13"/>
    <n v="63"/>
    <d v="1899-12-30T00:05:41"/>
    <n v="5"/>
    <n v="2.5"/>
    <n v="2.25"/>
    <x v="0"/>
    <n v="0.5"/>
    <n v="0.25"/>
    <n v="0.25"/>
    <n v="4.2000000000000003E-2"/>
    <n v="0"/>
    <n v="0"/>
    <n v="0"/>
    <n v="3.7294999999999998"/>
    <s v="26.02.2023"/>
    <n v="1"/>
    <s v="#notSYRious"/>
    <m/>
    <n v="1"/>
  </r>
  <r>
    <x v="14"/>
    <s v="F"/>
    <n v="7"/>
    <n v="14.01"/>
    <d v="1899-12-30T01:13:36"/>
    <d v="1899-12-30T01:14:52"/>
    <d v="1899-12-30T01:14:14"/>
    <n v="102"/>
    <d v="1899-12-30T00:05:18"/>
    <n v="3.5024999999999999"/>
    <n v="3"/>
    <n v="2.25"/>
    <x v="0"/>
    <n v="0.5"/>
    <n v="0.25"/>
    <n v="0.25"/>
    <n v="6.8000000000000005E-2"/>
    <n v="0"/>
    <n v="0"/>
    <n v="0"/>
    <n v="3.1317499999999998"/>
    <s v="26.02.2023"/>
    <n v="1"/>
    <s v="MedgidiaRunning"/>
    <m/>
    <n v="1"/>
  </r>
  <r>
    <x v="111"/>
    <s v="F"/>
    <n v="7"/>
    <n v="13.63"/>
    <d v="1899-12-30T02:43:10"/>
    <d v="1899-12-30T02:43:10"/>
    <d v="1899-12-30T02:43:10"/>
    <n v="691"/>
    <d v="1899-12-30T00:11:58"/>
    <n v="3.4075000000000002"/>
    <n v="0"/>
    <n v="3.5"/>
    <x v="0"/>
    <n v="0.5"/>
    <n v="0.25"/>
    <n v="0.25"/>
    <n v="0.46066666666666667"/>
    <n v="0"/>
    <n v="0"/>
    <n v="0.4"/>
    <n v="3.4394166666666668"/>
    <s v="26.02.2023"/>
    <n v="1"/>
    <e v="#N/A"/>
    <m/>
    <n v="0"/>
  </r>
  <r>
    <x v="15"/>
    <s v="F"/>
    <n v="7"/>
    <n v="20.04"/>
    <d v="1899-12-30T01:59:50"/>
    <d v="1899-12-30T01:59:50"/>
    <d v="1899-12-30T01:59:50"/>
    <n v="55"/>
    <d v="1899-12-30T00:05:59"/>
    <n v="5"/>
    <n v="2"/>
    <n v="3.75"/>
    <x v="0"/>
    <n v="0.5"/>
    <n v="0.25"/>
    <n v="0.25"/>
    <n v="3.6666666666666667E-2"/>
    <n v="0"/>
    <n v="0"/>
    <n v="0"/>
    <n v="3.9741666666666666"/>
    <s v="26.02.2023"/>
    <n v="1"/>
    <e v="#N/A"/>
    <m/>
    <n v="1"/>
  </r>
  <r>
    <x v="16"/>
    <s v="F"/>
    <n v="7"/>
    <n v="10"/>
    <d v="1899-12-30T00:54:24"/>
    <d v="1899-12-30T00:54:48"/>
    <d v="1899-12-30T00:54:36"/>
    <m/>
    <d v="1899-12-30T00:05:28"/>
    <n v="2.5"/>
    <n v="3"/>
    <n v="1.5"/>
    <x v="0"/>
    <n v="0.5"/>
    <n v="0.25"/>
    <n v="0.25"/>
    <n v="0"/>
    <n v="0"/>
    <n v="0"/>
    <n v="0"/>
    <n v="2.375"/>
    <s v="26.02.2023"/>
    <n v="1"/>
    <s v="MedgidiaRunning"/>
    <m/>
    <n v="1"/>
  </r>
  <r>
    <x v="100"/>
    <s v="M"/>
    <n v="7"/>
    <n v="21.14"/>
    <d v="1899-12-30T02:09:05"/>
    <d v="1899-12-30T02:10:13"/>
    <d v="1899-12-30T02:09:39"/>
    <m/>
    <d v="1899-12-30T00:06:08"/>
    <n v="5"/>
    <n v="1.25"/>
    <n v="2"/>
    <x v="0"/>
    <n v="0.5"/>
    <n v="0.25"/>
    <n v="0.25"/>
    <n v="0"/>
    <n v="0"/>
    <n v="0"/>
    <n v="0"/>
    <n v="3.3125"/>
    <s v="26.02.2023"/>
    <n v="1"/>
    <e v="#N/A"/>
    <m/>
    <n v="1"/>
  </r>
  <r>
    <x v="19"/>
    <s v="M"/>
    <n v="7"/>
    <n v="22.03"/>
    <d v="1899-12-30T01:43:24"/>
    <d v="1899-12-30T01:59:58"/>
    <d v="1899-12-30T01:51:41"/>
    <m/>
    <d v="1899-12-30T00:05:04"/>
    <n v="5"/>
    <n v="2.5"/>
    <n v="1"/>
    <x v="0"/>
    <n v="0.5"/>
    <n v="0.25"/>
    <n v="0.25"/>
    <n v="0"/>
    <n v="0"/>
    <n v="0"/>
    <n v="0"/>
    <n v="3.375"/>
    <s v="26.02.2023"/>
    <n v="1"/>
    <e v="#N/A"/>
    <m/>
    <n v="1"/>
  </r>
  <r>
    <x v="83"/>
    <s v="M"/>
    <n v="7"/>
    <n v="20"/>
    <d v="1899-12-30T01:55:17"/>
    <d v="1899-12-30T02:02:08"/>
    <d v="1899-12-30T01:58:42"/>
    <n v="355"/>
    <d v="1899-12-30T00:05:56"/>
    <n v="4.7619047619047619"/>
    <n v="1.5"/>
    <n v="1.5"/>
    <x v="0"/>
    <n v="0.5"/>
    <n v="0.25"/>
    <n v="0.25"/>
    <n v="0.23666666666666666"/>
    <n v="0"/>
    <n v="0"/>
    <n v="0"/>
    <n v="3.3676190476190477"/>
    <s v="26.02.2023"/>
    <n v="1"/>
    <e v="#N/A"/>
    <m/>
    <n v="1"/>
  </r>
  <r>
    <x v="44"/>
    <s v="M"/>
    <n v="7"/>
    <n v="27.3"/>
    <d v="1899-12-30T02:28:08"/>
    <d v="1899-12-30T02:36:56"/>
    <d v="1899-12-30T02:32:32"/>
    <n v="52"/>
    <d v="1899-12-30T00:05:35"/>
    <n v="5"/>
    <n v="1.75"/>
    <n v="4"/>
    <x v="0"/>
    <n v="0.5"/>
    <n v="0.25"/>
    <n v="0.25"/>
    <n v="3.4666666666666665E-2"/>
    <n v="0.3"/>
    <n v="0"/>
    <n v="0"/>
    <n v="4.2721666666666671"/>
    <s v="26.02.2023"/>
    <n v="1"/>
    <s v="UltraHaita lu' Borcan"/>
    <m/>
    <n v="1"/>
  </r>
  <r>
    <x v="54"/>
    <s v="F"/>
    <n v="7"/>
    <n v="10"/>
    <d v="1899-12-30T01:19:33"/>
    <d v="1899-12-30T01:20:18"/>
    <d v="1899-12-30T01:19:56"/>
    <m/>
    <d v="1899-12-30T00:08:00"/>
    <n v="2.5"/>
    <n v="0.25"/>
    <n v="2.5"/>
    <x v="0"/>
    <n v="0.5"/>
    <n v="0.25"/>
    <n v="0.25"/>
    <n v="0"/>
    <n v="0"/>
    <n v="0"/>
    <n v="0.7"/>
    <n v="2.6375000000000002"/>
    <s v="26.02.2023"/>
    <n v="1"/>
    <s v="UltraHaita lu' Borcan"/>
    <m/>
    <n v="1"/>
  </r>
  <r>
    <x v="58"/>
    <s v="M"/>
    <n v="7"/>
    <n v="9.4499999999999993"/>
    <d v="1899-12-30T00:45:01"/>
    <d v="1899-12-30T00:45:01"/>
    <d v="1899-12-30T00:45:01"/>
    <n v="199"/>
    <d v="1899-12-30T00:04:46"/>
    <n v="2.2499999999999996"/>
    <n v="3.5"/>
    <n v="1"/>
    <x v="1"/>
    <n v="0.25"/>
    <n v="0.5"/>
    <n v="0.25"/>
    <n v="0.13266666666666665"/>
    <n v="0"/>
    <n v="0"/>
    <n v="0"/>
    <n v="2.6951666666666667"/>
    <s v="26.02.2023"/>
    <n v="1"/>
    <s v="Almost Kenyan Runners"/>
    <m/>
    <n v="1"/>
  </r>
  <r>
    <x v="45"/>
    <s v="F"/>
    <n v="7"/>
    <n v="12.36"/>
    <d v="1899-12-30T01:30:04"/>
    <d v="1899-12-30T01:57:42"/>
    <d v="1899-12-30T01:43:53"/>
    <n v="431"/>
    <d v="1899-12-30T00:08:24"/>
    <n v="3.09"/>
    <n v="0.25"/>
    <n v="1.75"/>
    <x v="0"/>
    <n v="0.5"/>
    <n v="0.25"/>
    <n v="0.25"/>
    <n v="0.28733333333333333"/>
    <n v="0"/>
    <n v="0"/>
    <n v="0"/>
    <n v="2.3323333333333331"/>
    <s v="26.02.2023"/>
    <n v="1"/>
    <e v="#N/A"/>
    <m/>
    <n v="1"/>
  </r>
  <r>
    <x v="114"/>
    <s v="M"/>
    <n v="7"/>
    <n v="5.53"/>
    <d v="1899-12-30T00:38:07"/>
    <d v="1899-12-30T00:42:26"/>
    <d v="1899-12-30T00:40:17"/>
    <n v="179"/>
    <d v="1899-12-30T00:07:17"/>
    <n v="1.3166666666666667"/>
    <n v="0.25"/>
    <n v="1"/>
    <x v="2"/>
    <n v="0.25"/>
    <n v="0.25"/>
    <n v="0.5"/>
    <n v="0.11933333333333333"/>
    <n v="0"/>
    <n v="0"/>
    <n v="0"/>
    <n v="1.0109999999999999"/>
    <s v="26.02.2023"/>
    <n v="1"/>
    <e v="#N/A"/>
    <m/>
    <n v="1"/>
  </r>
  <r>
    <x v="9"/>
    <s v="M"/>
    <n v="7"/>
    <n v="3.21"/>
    <d v="1899-12-30T00:11:30"/>
    <d v="1899-12-30T00:11:30"/>
    <d v="1899-12-30T00:11:30"/>
    <m/>
    <d v="1899-12-30T00:03:35"/>
    <n v="0.76428571428571423"/>
    <n v="5"/>
    <n v="2"/>
    <x v="1"/>
    <n v="0.25"/>
    <n v="0.5"/>
    <n v="0.25"/>
    <n v="0"/>
    <n v="0"/>
    <n v="3.1500000000000004"/>
    <n v="0"/>
    <n v="6.3410714285714285"/>
    <s v="26.02.2023"/>
    <n v="1"/>
    <s v="The GOATs"/>
    <m/>
    <n v="1"/>
  </r>
  <r>
    <x v="29"/>
    <s v="F"/>
    <n v="7"/>
    <n v="19.5"/>
    <d v="1899-12-30T01:57:00"/>
    <d v="1899-12-30T01:57:00"/>
    <d v="1899-12-30T01:57:00"/>
    <m/>
    <d v="1899-12-30T00:06:00"/>
    <n v="4.875"/>
    <n v="2"/>
    <n v="1"/>
    <x v="0"/>
    <n v="0.5"/>
    <n v="0.25"/>
    <n v="0.25"/>
    <n v="0"/>
    <n v="0"/>
    <n v="0"/>
    <n v="0"/>
    <n v="3.1875"/>
    <s v="26.02.2023"/>
    <n v="1"/>
    <e v="#N/A"/>
    <m/>
    <n v="1"/>
  </r>
  <r>
    <x v="35"/>
    <s v="F"/>
    <n v="7"/>
    <n v="21.14"/>
    <d v="1899-12-30T02:23:19"/>
    <d v="1899-12-30T02:23:28"/>
    <d v="1899-12-30T02:23:23"/>
    <m/>
    <d v="1899-12-30T00:06:47"/>
    <n v="5"/>
    <n v="1"/>
    <n v="3"/>
    <x v="0"/>
    <n v="0.5"/>
    <n v="0.25"/>
    <n v="0.25"/>
    <n v="0"/>
    <n v="0"/>
    <n v="0"/>
    <n v="0"/>
    <n v="3.5"/>
    <s v="26.02.2023"/>
    <n v="1"/>
    <s v="#notSYRious"/>
    <m/>
    <n v="1"/>
  </r>
  <r>
    <x v="11"/>
    <s v="M"/>
    <n v="7"/>
    <n v="31.02"/>
    <d v="1899-12-30T02:51:22"/>
    <d v="1899-12-30T02:51:22"/>
    <d v="1899-12-30T02:51:22"/>
    <n v="134"/>
    <d v="1899-12-30T00:05:31"/>
    <n v="5"/>
    <n v="1.75"/>
    <n v="1.5"/>
    <x v="0"/>
    <n v="0.5"/>
    <n v="0.25"/>
    <n v="0.25"/>
    <n v="8.9333333333333334E-2"/>
    <n v="0.5"/>
    <n v="0"/>
    <n v="0.4"/>
    <n v="4.3018333333333336"/>
    <s v="26.02.2023"/>
    <n v="1"/>
    <e v="#N/A"/>
    <m/>
    <n v="1"/>
  </r>
  <r>
    <x v="20"/>
    <s v="F"/>
    <n v="7"/>
    <n v="21.28"/>
    <d v="1899-12-30T02:03:41"/>
    <d v="1899-12-30T02:21:51"/>
    <d v="1899-12-30T02:12:46"/>
    <n v="203"/>
    <d v="1899-12-30T00:06:14"/>
    <n v="5"/>
    <n v="1.75"/>
    <n v="2.5"/>
    <x v="0"/>
    <n v="0.5"/>
    <n v="0.25"/>
    <n v="0.25"/>
    <n v="0.13533333333333333"/>
    <n v="0"/>
    <n v="0"/>
    <n v="0"/>
    <n v="3.6978333333333335"/>
    <s v="26.02.2023"/>
    <n v="1"/>
    <s v="MedgidiaRunning"/>
    <m/>
    <n v="1"/>
  </r>
  <r>
    <x v="47"/>
    <s v="M"/>
    <n v="7"/>
    <n v="6.01"/>
    <d v="1899-12-30T00:27:33"/>
    <d v="1899-12-30T00:29:52"/>
    <d v="1899-12-30T00:28:42"/>
    <m/>
    <d v="1899-12-30T00:04:47"/>
    <n v="1.4309523809523808"/>
    <n v="3"/>
    <n v="2.25"/>
    <x v="1"/>
    <n v="0.25"/>
    <n v="0.5"/>
    <n v="0.25"/>
    <n v="0"/>
    <n v="0"/>
    <n v="0"/>
    <n v="0"/>
    <n v="2.4202380952380951"/>
    <s v="26.02.2023"/>
    <n v="1"/>
    <e v="#N/A"/>
    <m/>
    <n v="1"/>
  </r>
  <r>
    <x v="71"/>
    <s v="M"/>
    <n v="7"/>
    <n v="16.010000000000002"/>
    <d v="1899-12-30T01:47:24"/>
    <d v="1899-12-30T01:48:44"/>
    <d v="1899-12-30T01:48:04"/>
    <m/>
    <d v="1899-12-30T00:06:45"/>
    <n v="3.8119047619047621"/>
    <n v="0.75"/>
    <n v="2.5"/>
    <x v="0"/>
    <n v="0.5"/>
    <n v="0.25"/>
    <n v="0.25"/>
    <n v="0"/>
    <n v="0"/>
    <n v="0"/>
    <n v="0"/>
    <n v="2.7184523809523808"/>
    <s v="26.02.2023"/>
    <n v="1"/>
    <s v="MedgidiaRunning"/>
    <m/>
    <n v="1"/>
  </r>
  <r>
    <x v="72"/>
    <s v="F"/>
    <n v="7"/>
    <n v="15.2"/>
    <d v="1899-12-30T01:34:53"/>
    <d v="1899-12-30T01:35:05"/>
    <d v="1899-12-30T01:34:59"/>
    <n v="84"/>
    <d v="1899-12-30T00:06:15"/>
    <n v="3.8"/>
    <n v="1.75"/>
    <n v="1.75"/>
    <x v="0"/>
    <n v="0.5"/>
    <n v="0.25"/>
    <n v="0.25"/>
    <n v="5.6000000000000001E-2"/>
    <n v="0"/>
    <n v="0"/>
    <n v="0"/>
    <n v="2.831"/>
    <s v="26.02.2023"/>
    <n v="1"/>
    <e v="#N/A"/>
    <m/>
    <n v="1"/>
  </r>
  <r>
    <x v="65"/>
    <s v="F"/>
    <n v="7"/>
    <n v="12.11"/>
    <d v="1899-12-30T01:35:47"/>
    <d v="1899-12-30T01:58:19"/>
    <d v="1899-12-30T01:47:03"/>
    <n v="434"/>
    <d v="1899-12-30T00:08:50"/>
    <n v="3.0274999999999999"/>
    <n v="0.25"/>
    <n v="0.5"/>
    <x v="0"/>
    <n v="0.5"/>
    <n v="0.25"/>
    <n v="0.25"/>
    <n v="0.28933333333333333"/>
    <n v="0"/>
    <n v="0"/>
    <n v="0"/>
    <n v="1.9905833333333334"/>
    <s v="26.02.2023"/>
    <n v="1"/>
    <e v="#N/A"/>
    <m/>
    <n v="1"/>
  </r>
  <r>
    <x v="43"/>
    <s v="M"/>
    <n v="7"/>
    <n v="4.95"/>
    <d v="1899-12-30T00:18:56"/>
    <d v="1899-12-30T00:19:09"/>
    <d v="1899-12-30T00:19:02"/>
    <m/>
    <d v="1899-12-30T00:03:51"/>
    <n v="1.1785714285714286"/>
    <n v="5"/>
    <n v="1.75"/>
    <x v="1"/>
    <n v="0.25"/>
    <n v="0.5"/>
    <n v="0.25"/>
    <n v="0"/>
    <n v="0"/>
    <n v="0.89999999999999991"/>
    <n v="0"/>
    <n v="4.1321428571428571"/>
    <s v="26.02.2023"/>
    <n v="1"/>
    <s v="Almost Kenyan Runners"/>
    <m/>
    <n v="1"/>
  </r>
  <r>
    <x v="3"/>
    <s v="M"/>
    <n v="7"/>
    <n v="18.04"/>
    <d v="1899-12-30T01:44:57"/>
    <d v="1899-12-30T02:15:59"/>
    <d v="1899-12-30T02:00:28"/>
    <n v="191"/>
    <d v="1899-12-30T00:06:41"/>
    <n v="4.2952380952380951"/>
    <n v="0.75"/>
    <n v="3"/>
    <x v="0"/>
    <n v="0.5"/>
    <n v="0.25"/>
    <n v="0.25"/>
    <n v="0.12733333333333333"/>
    <n v="0"/>
    <n v="0"/>
    <n v="0.4"/>
    <n v="3.612452380952381"/>
    <s v="26.02.2023"/>
    <n v="1"/>
    <s v="MedgidiaRunning"/>
    <m/>
    <n v="1"/>
  </r>
  <r>
    <x v="60"/>
    <s v="M"/>
    <n v="7"/>
    <n v="14.06"/>
    <d v="1899-12-30T00:51:49"/>
    <d v="1899-12-30T00:51:49"/>
    <d v="1899-12-30T00:51:49"/>
    <n v="116"/>
    <d v="1899-12-30T00:03:41"/>
    <n v="3.3476190476190477"/>
    <n v="5"/>
    <n v="3.25"/>
    <x v="1"/>
    <n v="0.25"/>
    <n v="0.5"/>
    <n v="0.25"/>
    <n v="7.7333333333333337E-2"/>
    <n v="0"/>
    <n v="1.4999999999999998"/>
    <n v="0"/>
    <n v="5.7267380952380957"/>
    <s v="26.02.2023"/>
    <n v="1"/>
    <s v="#notSYRious"/>
    <m/>
    <n v="1"/>
  </r>
  <r>
    <x v="76"/>
    <s v="F"/>
    <n v="7"/>
    <n v="2.5"/>
    <d v="1899-12-30T00:22:07"/>
    <d v="1899-12-30T00:27:56"/>
    <d v="1899-12-30T00:25:01"/>
    <n v="74"/>
    <d v="1899-12-30T00:10:01"/>
    <n v="0.625"/>
    <n v="0"/>
    <n v="3.25"/>
    <x v="0"/>
    <n v="0.5"/>
    <n v="0.25"/>
    <n v="0.25"/>
    <n v="4.9333333333333333E-2"/>
    <n v="0"/>
    <n v="0"/>
    <n v="0"/>
    <n v="1.1743333333333332"/>
    <s v="26.02.2023"/>
    <n v="1"/>
    <e v="#N/A"/>
    <m/>
    <n v="0"/>
  </r>
  <r>
    <x v="69"/>
    <s v="M"/>
    <n v="7"/>
    <n v="31"/>
    <d v="1899-12-30T02:41:52"/>
    <d v="1899-12-30T02:42:01"/>
    <d v="1899-12-30T02:41:57"/>
    <n v="98"/>
    <d v="1899-12-30T00:05:13"/>
    <n v="5"/>
    <n v="2.5"/>
    <n v="1"/>
    <x v="0"/>
    <n v="0.5"/>
    <n v="0.25"/>
    <n v="0.25"/>
    <n v="6.5333333333333327E-2"/>
    <n v="0.5"/>
    <n v="0"/>
    <n v="0"/>
    <n v="3.9403333333333332"/>
    <s v="26.02.2023"/>
    <n v="1"/>
    <s v="Almost Kenyan Runners"/>
    <m/>
    <n v="1"/>
  </r>
  <r>
    <x v="84"/>
    <s v="M"/>
    <n v="7"/>
    <n v="3.02"/>
    <d v="1899-12-30T00:12:40"/>
    <d v="1899-12-30T00:12:40"/>
    <d v="1899-12-30T00:12:40"/>
    <m/>
    <d v="1899-12-30T00:04:12"/>
    <n v="0.71904761904761905"/>
    <n v="4.5"/>
    <n v="3.25"/>
    <x v="1"/>
    <n v="0.25"/>
    <n v="0.5"/>
    <n v="0.25"/>
    <n v="0"/>
    <n v="0"/>
    <n v="0"/>
    <n v="0"/>
    <n v="3.2422619047619046"/>
    <s v="26.02.2023"/>
    <n v="1"/>
    <s v="The GOATs"/>
    <m/>
    <n v="1"/>
  </r>
  <r>
    <x v="82"/>
    <s v="M"/>
    <n v="7"/>
    <n v="27.05"/>
    <d v="1899-12-30T02:00:00"/>
    <d v="1899-12-30T02:00:00"/>
    <d v="1899-12-30T02:00:00"/>
    <n v="273"/>
    <d v="1899-12-30T00:04:26"/>
    <n v="5"/>
    <n v="4"/>
    <n v="3.25"/>
    <x v="0"/>
    <n v="0.5"/>
    <n v="0.25"/>
    <n v="0.25"/>
    <n v="0.182"/>
    <n v="0.3"/>
    <n v="0"/>
    <n v="0"/>
    <n v="4.7945000000000002"/>
    <s v="26.02.2023"/>
    <n v="1"/>
    <s v="Almost Kenyan Runners"/>
    <m/>
    <n v="1"/>
  </r>
  <r>
    <x v="40"/>
    <s v="M"/>
    <n v="7"/>
    <n v="15.07"/>
    <d v="1899-12-30T01:23:05"/>
    <d v="1899-12-30T01:23:22"/>
    <d v="1899-12-30T01:23:14"/>
    <m/>
    <d v="1899-12-30T00:05:31"/>
    <n v="3.5880952380952382"/>
    <n v="1.75"/>
    <n v="2"/>
    <x v="2"/>
    <n v="0.25"/>
    <n v="0.25"/>
    <n v="0.5"/>
    <n v="0"/>
    <n v="0"/>
    <n v="0"/>
    <n v="0"/>
    <n v="2.3345238095238097"/>
    <s v="26.02.2023"/>
    <n v="1"/>
    <s v="Almost Kenyan Runners"/>
    <m/>
    <n v="1"/>
  </r>
  <r>
    <x v="41"/>
    <s v="M"/>
    <n v="7"/>
    <n v="42.24"/>
    <d v="1899-12-30T03:34:05"/>
    <d v="1899-12-30T03:44:57"/>
    <d v="1899-12-30T03:39:31"/>
    <n v="163"/>
    <d v="1899-12-30T00:05:12"/>
    <n v="5"/>
    <n v="2.5"/>
    <n v="3.5"/>
    <x v="1"/>
    <n v="0.25"/>
    <n v="0.5"/>
    <n v="0.25"/>
    <n v="0.10866666666666666"/>
    <n v="1"/>
    <n v="0"/>
    <n v="0"/>
    <n v="4.4836666666666662"/>
    <s v="26.02.2023"/>
    <n v="1"/>
    <s v="UltraHaita lu' Borcan"/>
    <m/>
    <n v="1"/>
  </r>
  <r>
    <x v="12"/>
    <s v="M"/>
    <n v="7"/>
    <n v="26"/>
    <d v="1899-12-30T01:55:30"/>
    <d v="1899-12-30T01:55:35"/>
    <d v="1899-12-30T01:55:32"/>
    <n v="161"/>
    <d v="1899-12-30T00:04:27"/>
    <n v="5"/>
    <n v="4"/>
    <n v="2.75"/>
    <x v="0"/>
    <n v="0.5"/>
    <n v="0.25"/>
    <n v="0.25"/>
    <n v="0.10733333333333334"/>
    <n v="0.2"/>
    <n v="0"/>
    <n v="0"/>
    <n v="4.4948333333333332"/>
    <s v="26.02.2023"/>
    <n v="1"/>
    <s v="#notSYRious"/>
    <m/>
    <n v="1"/>
  </r>
  <r>
    <x v="88"/>
    <s v="M"/>
    <n v="7"/>
    <n v="21.01"/>
    <d v="1899-12-30T01:44:51"/>
    <d v="1899-12-30T01:46:07"/>
    <d v="1899-12-30T01:45:29"/>
    <n v="162"/>
    <d v="1899-12-30T00:05:01"/>
    <n v="5"/>
    <n v="2.5"/>
    <n v="1.25"/>
    <x v="0"/>
    <n v="0.5"/>
    <n v="0.25"/>
    <n v="0.25"/>
    <n v="0.108"/>
    <n v="0"/>
    <n v="0"/>
    <n v="0"/>
    <n v="3.5455000000000001"/>
    <s v="26.02.2023"/>
    <n v="1"/>
    <s v="Almost Kenyan Runners"/>
    <m/>
    <n v="1"/>
  </r>
  <r>
    <x v="103"/>
    <s v="M"/>
    <n v="7"/>
    <n v="18.43"/>
    <d v="1899-12-30T02:03:06"/>
    <d v="1899-12-30T02:05:25"/>
    <d v="1899-12-30T02:04:15"/>
    <m/>
    <d v="1899-12-30T00:06:45"/>
    <n v="4.3880952380952376"/>
    <n v="0.75"/>
    <n v="1.75"/>
    <x v="0"/>
    <n v="0.5"/>
    <n v="0.25"/>
    <n v="0.25"/>
    <n v="0"/>
    <n v="0"/>
    <n v="0"/>
    <n v="0"/>
    <n v="2.8190476190476188"/>
    <s v="26.02.2023"/>
    <n v="1"/>
    <e v="#N/A"/>
    <m/>
    <n v="1"/>
  </r>
  <r>
    <x v="36"/>
    <s v="M"/>
    <n v="7"/>
    <n v="10.02"/>
    <d v="1899-12-30T00:50:02"/>
    <d v="1899-12-30T00:50:42"/>
    <d v="1899-12-30T00:50:22"/>
    <m/>
    <d v="1899-12-30T00:05:02"/>
    <n v="2.3857142857142857"/>
    <n v="2.5"/>
    <n v="3"/>
    <x v="0"/>
    <n v="0.5"/>
    <n v="0.25"/>
    <n v="0.25"/>
    <n v="0"/>
    <n v="0"/>
    <n v="0"/>
    <n v="0"/>
    <n v="2.5678571428571431"/>
    <s v="26.02.2023"/>
    <n v="1"/>
    <s v="MedgidiaRunning"/>
    <m/>
    <n v="1"/>
  </r>
  <r>
    <x v="1"/>
    <s v="M"/>
    <n v="7"/>
    <n v="24.12"/>
    <d v="1899-12-30T02:25:02"/>
    <d v="1899-12-30T02:25:02"/>
    <d v="1899-12-30T02:25:02"/>
    <m/>
    <d v="1899-12-30T00:06:01"/>
    <n v="5"/>
    <n v="1.5"/>
    <n v="0.5"/>
    <x v="0"/>
    <n v="0.5"/>
    <n v="0.25"/>
    <n v="0.25"/>
    <n v="0"/>
    <n v="0.1"/>
    <n v="0"/>
    <n v="0"/>
    <n v="3.1"/>
    <s v="26.02.2023"/>
    <n v="1"/>
    <e v="#N/A"/>
    <m/>
    <n v="1"/>
  </r>
  <r>
    <x v="107"/>
    <s v="M"/>
    <n v="7"/>
    <n v="50.11"/>
    <d v="1899-12-30T05:30:24"/>
    <d v="1899-12-30T05:46:08"/>
    <d v="1899-12-30T05:38:16"/>
    <n v="479"/>
    <d v="1899-12-30T00:06:45"/>
    <n v="5"/>
    <n v="0.75"/>
    <n v="3.5"/>
    <x v="0"/>
    <n v="0.5"/>
    <n v="0.25"/>
    <n v="0.25"/>
    <n v="0.31933333333333336"/>
    <n v="1.4"/>
    <n v="0"/>
    <n v="0"/>
    <n v="5.2818333333333332"/>
    <s v="26.02.2023"/>
    <n v="1"/>
    <s v="The GOATs"/>
    <m/>
    <n v="1"/>
  </r>
  <r>
    <x v="74"/>
    <s v="F"/>
    <n v="7"/>
    <n v="10.29"/>
    <d v="1899-12-30T01:02:01"/>
    <d v="1899-12-30T01:12:38"/>
    <d v="1899-12-30T01:07:20"/>
    <m/>
    <d v="1899-12-30T00:06:33"/>
    <n v="2.5724999999999998"/>
    <n v="1.25"/>
    <n v="2.75"/>
    <x v="2"/>
    <n v="0.25"/>
    <n v="0.25"/>
    <n v="0.5"/>
    <n v="0"/>
    <n v="0"/>
    <n v="0"/>
    <n v="0"/>
    <n v="2.3306249999999999"/>
    <s v="26.02.2023"/>
    <n v="1"/>
    <s v="UltraHaita lu' Borcan"/>
    <m/>
    <n v="1"/>
  </r>
  <r>
    <x v="52"/>
    <s v="M"/>
    <n v="7"/>
    <n v="31"/>
    <d v="1899-12-30T02:46:46"/>
    <d v="1899-12-30T02:47:01"/>
    <d v="1899-12-30T02:46:54"/>
    <n v="95"/>
    <d v="1899-12-30T00:05:23"/>
    <n v="5"/>
    <n v="2"/>
    <n v="2"/>
    <x v="0"/>
    <n v="0.5"/>
    <n v="0.25"/>
    <n v="0.25"/>
    <n v="6.3333333333333339E-2"/>
    <n v="0.5"/>
    <n v="0"/>
    <n v="0"/>
    <n v="4.0633333333333335"/>
    <s v="26.02.2023"/>
    <n v="1"/>
    <e v="#N/A"/>
    <m/>
    <n v="1"/>
  </r>
  <r>
    <x v="106"/>
    <s v="F"/>
    <n v="7"/>
    <n v="16.5"/>
    <d v="1899-12-30T01:54:22"/>
    <d v="1899-12-30T01:57:16"/>
    <d v="1899-12-30T01:55:49"/>
    <m/>
    <d v="1899-12-30T00:07:01"/>
    <n v="4.125"/>
    <n v="0.75"/>
    <n v="2.5"/>
    <x v="0"/>
    <n v="0.5"/>
    <n v="0.25"/>
    <n v="0.25"/>
    <n v="0"/>
    <n v="0"/>
    <n v="0"/>
    <n v="0"/>
    <n v="2.875"/>
    <s v="26.02.2023"/>
    <n v="1"/>
    <s v="MedgidiaRunning"/>
    <m/>
    <n v="1"/>
  </r>
  <r>
    <x v="92"/>
    <s v="F"/>
    <n v="7"/>
    <n v="10.01"/>
    <d v="1899-12-30T00:59:50"/>
    <d v="1899-12-30T01:08:22"/>
    <d v="1899-12-30T01:04:06"/>
    <m/>
    <d v="1899-12-30T00:06:24"/>
    <n v="2.5024999999999999"/>
    <n v="1.5"/>
    <n v="1.75"/>
    <x v="0"/>
    <n v="0.5"/>
    <n v="0.25"/>
    <n v="0.25"/>
    <n v="0"/>
    <n v="0"/>
    <n v="0"/>
    <n v="0"/>
    <n v="2.0637499999999998"/>
    <s v="26.02.2023"/>
    <n v="1"/>
    <s v="The GOATs"/>
    <m/>
    <n v="1"/>
  </r>
  <r>
    <x v="77"/>
    <s v="F"/>
    <n v="7"/>
    <n v="16.579999999999998"/>
    <d v="1899-12-30T01:30:40"/>
    <d v="1899-12-30T01:34:54"/>
    <d v="1899-12-30T01:32:47"/>
    <n v="110"/>
    <d v="1899-12-30T00:05:36"/>
    <n v="4.1449999999999996"/>
    <n v="2.5"/>
    <n v="4.25"/>
    <x v="2"/>
    <n v="0.25"/>
    <n v="0.25"/>
    <n v="0.5"/>
    <n v="7.3333333333333334E-2"/>
    <n v="0"/>
    <n v="0"/>
    <n v="0"/>
    <n v="3.8595833333333331"/>
    <s v="26.02.2023"/>
    <n v="1"/>
    <s v="The GOATs"/>
    <m/>
    <n v="1"/>
  </r>
  <r>
    <x v="4"/>
    <s v="M"/>
    <n v="7"/>
    <n v="21.65"/>
    <d v="1899-12-30T01:58:20"/>
    <d v="1899-12-30T01:59:01"/>
    <d v="1899-12-30T01:58:41"/>
    <n v="284"/>
    <d v="1899-12-30T00:05:29"/>
    <n v="5"/>
    <n v="2"/>
    <n v="2.5"/>
    <x v="2"/>
    <n v="0.25"/>
    <n v="0.25"/>
    <n v="0.5"/>
    <n v="0.18933333333333333"/>
    <n v="0"/>
    <n v="0"/>
    <n v="0.4"/>
    <n v="3.5893333333333333"/>
    <s v="26.02.2023"/>
    <n v="1"/>
    <s v="UltraHaita lu' Borcan"/>
    <m/>
    <n v="1"/>
  </r>
  <r>
    <x v="59"/>
    <s v="M"/>
    <n v="7"/>
    <n v="24.07"/>
    <d v="1899-12-30T02:05:16"/>
    <d v="1899-12-30T02:08:37"/>
    <d v="1899-12-30T02:06:56"/>
    <n v="56"/>
    <d v="1899-12-30T00:05:16"/>
    <n v="5"/>
    <n v="2"/>
    <n v="1"/>
    <x v="0"/>
    <n v="0.5"/>
    <n v="0.25"/>
    <n v="0.25"/>
    <n v="3.7333333333333336E-2"/>
    <n v="0.1"/>
    <n v="0"/>
    <n v="0"/>
    <n v="3.3873333333333333"/>
    <s v="26.02.2023"/>
    <n v="1"/>
    <s v="UltraHaita lu' Borcan"/>
    <m/>
    <n v="1"/>
  </r>
  <r>
    <x v="50"/>
    <s v="M"/>
    <n v="7"/>
    <n v="100.24"/>
    <d v="1899-12-30T11:42:22"/>
    <d v="1899-12-30T12:14:53"/>
    <d v="1899-12-30T11:58:37"/>
    <n v="772"/>
    <d v="1899-12-30T00:07:10"/>
    <n v="5"/>
    <n v="0.25"/>
    <n v="4.75"/>
    <x v="0"/>
    <n v="0.5"/>
    <n v="0.25"/>
    <n v="0.25"/>
    <n v="0.51466666666666672"/>
    <n v="3.9"/>
    <n v="0"/>
    <n v="0"/>
    <n v="8.1646666666666672"/>
    <s v="26.02.2023"/>
    <n v="1"/>
    <s v="The GOATs"/>
    <m/>
    <n v="1"/>
  </r>
  <r>
    <x v="105"/>
    <s v="M"/>
    <n v="7"/>
    <n v="10.1"/>
    <d v="1899-12-30T00:49:37"/>
    <d v="1899-12-30T00:49:46"/>
    <d v="1899-12-30T00:49:42"/>
    <n v="88"/>
    <d v="1899-12-30T00:04:55"/>
    <n v="2.4047619047619047"/>
    <n v="3"/>
    <n v="1.25"/>
    <x v="0"/>
    <n v="0.5"/>
    <n v="0.25"/>
    <n v="0.25"/>
    <n v="5.8666666666666666E-2"/>
    <n v="0"/>
    <n v="0"/>
    <n v="0"/>
    <n v="2.3235476190476194"/>
    <s v="26.02.2023"/>
    <n v="1"/>
    <s v="The GOATs"/>
    <m/>
    <n v="1"/>
  </r>
  <r>
    <x v="49"/>
    <s v="M"/>
    <n v="7"/>
    <n v="10.02"/>
    <d v="1899-12-30T00:58:29"/>
    <d v="1899-12-30T01:00:41"/>
    <d v="1899-12-30T00:59:35"/>
    <n v="108"/>
    <d v="1899-12-30T00:05:57"/>
    <n v="2.3857142857142857"/>
    <n v="1.5"/>
    <n v="2"/>
    <x v="0"/>
    <n v="0.5"/>
    <n v="0.25"/>
    <n v="0.25"/>
    <n v="7.1999999999999995E-2"/>
    <n v="0"/>
    <n v="0"/>
    <n v="0"/>
    <n v="2.1398571428571431"/>
    <s v="26.02.2023"/>
    <n v="1"/>
    <s v="The GOATs"/>
    <m/>
    <n v="1"/>
  </r>
  <r>
    <x v="23"/>
    <s v="M"/>
    <n v="7"/>
    <n v="16"/>
    <d v="1899-12-30T01:28:21"/>
    <d v="1899-12-30T01:37:24"/>
    <d v="1899-12-30T01:32:52"/>
    <n v="91"/>
    <d v="1899-12-30T00:05:48"/>
    <n v="3.8095238095238093"/>
    <n v="1.5"/>
    <n v="2.75"/>
    <x v="0"/>
    <n v="0.5"/>
    <n v="0.25"/>
    <n v="0.25"/>
    <n v="6.0666666666666667E-2"/>
    <n v="0"/>
    <n v="0"/>
    <n v="0"/>
    <n v="3.0279285714285713"/>
    <s v="26.02.2023"/>
    <n v="1"/>
    <s v="Almost Kenyan Runners"/>
    <m/>
    <n v="1"/>
  </r>
  <r>
    <x v="57"/>
    <s v="M"/>
    <n v="7"/>
    <n v="7.01"/>
    <d v="1899-12-30T00:29:24"/>
    <d v="1899-12-30T00:30:03"/>
    <d v="1899-12-30T00:29:43"/>
    <m/>
    <d v="1899-12-30T00:04:14"/>
    <n v="1.6690476190476189"/>
    <n v="4.5"/>
    <n v="2"/>
    <x v="1"/>
    <n v="0.25"/>
    <n v="0.5"/>
    <n v="0.25"/>
    <n v="0"/>
    <n v="0"/>
    <n v="0"/>
    <n v="0"/>
    <n v="3.1672619047619048"/>
    <s v="26.02.2023"/>
    <n v="1"/>
    <s v="The GOATs"/>
    <m/>
    <n v="1"/>
  </r>
  <r>
    <x v="48"/>
    <s v="M"/>
    <n v="7"/>
    <n v="23.98"/>
    <d v="1899-12-30T02:25:44"/>
    <d v="1899-12-30T02:25:45"/>
    <d v="1899-12-30T02:25:44"/>
    <n v="1169"/>
    <d v="1899-12-30T00:06:05"/>
    <n v="5"/>
    <n v="1.25"/>
    <n v="2.5"/>
    <x v="0"/>
    <n v="0.5"/>
    <n v="0.25"/>
    <n v="0.25"/>
    <n v="0.77933333333333332"/>
    <n v="0.1"/>
    <n v="0"/>
    <n v="0"/>
    <n v="4.3168333333333333"/>
    <s v="26.02.2023"/>
    <n v="1"/>
    <s v="UltraHaita lu' Borcan"/>
    <m/>
    <n v="1"/>
  </r>
  <r>
    <x v="78"/>
    <s v="M"/>
    <n v="7"/>
    <n v="42.43"/>
    <d v="1899-12-30T07:04:09"/>
    <d v="1899-12-30T07:34:09"/>
    <d v="1899-12-30T07:19:09"/>
    <n v="414"/>
    <d v="1899-12-30T00:10:21"/>
    <n v="5"/>
    <n v="0"/>
    <n v="3.25"/>
    <x v="1"/>
    <n v="0.25"/>
    <n v="0.5"/>
    <n v="0.25"/>
    <n v="0.27600000000000002"/>
    <n v="1"/>
    <n v="0"/>
    <n v="0.4"/>
    <n v="3.7384999999999997"/>
    <s v="26.02.2023"/>
    <n v="1"/>
    <s v="Almost Kenyan Runners"/>
    <m/>
    <n v="0"/>
  </r>
  <r>
    <x v="108"/>
    <s v="M"/>
    <n v="7"/>
    <n v="25.07"/>
    <d v="1899-12-30T02:10:33"/>
    <d v="1899-12-30T02:19:34"/>
    <d v="1899-12-30T02:15:04"/>
    <m/>
    <d v="1899-12-30T00:05:23"/>
    <n v="5"/>
    <n v="2"/>
    <n v="2"/>
    <x v="0"/>
    <n v="0.5"/>
    <n v="0.25"/>
    <n v="0.25"/>
    <n v="0"/>
    <n v="0.2"/>
    <n v="0"/>
    <n v="0"/>
    <n v="3.7"/>
    <s v="26.02.2023"/>
    <n v="1"/>
    <e v="#N/A"/>
    <m/>
    <n v="1"/>
  </r>
  <r>
    <x v="85"/>
    <s v="M"/>
    <n v="7"/>
    <n v="42.22"/>
    <d v="1899-12-30T03:53:01"/>
    <d v="1899-12-30T04:14:41"/>
    <d v="1899-12-30T04:03:51"/>
    <n v="148"/>
    <d v="1899-12-30T00:05:47"/>
    <n v="5"/>
    <n v="1.5"/>
    <n v="4"/>
    <x v="0"/>
    <n v="0.5"/>
    <n v="0.25"/>
    <n v="0.25"/>
    <n v="9.8666666666666666E-2"/>
    <n v="1"/>
    <n v="0"/>
    <n v="0"/>
    <n v="4.9736666666666665"/>
    <s v="26.02.2023"/>
    <n v="1"/>
    <s v="The GOATs"/>
    <m/>
    <n v="1"/>
  </r>
  <r>
    <x v="2"/>
    <s v="F"/>
    <n v="7"/>
    <n v="10.1"/>
    <d v="1899-12-30T01:02:09"/>
    <d v="1899-12-30T01:03:07"/>
    <d v="1899-12-30T01:02:38"/>
    <m/>
    <d v="1899-12-30T00:06:12"/>
    <n v="2.5249999999999999"/>
    <n v="1.75"/>
    <n v="3.25"/>
    <x v="0"/>
    <n v="0.5"/>
    <n v="0.25"/>
    <n v="0.25"/>
    <n v="0"/>
    <n v="0"/>
    <n v="0"/>
    <n v="0"/>
    <n v="2.5125000000000002"/>
    <s v="26.02.2023"/>
    <n v="1"/>
    <s v="MedgidiaRunning"/>
    <m/>
    <n v="1"/>
  </r>
  <r>
    <x v="80"/>
    <s v="M"/>
    <n v="7"/>
    <n v="10.050000000000001"/>
    <d v="1899-12-30T00:48:08"/>
    <d v="1899-12-30T00:48:26"/>
    <d v="1899-12-30T00:48:17"/>
    <m/>
    <d v="1899-12-30T00:04:48"/>
    <n v="2.3928571428571428"/>
    <n v="3"/>
    <n v="4"/>
    <x v="0"/>
    <n v="0.5"/>
    <n v="0.25"/>
    <n v="0.25"/>
    <n v="0"/>
    <n v="0"/>
    <n v="0"/>
    <n v="0"/>
    <n v="2.9464285714285712"/>
    <s v="26.02.2023"/>
    <n v="1"/>
    <s v="Almost Kenyan Runners"/>
    <m/>
    <n v="1"/>
  </r>
  <r>
    <x v="39"/>
    <s v="M"/>
    <n v="7"/>
    <n v="13.02"/>
    <d v="1899-12-30T01:42:21"/>
    <d v="1899-12-30T01:45:31"/>
    <d v="1899-12-30T01:43:56"/>
    <m/>
    <d v="1899-12-30T00:07:59"/>
    <n v="3.0999999999999996"/>
    <n v="0.25"/>
    <n v="1.5"/>
    <x v="0"/>
    <n v="0.5"/>
    <n v="0.25"/>
    <n v="0.25"/>
    <n v="0"/>
    <n v="0"/>
    <n v="0"/>
    <n v="0"/>
    <n v="1.9874999999999998"/>
    <s v="26.02.2023"/>
    <n v="1"/>
    <s v="#notSYRious"/>
    <m/>
    <n v="1"/>
  </r>
  <r>
    <x v="87"/>
    <s v="M"/>
    <n v="7"/>
    <n v="22.89"/>
    <d v="1899-12-30T01:33:00"/>
    <d v="1899-12-30T01:33:00"/>
    <d v="1899-12-30T01:33:00"/>
    <m/>
    <d v="1899-12-30T00:04:04"/>
    <n v="5"/>
    <n v="4.5"/>
    <n v="0.5"/>
    <x v="0"/>
    <n v="0.5"/>
    <n v="0.25"/>
    <n v="0.25"/>
    <n v="0"/>
    <n v="0"/>
    <n v="0"/>
    <n v="0"/>
    <n v="3.75"/>
    <s v="26.02.2023"/>
    <n v="1"/>
    <e v="#N/A"/>
    <m/>
    <n v="1"/>
  </r>
  <r>
    <x v="81"/>
    <s v="M"/>
    <n v="7"/>
    <n v="8.06"/>
    <d v="1899-12-30T00:30:11"/>
    <d v="1899-12-30T00:30:11"/>
    <d v="1899-12-30T00:30:11"/>
    <m/>
    <d v="1899-12-30T00:03:45"/>
    <n v="1.9190476190476191"/>
    <n v="5"/>
    <n v="2.25"/>
    <x v="1"/>
    <n v="0.25"/>
    <n v="0.5"/>
    <n v="0.25"/>
    <n v="0"/>
    <n v="0"/>
    <n v="1.4999999999999998"/>
    <n v="0"/>
    <n v="5.0422619047619044"/>
    <s v="26.02.2023"/>
    <n v="1"/>
    <e v="#N/A"/>
    <m/>
    <n v="1"/>
  </r>
  <r>
    <x v="46"/>
    <s v="M"/>
    <n v="7"/>
    <n v="9.34"/>
    <d v="1899-12-30T00:51:01"/>
    <d v="1899-12-30T00:51:07"/>
    <d v="1899-12-30T00:51:04"/>
    <m/>
    <d v="1899-12-30T00:05:28"/>
    <n v="2.2238095238095239"/>
    <n v="2"/>
    <n v="2.25"/>
    <x v="0"/>
    <n v="0.5"/>
    <n v="0.25"/>
    <n v="0.25"/>
    <n v="0"/>
    <n v="0"/>
    <n v="0"/>
    <n v="0"/>
    <n v="2.174404761904762"/>
    <s v="26.02.2023"/>
    <n v="1"/>
    <s v="#notSYRious"/>
    <m/>
    <n v="1"/>
  </r>
  <r>
    <x v="55"/>
    <s v="M"/>
    <n v="7"/>
    <n v="9.0500000000000007"/>
    <d v="1899-12-30T01:01:40"/>
    <d v="1899-12-30T01:46:36"/>
    <d v="1899-12-30T01:24:08"/>
    <n v="808"/>
    <d v="1899-12-30T00:09:18"/>
    <n v="2.1547619047619047"/>
    <n v="0"/>
    <n v="2"/>
    <x v="0"/>
    <n v="0.5"/>
    <n v="0.25"/>
    <n v="0.25"/>
    <n v="0.53866666666666663"/>
    <n v="0"/>
    <n v="0"/>
    <n v="0"/>
    <n v="2.116047619047619"/>
    <s v="26.02.2023"/>
    <n v="1"/>
    <e v="#N/A"/>
    <m/>
    <n v="0"/>
  </r>
  <r>
    <x v="30"/>
    <s v="M"/>
    <n v="7"/>
    <n v="32.049999999999997"/>
    <d v="1899-12-30T03:23:29"/>
    <d v="1899-12-30T03:26:38"/>
    <d v="1899-12-30T03:25:04"/>
    <n v="1029"/>
    <d v="1899-12-30T00:06:24"/>
    <n v="5"/>
    <n v="1"/>
    <n v="4"/>
    <x v="2"/>
    <n v="0.25"/>
    <n v="0.25"/>
    <n v="0.5"/>
    <n v="0.68600000000000005"/>
    <n v="0.5"/>
    <n v="0"/>
    <n v="0"/>
    <n v="4.6859999999999999"/>
    <s v="26.02.2023"/>
    <n v="1"/>
    <s v="The GOATs"/>
    <m/>
    <n v="1"/>
  </r>
  <r>
    <x v="86"/>
    <s v="F"/>
    <n v="7"/>
    <n v="10.050000000000001"/>
    <d v="1899-12-30T00:51:22"/>
    <d v="1899-12-30T00:51:22"/>
    <d v="1899-12-30T00:51:22"/>
    <m/>
    <d v="1899-12-30T00:05:07"/>
    <n v="2.5125000000000002"/>
    <n v="3.5"/>
    <n v="1.25"/>
    <x v="1"/>
    <n v="0.25"/>
    <n v="0.5"/>
    <n v="0.25"/>
    <n v="0"/>
    <n v="0"/>
    <n v="0"/>
    <n v="0"/>
    <n v="2.6906249999999998"/>
    <s v="26.02.2023"/>
    <n v="1"/>
    <s v="Almost Kenyan Runners"/>
    <m/>
    <n v="1"/>
  </r>
  <r>
    <x v="75"/>
    <s v="F"/>
    <n v="7"/>
    <n v="7"/>
    <d v="1899-12-30T00:38:57"/>
    <d v="1899-12-30T00:39:35"/>
    <d v="1899-12-30T00:39:16"/>
    <m/>
    <d v="1899-12-30T00:05:37"/>
    <n v="1.75"/>
    <n v="2.5"/>
    <n v="2.75"/>
    <x v="0"/>
    <n v="0.5"/>
    <n v="0.25"/>
    <n v="0.25"/>
    <n v="0"/>
    <n v="0"/>
    <n v="0"/>
    <n v="0"/>
    <n v="2.1875"/>
    <s v="26.02.2023"/>
    <n v="1"/>
    <s v="#notSYRious"/>
    <m/>
    <n v="1"/>
  </r>
  <r>
    <x v="70"/>
    <s v="F"/>
    <n v="8"/>
    <n v="6.01"/>
    <d v="1899-12-30T00:33:53"/>
    <d v="1899-12-30T00:33:57"/>
    <d v="1899-12-30T00:33:55"/>
    <m/>
    <d v="1899-12-30T00:05:39"/>
    <n v="1.5024999999999999"/>
    <n v="2.5"/>
    <n v="2.25"/>
    <x v="1"/>
    <n v="0.25"/>
    <n v="0.5"/>
    <n v="0.25"/>
    <n v="0"/>
    <n v="0"/>
    <n v="0"/>
    <n v="0"/>
    <n v="2.1881249999999999"/>
    <s v="01.03.2023"/>
    <n v="1"/>
    <e v="#N/A"/>
    <m/>
    <n v="1"/>
  </r>
  <r>
    <x v="47"/>
    <s v="M"/>
    <n v="8"/>
    <n v="13.01"/>
    <d v="1899-12-30T01:07:07"/>
    <d v="1899-12-30T01:08:02"/>
    <d v="1899-12-30T01:07:35"/>
    <n v="50"/>
    <d v="1899-12-30T00:05:12"/>
    <n v="3.0976190476190473"/>
    <n v="2.5"/>
    <n v="1"/>
    <x v="0"/>
    <n v="0.5"/>
    <n v="0.25"/>
    <n v="0.25"/>
    <n v="3.3333333333333333E-2"/>
    <n v="0"/>
    <n v="0"/>
    <n v="0"/>
    <n v="2.4571428571428569"/>
    <s v="01.03.2023"/>
    <n v="1"/>
    <e v="#N/A"/>
    <m/>
    <n v="1"/>
  </r>
  <r>
    <x v="42"/>
    <s v="M"/>
    <n v="8"/>
    <n v="16.489999999999998"/>
    <d v="1899-12-30T01:22:05"/>
    <d v="1899-12-30T01:22:05"/>
    <d v="1899-12-30T01:22:05"/>
    <m/>
    <d v="1899-12-30T00:04:59"/>
    <n v="3.9261904761904756"/>
    <n v="3"/>
    <n v="2.25"/>
    <x v="0"/>
    <n v="0.5"/>
    <n v="0.25"/>
    <n v="0.25"/>
    <n v="0"/>
    <n v="0"/>
    <n v="0"/>
    <n v="0"/>
    <n v="3.2755952380952378"/>
    <s v="01.03.2023"/>
    <n v="1"/>
    <s v="The GOATs"/>
    <m/>
    <n v="1"/>
  </r>
  <r>
    <x v="28"/>
    <s v="M"/>
    <n v="8"/>
    <n v="7.27"/>
    <d v="1899-12-30T00:30:57"/>
    <d v="1899-12-30T00:30:57"/>
    <d v="1899-12-30T00:30:57"/>
    <m/>
    <d v="1899-12-30T00:04:15"/>
    <n v="1.7309523809523808"/>
    <n v="4.5"/>
    <n v="1"/>
    <x v="1"/>
    <n v="0.25"/>
    <n v="0.5"/>
    <n v="0.25"/>
    <n v="0"/>
    <n v="0"/>
    <n v="0"/>
    <n v="0"/>
    <n v="2.9327380952380953"/>
    <s v="01.03.2023"/>
    <n v="1"/>
    <s v="UltraHaita lu' Borcan"/>
    <m/>
    <n v="1"/>
  </r>
  <r>
    <x v="0"/>
    <s v="M"/>
    <n v="8"/>
    <n v="30.74"/>
    <d v="1899-12-30T03:17:02"/>
    <d v="1899-12-30T03:17:07"/>
    <d v="1899-12-30T03:17:05"/>
    <m/>
    <d v="1899-12-30T00:06:25"/>
    <n v="5"/>
    <n v="1"/>
    <n v="2"/>
    <x v="0"/>
    <n v="0.5"/>
    <n v="0.25"/>
    <n v="0.25"/>
    <n v="0"/>
    <n v="0.4"/>
    <n v="0"/>
    <n v="0"/>
    <n v="3.65"/>
    <s v="02.03.2023"/>
    <n v="1"/>
    <s v="UltraHaita lu' Borcan"/>
    <m/>
    <n v="1"/>
  </r>
  <r>
    <x v="21"/>
    <s v="M"/>
    <n v="8"/>
    <n v="11.7"/>
    <d v="1899-12-30T01:04:17"/>
    <d v="1899-12-30T01:19:25"/>
    <d v="1899-12-30T01:11:51"/>
    <n v="177"/>
    <d v="1899-12-30T00:06:08"/>
    <n v="2.7857142857142856"/>
    <n v="1.25"/>
    <n v="2.75"/>
    <x v="1"/>
    <n v="0.25"/>
    <n v="0.5"/>
    <n v="0.25"/>
    <n v="0.11799999999999999"/>
    <n v="0"/>
    <n v="0"/>
    <n v="0.4"/>
    <n v="2.526928571428571"/>
    <s v="02.03.2023"/>
    <n v="1"/>
    <s v="#notSYRious"/>
    <m/>
    <n v="1"/>
  </r>
  <r>
    <x v="1"/>
    <s v="M"/>
    <n v="8"/>
    <n v="28.06"/>
    <d v="1899-12-30T02:45:28"/>
    <d v="1899-12-30T02:45:28"/>
    <d v="1899-12-30T02:45:28"/>
    <m/>
    <d v="1899-12-30T00:05:54"/>
    <n v="5"/>
    <n v="1.5"/>
    <n v="1"/>
    <x v="1"/>
    <n v="0.25"/>
    <n v="0.5"/>
    <n v="0.25"/>
    <n v="0"/>
    <n v="0.3"/>
    <n v="0"/>
    <n v="0"/>
    <n v="2.5499999999999998"/>
    <s v="02.03.2023"/>
    <n v="1"/>
    <e v="#N/A"/>
    <m/>
    <n v="1"/>
  </r>
  <r>
    <x v="109"/>
    <s v="M"/>
    <n v="8"/>
    <n v="10.01"/>
    <d v="1899-12-30T00:47:32"/>
    <d v="1899-12-30T00:48:51"/>
    <d v="1899-12-30T00:48:12"/>
    <m/>
    <d v="1899-12-30T00:04:49"/>
    <n v="2.3833333333333333"/>
    <n v="3"/>
    <n v="2.75"/>
    <x v="1"/>
    <n v="0.25"/>
    <n v="0.5"/>
    <n v="0.25"/>
    <n v="0"/>
    <n v="0"/>
    <n v="0"/>
    <n v="0"/>
    <n v="2.7833333333333332"/>
    <s v="03.03.2023"/>
    <n v="1"/>
    <e v="#N/A"/>
    <m/>
    <n v="1"/>
  </r>
  <r>
    <x v="7"/>
    <s v="M"/>
    <n v="8"/>
    <n v="20.68"/>
    <d v="1899-12-30T01:58:17"/>
    <d v="1899-12-30T02:01:08"/>
    <d v="1899-12-30T01:59:42"/>
    <n v="72"/>
    <d v="1899-12-30T00:05:47"/>
    <n v="4.9238095238095232"/>
    <n v="1.5"/>
    <n v="2.5"/>
    <x v="0"/>
    <n v="0.5"/>
    <n v="0.25"/>
    <n v="0.25"/>
    <n v="4.8000000000000001E-2"/>
    <n v="0"/>
    <n v="0"/>
    <n v="0"/>
    <n v="3.5099047619047616"/>
    <s v="03.03.2023"/>
    <n v="1"/>
    <s v="MedgidiaRunning"/>
    <m/>
    <n v="1"/>
  </r>
  <r>
    <x v="24"/>
    <s v="M"/>
    <n v="8"/>
    <n v="7.18"/>
    <d v="1899-12-30T00:29:49"/>
    <d v="1899-12-30T00:30:08"/>
    <d v="1899-12-30T00:29:58"/>
    <m/>
    <d v="1899-12-30T00:04:10"/>
    <n v="1.7095238095238094"/>
    <n v="4.5"/>
    <n v="2.25"/>
    <x v="1"/>
    <n v="0.25"/>
    <n v="0.5"/>
    <n v="0.25"/>
    <n v="0"/>
    <n v="0"/>
    <n v="0"/>
    <n v="0"/>
    <n v="3.2398809523809522"/>
    <s v="03.03.2023"/>
    <n v="1"/>
    <e v="#N/A"/>
    <m/>
    <n v="1"/>
  </r>
  <r>
    <x v="112"/>
    <s v="M"/>
    <n v="8"/>
    <n v="21.14"/>
    <d v="1899-12-30T02:11:08"/>
    <d v="1899-12-30T02:11:34"/>
    <d v="1899-12-30T02:11:21"/>
    <n v="124"/>
    <d v="1899-12-30T00:06:13"/>
    <n v="5"/>
    <n v="1.25"/>
    <n v="1.25"/>
    <x v="1"/>
    <n v="0.25"/>
    <n v="0.5"/>
    <n v="0.25"/>
    <n v="8.2666666666666666E-2"/>
    <n v="0"/>
    <n v="0"/>
    <n v="0"/>
    <n v="2.2701666666666664"/>
    <s v="03.03.2023"/>
    <n v="1"/>
    <e v="#N/A"/>
    <m/>
    <n v="1"/>
  </r>
  <r>
    <x v="12"/>
    <s v="M"/>
    <n v="8"/>
    <n v="10"/>
    <d v="1899-12-30T00:40:05"/>
    <d v="1899-12-30T00:40:05"/>
    <d v="1899-12-30T00:40:05"/>
    <m/>
    <d v="1899-12-30T00:04:01"/>
    <n v="2.3809523809523809"/>
    <n v="5"/>
    <n v="2.5"/>
    <x v="1"/>
    <n v="0.25"/>
    <n v="0.5"/>
    <n v="0.25"/>
    <n v="0"/>
    <n v="0"/>
    <n v="0"/>
    <n v="0"/>
    <n v="3.7202380952380953"/>
    <s v="03.03.2023"/>
    <n v="1"/>
    <s v="#notSYRious"/>
    <m/>
    <n v="1"/>
  </r>
  <r>
    <x v="13"/>
    <s v="M"/>
    <n v="8"/>
    <n v="11"/>
    <d v="1899-12-30T01:31:33"/>
    <d v="1899-12-30T01:31:41"/>
    <d v="1899-12-30T01:31:37"/>
    <n v="160"/>
    <d v="1899-12-30T00:08:20"/>
    <n v="2.6190476190476191"/>
    <n v="0"/>
    <n v="3.5"/>
    <x v="0"/>
    <n v="0.5"/>
    <n v="0.25"/>
    <n v="0.25"/>
    <n v="0.10666666666666667"/>
    <n v="0"/>
    <n v="0"/>
    <n v="0"/>
    <n v="2.2911904761904758"/>
    <s v="03.03.2023"/>
    <n v="1"/>
    <s v="MedgidiaRunning"/>
    <m/>
    <n v="0"/>
  </r>
  <r>
    <x v="82"/>
    <s v="M"/>
    <n v="8"/>
    <n v="8.0299999999999994"/>
    <d v="1899-12-30T00:29:12"/>
    <d v="1899-12-30T00:29:12"/>
    <d v="1899-12-30T00:29:12"/>
    <m/>
    <d v="1899-12-30T00:03:38"/>
    <n v="1.9119047619047618"/>
    <n v="5"/>
    <n v="3"/>
    <x v="1"/>
    <n v="0.25"/>
    <n v="0.5"/>
    <n v="0.25"/>
    <n v="0"/>
    <n v="0"/>
    <n v="2.25"/>
    <n v="0"/>
    <n v="5.9779761904761903"/>
    <s v="03.03.2023"/>
    <n v="1"/>
    <s v="Almost Kenyan Runners"/>
    <m/>
    <n v="1"/>
  </r>
  <r>
    <x v="20"/>
    <s v="F"/>
    <n v="8"/>
    <n v="10.039999999999999"/>
    <d v="1899-12-30T00:52:44"/>
    <d v="1899-12-30T00:52:44"/>
    <d v="1899-12-30T00:52:44"/>
    <m/>
    <d v="1899-12-30T00:05:15"/>
    <n v="2.5099999999999998"/>
    <n v="3.5"/>
    <n v="2.25"/>
    <x v="1"/>
    <n v="0.25"/>
    <n v="0.5"/>
    <n v="0.25"/>
    <n v="0"/>
    <n v="0"/>
    <n v="0"/>
    <n v="0"/>
    <n v="2.94"/>
    <s v="03.03.2023"/>
    <n v="1"/>
    <s v="MedgidiaRunning"/>
    <m/>
    <n v="1"/>
  </r>
  <r>
    <x v="60"/>
    <s v="M"/>
    <n v="8"/>
    <n v="10.01"/>
    <d v="1899-12-30T00:33:24"/>
    <d v="1899-12-30T00:33:24"/>
    <d v="1899-12-30T00:33:24"/>
    <m/>
    <d v="1899-12-30T00:03:20"/>
    <n v="2.3833333333333333"/>
    <n v="5"/>
    <n v="3.25"/>
    <x v="1"/>
    <n v="0.25"/>
    <n v="0.5"/>
    <n v="0.25"/>
    <n v="0"/>
    <n v="0"/>
    <n v="6.75"/>
    <n v="0"/>
    <n v="10.658333333333333"/>
    <s v="04.03.2023"/>
    <n v="1"/>
    <s v="#notSYRious"/>
    <m/>
    <n v="1"/>
  </r>
  <r>
    <x v="105"/>
    <s v="M"/>
    <n v="8"/>
    <n v="10.01"/>
    <d v="1899-12-30T00:38:47"/>
    <d v="1899-12-30T00:38:47"/>
    <d v="1899-12-30T00:38:47"/>
    <m/>
    <d v="1899-12-30T00:03:52"/>
    <n v="2.3833333333333333"/>
    <n v="5"/>
    <n v="0.5"/>
    <x v="1"/>
    <n v="0.25"/>
    <n v="0.5"/>
    <n v="0.25"/>
    <n v="0"/>
    <n v="0"/>
    <n v="0.45000000000000007"/>
    <n v="0"/>
    <n v="3.6708333333333334"/>
    <s v="04.03.2023"/>
    <n v="1"/>
    <s v="The GOATs"/>
    <m/>
    <n v="1"/>
  </r>
  <r>
    <x v="84"/>
    <s v="M"/>
    <n v="8"/>
    <n v="4.2"/>
    <d v="1899-12-30T00:17:04"/>
    <d v="1899-12-30T00:17:04"/>
    <d v="1899-12-30T00:17:04"/>
    <m/>
    <d v="1899-12-30T00:04:04"/>
    <n v="1"/>
    <n v="4.5"/>
    <n v="3"/>
    <x v="1"/>
    <n v="0.25"/>
    <n v="0.5"/>
    <n v="0.25"/>
    <n v="0"/>
    <n v="0"/>
    <n v="0"/>
    <n v="0"/>
    <n v="3.25"/>
    <s v="04.03.2023"/>
    <n v="1"/>
    <s v="The GOATs"/>
    <m/>
    <n v="1"/>
  </r>
  <r>
    <x v="107"/>
    <s v="M"/>
    <n v="8"/>
    <n v="22.11"/>
    <d v="1899-12-30T02:07:12"/>
    <d v="1899-12-30T02:07:21"/>
    <d v="1899-12-30T02:07:16"/>
    <n v="164"/>
    <d v="1899-12-30T00:05:45"/>
    <n v="5"/>
    <n v="1.75"/>
    <n v="4"/>
    <x v="1"/>
    <n v="0.25"/>
    <n v="0.5"/>
    <n v="0.25"/>
    <n v="0.10933333333333334"/>
    <n v="0"/>
    <n v="0"/>
    <n v="0"/>
    <n v="3.2343333333333333"/>
    <s v="04.03.2023"/>
    <n v="1"/>
    <s v="The GOATs"/>
    <m/>
    <n v="1"/>
  </r>
  <r>
    <x v="29"/>
    <s v="F"/>
    <n v="8"/>
    <n v="4.3"/>
    <d v="1899-12-30T00:21:17"/>
    <d v="1899-12-30T00:21:17"/>
    <d v="1899-12-30T00:21:17"/>
    <m/>
    <d v="1899-12-30T00:04:57"/>
    <n v="1.075"/>
    <n v="4"/>
    <n v="1.5"/>
    <x v="1"/>
    <n v="0.25"/>
    <n v="0.5"/>
    <n v="0.25"/>
    <n v="0"/>
    <n v="0"/>
    <n v="0"/>
    <n v="0"/>
    <n v="2.6437499999999998"/>
    <s v="04.03.2023"/>
    <n v="1"/>
    <e v="#N/A"/>
    <m/>
    <n v="1"/>
  </r>
  <r>
    <x v="115"/>
    <s v="M"/>
    <n v="8"/>
    <n v="15.19"/>
    <d v="1899-12-30T01:27:06"/>
    <d v="1899-12-30T01:52:34"/>
    <d v="1899-12-30T01:39:50"/>
    <m/>
    <d v="1899-12-30T00:06:34"/>
    <n v="3.6166666666666663"/>
    <n v="0.75"/>
    <n v="0"/>
    <x v="1"/>
    <n v="0.25"/>
    <n v="0.5"/>
    <n v="0.25"/>
    <n v="0"/>
    <n v="0"/>
    <n v="0"/>
    <n v="0"/>
    <n v="1.2791666666666666"/>
    <s v="04.03.2023"/>
    <n v="1"/>
    <e v="#N/A"/>
    <m/>
    <n v="1"/>
  </r>
  <r>
    <x v="57"/>
    <s v="M"/>
    <n v="8"/>
    <n v="0"/>
    <d v="1899-12-30T00:00:00"/>
    <d v="1899-12-30T00:00:00"/>
    <d v="1899-12-30T00:00:00"/>
    <m/>
    <d v="1899-12-30T00:00:00"/>
    <n v="0"/>
    <n v="0"/>
    <n v="0"/>
    <x v="3"/>
    <n v="0.25"/>
    <n v="0.25"/>
    <n v="0.25"/>
    <n v="0"/>
    <n v="0"/>
    <n v="0"/>
    <n v="0"/>
    <n v="1.5"/>
    <s v="04.03.2023"/>
    <n v="1"/>
    <s v="The GOATs"/>
    <m/>
    <n v="0"/>
  </r>
  <r>
    <x v="19"/>
    <s v="M"/>
    <n v="8"/>
    <n v="17.760000000000002"/>
    <d v="1899-12-30T02:28:40"/>
    <d v="1899-12-30T02:32:57"/>
    <d v="1899-12-30T02:30:48"/>
    <n v="1012"/>
    <d v="1899-12-30T00:08:29"/>
    <n v="4.2285714285714286"/>
    <n v="0"/>
    <n v="2.5"/>
    <x v="0"/>
    <n v="0.5"/>
    <n v="0.25"/>
    <n v="0.25"/>
    <n v="0.67466666666666664"/>
    <n v="0"/>
    <n v="0"/>
    <n v="0"/>
    <n v="3.4139523809523808"/>
    <s v="04.03.2023"/>
    <n v="1"/>
    <e v="#N/A"/>
    <m/>
    <n v="0"/>
  </r>
  <r>
    <x v="113"/>
    <s v="M"/>
    <n v="8"/>
    <n v="14"/>
    <d v="1899-12-30T01:14:27"/>
    <d v="1899-12-30T01:14:27"/>
    <d v="1899-12-30T01:14:27"/>
    <m/>
    <d v="1899-12-30T00:05:19"/>
    <n v="3.333333333333333"/>
    <n v="2"/>
    <n v="2"/>
    <x v="1"/>
    <n v="0.25"/>
    <n v="0.5"/>
    <n v="0.25"/>
    <n v="0"/>
    <n v="0"/>
    <n v="0"/>
    <n v="0"/>
    <n v="2.333333333333333"/>
    <s v="04.03.2023"/>
    <n v="1"/>
    <e v="#N/A"/>
    <m/>
    <n v="1"/>
  </r>
  <r>
    <x v="15"/>
    <s v="F"/>
    <n v="8"/>
    <n v="20.03"/>
    <d v="1899-12-30T01:59:01"/>
    <d v="1899-12-30T01:59:08"/>
    <d v="1899-12-30T01:59:04"/>
    <n v="95"/>
    <d v="1899-12-30T00:05:57"/>
    <n v="5"/>
    <n v="2"/>
    <n v="3.75"/>
    <x v="2"/>
    <n v="0.25"/>
    <n v="0.25"/>
    <n v="0.5"/>
    <n v="6.3333333333333339E-2"/>
    <n v="0"/>
    <n v="0"/>
    <n v="0"/>
    <n v="3.6883333333333335"/>
    <s v="04.03.2023"/>
    <n v="1"/>
    <e v="#N/A"/>
    <m/>
    <n v="1"/>
  </r>
  <r>
    <x v="67"/>
    <s v="M"/>
    <n v="8"/>
    <n v="10.33"/>
    <d v="1899-12-30T00:45:04"/>
    <d v="1899-12-30T00:45:49"/>
    <d v="1899-12-30T00:45:27"/>
    <m/>
    <d v="1899-12-30T00:04:24"/>
    <n v="2.4595238095238092"/>
    <n v="4"/>
    <n v="1.5"/>
    <x v="1"/>
    <n v="0.25"/>
    <n v="0.5"/>
    <n v="0.25"/>
    <n v="0"/>
    <n v="0"/>
    <n v="0"/>
    <n v="0"/>
    <n v="2.9898809523809522"/>
    <s v="04.03.2023"/>
    <n v="1"/>
    <s v="Almost Kenyan Runners"/>
    <m/>
    <n v="1"/>
  </r>
  <r>
    <x v="55"/>
    <s v="M"/>
    <n v="8"/>
    <n v="15.81"/>
    <d v="1899-12-30T02:10:20"/>
    <d v="1899-12-30T04:04:41"/>
    <d v="1899-12-30T03:07:31"/>
    <n v="2293"/>
    <d v="1899-12-30T00:11:52"/>
    <n v="3.7642857142857142"/>
    <n v="0"/>
    <n v="3"/>
    <x v="2"/>
    <n v="0.25"/>
    <n v="0.25"/>
    <n v="0.5"/>
    <n v="1.5286666666666666"/>
    <n v="0"/>
    <n v="0"/>
    <n v="0"/>
    <n v="3.9697380952380952"/>
    <s v="04.03.2023"/>
    <n v="1"/>
    <e v="#N/A"/>
    <m/>
    <n v="0"/>
  </r>
  <r>
    <x v="44"/>
    <s v="M"/>
    <n v="8"/>
    <n v="56.1"/>
    <d v="1899-12-30T07:11:14"/>
    <d v="1899-12-30T09:19:28"/>
    <d v="1899-12-30T08:15:21"/>
    <n v="1948"/>
    <d v="1899-12-30T00:08:50"/>
    <n v="5"/>
    <n v="0"/>
    <n v="4.25"/>
    <x v="0"/>
    <n v="0.5"/>
    <n v="0.25"/>
    <n v="0.25"/>
    <n v="1.2986666666666666"/>
    <n v="1.7"/>
    <n v="0"/>
    <n v="0"/>
    <n v="6.5611666666666668"/>
    <s v="04.03.2023"/>
    <n v="1"/>
    <s v="UltraHaita lu' Borcan"/>
    <m/>
    <n v="0"/>
  </r>
  <r>
    <x v="22"/>
    <s v="F"/>
    <n v="8"/>
    <n v="23.08"/>
    <d v="1899-12-30T02:42:33"/>
    <d v="1899-12-30T02:48:27"/>
    <d v="1899-12-30T02:45:30"/>
    <n v="195"/>
    <d v="1899-12-30T00:07:10"/>
    <n v="5"/>
    <n v="0.75"/>
    <n v="3.5"/>
    <x v="0"/>
    <n v="0.5"/>
    <n v="0.25"/>
    <n v="0.25"/>
    <n v="0.13"/>
    <n v="0.1"/>
    <n v="0"/>
    <n v="0"/>
    <n v="3.7925"/>
    <s v="04.03.2023"/>
    <n v="1"/>
    <s v="MedgidiaRunning"/>
    <m/>
    <n v="1"/>
  </r>
  <r>
    <x v="114"/>
    <s v="M"/>
    <n v="8"/>
    <n v="42.38"/>
    <d v="1899-12-30T04:30:39"/>
    <d v="1899-12-30T04:35:24"/>
    <d v="1899-12-30T04:33:01"/>
    <m/>
    <d v="1899-12-30T00:06:27"/>
    <n v="5"/>
    <n v="1"/>
    <n v="0.5"/>
    <x v="0"/>
    <n v="0.5"/>
    <n v="0.25"/>
    <n v="0.25"/>
    <n v="0"/>
    <n v="1"/>
    <n v="0"/>
    <n v="0"/>
    <n v="3.875"/>
    <s v="04.03.2023"/>
    <n v="1"/>
    <e v="#N/A"/>
    <m/>
    <n v="1"/>
  </r>
  <r>
    <x v="52"/>
    <s v="M"/>
    <n v="8"/>
    <n v="6"/>
    <d v="1899-12-30T00:25:28"/>
    <d v="1899-12-30T00:25:28"/>
    <d v="1899-12-30T00:25:28"/>
    <m/>
    <d v="1899-12-30T00:04:15"/>
    <n v="1.4285714285714286"/>
    <n v="4.5"/>
    <n v="2.25"/>
    <x v="1"/>
    <n v="0.25"/>
    <n v="0.5"/>
    <n v="0.25"/>
    <n v="0"/>
    <n v="0"/>
    <n v="0"/>
    <n v="0"/>
    <n v="3.1696428571428572"/>
    <s v="04.03.2023"/>
    <n v="1"/>
    <e v="#N/A"/>
    <m/>
    <n v="1"/>
  </r>
  <r>
    <x v="36"/>
    <s v="M"/>
    <n v="8"/>
    <n v="21.01"/>
    <d v="1899-12-30T02:01:02"/>
    <d v="1899-12-30T02:05:03"/>
    <d v="1899-12-30T02:03:02"/>
    <n v="145"/>
    <d v="1899-12-30T00:05:51"/>
    <n v="5"/>
    <n v="1.5"/>
    <n v="3"/>
    <x v="0"/>
    <n v="0.5"/>
    <n v="0.25"/>
    <n v="0.25"/>
    <n v="9.6666666666666665E-2"/>
    <n v="0"/>
    <n v="0"/>
    <n v="0"/>
    <n v="3.7216666666666667"/>
    <s v="05.03.2023"/>
    <n v="1"/>
    <s v="MedgidiaRunning"/>
    <m/>
    <n v="1"/>
  </r>
  <r>
    <x v="50"/>
    <s v="M"/>
    <n v="8"/>
    <n v="30.12"/>
    <d v="1899-12-30T03:19:49"/>
    <d v="1899-12-30T03:27:57"/>
    <d v="1899-12-30T03:23:53"/>
    <n v="172"/>
    <d v="1899-12-30T00:06:46"/>
    <n v="5"/>
    <n v="0.5"/>
    <n v="5"/>
    <x v="2"/>
    <n v="0.25"/>
    <n v="0.25"/>
    <n v="0.5"/>
    <n v="0.11466666666666667"/>
    <n v="0.4"/>
    <n v="0"/>
    <n v="0"/>
    <n v="4.3896666666666668"/>
    <s v="05.03.2023"/>
    <n v="1"/>
    <s v="The GOATs"/>
    <m/>
    <n v="1"/>
  </r>
  <r>
    <x v="91"/>
    <s v="M"/>
    <n v="8"/>
    <n v="11.03"/>
    <d v="1899-12-30T01:08:54"/>
    <d v="1899-12-30T01:08:58"/>
    <d v="1899-12-30T01:08:56"/>
    <m/>
    <d v="1899-12-30T00:06:15"/>
    <n v="2.6261904761904757"/>
    <n v="1.25"/>
    <n v="3"/>
    <x v="0"/>
    <n v="0.5"/>
    <n v="0.25"/>
    <n v="0.25"/>
    <n v="0"/>
    <n v="0"/>
    <n v="0"/>
    <n v="0"/>
    <n v="2.3755952380952379"/>
    <s v="05.03.2023"/>
    <n v="1"/>
    <s v="#notSYRious"/>
    <m/>
    <n v="1"/>
  </r>
  <r>
    <x v="69"/>
    <s v="M"/>
    <n v="8"/>
    <n v="5.01"/>
    <d v="1899-12-30T00:21:12"/>
    <d v="1899-12-30T00:21:12"/>
    <d v="1899-12-30T00:21:12"/>
    <m/>
    <d v="1899-12-30T00:04:14"/>
    <n v="1.1928571428571428"/>
    <n v="4.5"/>
    <n v="2"/>
    <x v="1"/>
    <n v="0.25"/>
    <n v="0.5"/>
    <n v="0.25"/>
    <n v="0"/>
    <n v="0"/>
    <n v="0"/>
    <n v="0"/>
    <n v="3.0482142857142858"/>
    <s v="05.03.2023"/>
    <n v="1"/>
    <s v="Almost Kenyan Runners"/>
    <m/>
    <n v="1"/>
  </r>
  <r>
    <x v="9"/>
    <s v="M"/>
    <n v="8"/>
    <n v="30.62"/>
    <d v="1899-12-30T03:54:28"/>
    <d v="1899-12-30T04:26:21"/>
    <d v="1899-12-30T04:10:25"/>
    <n v="1577"/>
    <d v="1899-12-30T00:08:11"/>
    <n v="5"/>
    <n v="0"/>
    <n v="2.5"/>
    <x v="0"/>
    <n v="0.5"/>
    <n v="0.25"/>
    <n v="0.25"/>
    <n v="1.0513333333333332"/>
    <n v="0.4"/>
    <n v="0"/>
    <n v="0"/>
    <n v="4.5763333333333334"/>
    <s v="05.03.2023"/>
    <n v="1"/>
    <s v="The GOATs"/>
    <m/>
    <n v="0"/>
  </r>
  <r>
    <x v="75"/>
    <s v="F"/>
    <n v="8"/>
    <n v="15.02"/>
    <d v="1899-12-30T01:24:42"/>
    <d v="1899-12-30T01:29:59"/>
    <d v="1899-12-30T01:27:21"/>
    <m/>
    <d v="1899-12-30T00:05:49"/>
    <n v="3.7549999999999999"/>
    <n v="2"/>
    <n v="3.25"/>
    <x v="0"/>
    <n v="0.5"/>
    <n v="0.25"/>
    <n v="0.25"/>
    <n v="0"/>
    <n v="0"/>
    <n v="0"/>
    <n v="0"/>
    <n v="3.19"/>
    <s v="05.03.2023"/>
    <n v="1"/>
    <s v="#notSYRious"/>
    <m/>
    <n v="1"/>
  </r>
  <r>
    <x v="43"/>
    <s v="M"/>
    <n v="8"/>
    <n v="22"/>
    <d v="1899-12-30T01:44:05"/>
    <d v="1899-12-30T01:44:05"/>
    <d v="1899-12-30T01:44:05"/>
    <m/>
    <d v="1899-12-30T00:04:44"/>
    <n v="5"/>
    <n v="3.5"/>
    <n v="2"/>
    <x v="1"/>
    <n v="0.25"/>
    <n v="0.5"/>
    <n v="0.25"/>
    <n v="0"/>
    <n v="0"/>
    <n v="0"/>
    <n v="0"/>
    <n v="3.5"/>
    <s v="05.03.2023"/>
    <n v="1"/>
    <s v="Almost Kenyan Runners"/>
    <m/>
    <n v="1"/>
  </r>
  <r>
    <x v="74"/>
    <s v="F"/>
    <n v="8"/>
    <n v="10.039999999999999"/>
    <d v="1899-12-30T01:04:07"/>
    <d v="1899-12-30T01:17:50"/>
    <d v="1899-12-30T01:10:59"/>
    <m/>
    <d v="1899-12-30T00:07:04"/>
    <n v="2.5099999999999998"/>
    <n v="0.75"/>
    <n v="3"/>
    <x v="2"/>
    <n v="0.25"/>
    <n v="0.25"/>
    <n v="0.5"/>
    <n v="0"/>
    <n v="0"/>
    <n v="0"/>
    <n v="0"/>
    <n v="2.3149999999999999"/>
    <s v="05.03.2023"/>
    <n v="1"/>
    <s v="UltraHaita lu' Borcan"/>
    <m/>
    <n v="1"/>
  </r>
  <r>
    <x v="35"/>
    <s v="F"/>
    <n v="8"/>
    <n v="6.01"/>
    <d v="1899-12-30T00:38:54"/>
    <d v="1899-12-30T00:41:12"/>
    <d v="1899-12-30T00:40:03"/>
    <m/>
    <d v="1899-12-30T00:06:40"/>
    <n v="1.5024999999999999"/>
    <n v="1.25"/>
    <n v="3.75"/>
    <x v="1"/>
    <n v="0.25"/>
    <n v="0.5"/>
    <n v="0.25"/>
    <n v="0"/>
    <n v="0"/>
    <n v="0"/>
    <n v="0"/>
    <n v="1.9381249999999999"/>
    <s v="05.03.2023"/>
    <n v="1"/>
    <s v="#notSYRious"/>
    <m/>
    <n v="1"/>
  </r>
  <r>
    <x v="71"/>
    <s v="M"/>
    <n v="8"/>
    <n v="15.59"/>
    <d v="1899-12-30T07:51:51"/>
    <d v="1899-12-30T08:16:01"/>
    <d v="1899-12-30T08:03:56"/>
    <n v="819"/>
    <d v="1899-12-30T00:31:02"/>
    <n v="3.7119047619047616"/>
    <n v="0"/>
    <n v="3"/>
    <x v="2"/>
    <n v="0.25"/>
    <n v="0.25"/>
    <n v="0.5"/>
    <n v="0.54600000000000004"/>
    <n v="0"/>
    <n v="0"/>
    <n v="0"/>
    <n v="2.9739761904761908"/>
    <s v="05.03.2023"/>
    <n v="1"/>
    <s v="MedgidiaRunning"/>
    <m/>
    <n v="0"/>
  </r>
  <r>
    <x v="48"/>
    <s v="M"/>
    <n v="8"/>
    <n v="50.01"/>
    <d v="1899-12-30T03:57:27"/>
    <d v="1899-12-30T03:59:41"/>
    <d v="1899-12-30T03:58:34"/>
    <n v="52"/>
    <d v="1899-12-30T00:04:46"/>
    <n v="5"/>
    <n v="3"/>
    <n v="1.5"/>
    <x v="0"/>
    <n v="0.5"/>
    <n v="0.25"/>
    <n v="0.25"/>
    <n v="3.4666666666666665E-2"/>
    <n v="1.4"/>
    <n v="0"/>
    <n v="0"/>
    <n v="5.0596666666666668"/>
    <s v="05.03.2023"/>
    <n v="1"/>
    <s v="UltraHaita lu' Borcan"/>
    <m/>
    <n v="1"/>
  </r>
  <r>
    <x v="16"/>
    <s v="F"/>
    <n v="8"/>
    <n v="3.01"/>
    <d v="1899-12-30T00:13:54"/>
    <d v="1899-12-30T00:13:54"/>
    <d v="1899-12-30T00:13:54"/>
    <m/>
    <d v="1899-12-30T00:04:37"/>
    <n v="0.75249999999999995"/>
    <n v="4.5"/>
    <n v="2"/>
    <x v="1"/>
    <n v="0.25"/>
    <n v="0.5"/>
    <n v="0.25"/>
    <n v="0"/>
    <n v="0"/>
    <n v="0"/>
    <n v="0"/>
    <n v="2.9381249999999999"/>
    <s v="05.03.2023"/>
    <n v="1"/>
    <s v="MedgidiaRunning"/>
    <m/>
    <n v="1"/>
  </r>
  <r>
    <x v="72"/>
    <s v="F"/>
    <n v="8"/>
    <n v="0"/>
    <d v="1899-12-30T00:00:00"/>
    <d v="1899-12-30T00:00:00"/>
    <d v="1899-12-30T00:00:00"/>
    <m/>
    <d v="1899-12-30T00:00:00"/>
    <n v="0"/>
    <n v="0"/>
    <n v="0"/>
    <x v="3"/>
    <n v="0.25"/>
    <n v="0.25"/>
    <n v="0.25"/>
    <n v="0"/>
    <n v="0"/>
    <n v="0"/>
    <n v="0"/>
    <n v="1.5"/>
    <s v="05.03.2023"/>
    <n v="1"/>
    <e v="#N/A"/>
    <m/>
    <n v="0"/>
  </r>
  <r>
    <x v="62"/>
    <s v="M"/>
    <n v="8"/>
    <n v="12.06"/>
    <d v="1899-12-30T01:16:59"/>
    <d v="1899-12-30T01:17:03"/>
    <d v="1899-12-30T01:17:01"/>
    <m/>
    <d v="1899-12-30T00:06:23"/>
    <n v="2.8714285714285714"/>
    <n v="1"/>
    <n v="2"/>
    <x v="0"/>
    <n v="0.5"/>
    <n v="0.25"/>
    <n v="0.25"/>
    <n v="0"/>
    <n v="0"/>
    <n v="0"/>
    <n v="0"/>
    <n v="2.1857142857142859"/>
    <s v="05.03.2023"/>
    <n v="1"/>
    <e v="#N/A"/>
    <m/>
    <n v="1"/>
  </r>
  <r>
    <x v="14"/>
    <s v="F"/>
    <n v="8"/>
    <n v="16.03"/>
    <d v="1899-12-30T01:26:21"/>
    <d v="1899-12-30T01:29:59"/>
    <d v="1899-12-30T01:28:10"/>
    <m/>
    <d v="1899-12-30T00:05:30"/>
    <n v="4.0075000000000003"/>
    <n v="3"/>
    <n v="2.25"/>
    <x v="0"/>
    <n v="0.5"/>
    <n v="0.25"/>
    <n v="0.25"/>
    <n v="0"/>
    <n v="0"/>
    <n v="0"/>
    <n v="0"/>
    <n v="3.3162500000000001"/>
    <s v="05.03.2023"/>
    <n v="1"/>
    <s v="MedgidiaRunning"/>
    <m/>
    <n v="1"/>
  </r>
  <r>
    <x v="106"/>
    <s v="F"/>
    <n v="8"/>
    <n v="5.12"/>
    <d v="1899-12-30T00:32:45"/>
    <d v="1899-12-30T00:32:59"/>
    <d v="1899-12-30T00:32:52"/>
    <m/>
    <d v="1899-12-30T00:06:25"/>
    <n v="1.28"/>
    <n v="1.5"/>
    <n v="1.75"/>
    <x v="1"/>
    <n v="0.25"/>
    <n v="0.5"/>
    <n v="0.25"/>
    <n v="0"/>
    <n v="0"/>
    <n v="0"/>
    <n v="0"/>
    <n v="1.5075000000000001"/>
    <s v="05.03.2023"/>
    <n v="1"/>
    <s v="MedgidiaRunning"/>
    <m/>
    <n v="1"/>
  </r>
  <r>
    <x v="37"/>
    <s v="M"/>
    <n v="8"/>
    <n v="30"/>
    <d v="1899-12-30T02:32:48"/>
    <d v="1899-12-30T02:32:54"/>
    <d v="1899-12-30T02:32:51"/>
    <m/>
    <d v="1899-12-30T00:05:06"/>
    <n v="5"/>
    <n v="2.5"/>
    <n v="1.5"/>
    <x v="0"/>
    <n v="0.5"/>
    <n v="0.25"/>
    <n v="0.25"/>
    <n v="0"/>
    <n v="0.4"/>
    <n v="0"/>
    <n v="0"/>
    <n v="3.9"/>
    <s v="05.03.2023"/>
    <n v="1"/>
    <e v="#N/A"/>
    <m/>
    <n v="1"/>
  </r>
  <r>
    <x v="98"/>
    <s v="F"/>
    <n v="8"/>
    <n v="9.01"/>
    <d v="1899-12-30T00:47:53"/>
    <d v="1899-12-30T00:48:57"/>
    <d v="1899-12-30T00:48:25"/>
    <m/>
    <d v="1899-12-30T00:05:22"/>
    <n v="2.2524999999999999"/>
    <n v="3"/>
    <n v="1.5"/>
    <x v="1"/>
    <n v="0.25"/>
    <n v="0.5"/>
    <n v="0.25"/>
    <n v="0"/>
    <n v="0"/>
    <n v="0"/>
    <n v="0"/>
    <n v="2.4381249999999999"/>
    <s v="05.03.2023"/>
    <n v="1"/>
    <s v="#notSYRious"/>
    <m/>
    <n v="1"/>
  </r>
  <r>
    <x v="104"/>
    <s v="F"/>
    <n v="8"/>
    <n v="3.01"/>
    <d v="1899-12-30T00:24:42"/>
    <d v="1899-12-30T00:26:39"/>
    <d v="1899-12-30T00:25:40"/>
    <m/>
    <d v="1899-12-30T00:08:32"/>
    <n v="0.75249999999999995"/>
    <n v="0.25"/>
    <n v="2"/>
    <x v="1"/>
    <n v="0.25"/>
    <n v="0.5"/>
    <n v="0.25"/>
    <n v="0"/>
    <n v="0"/>
    <n v="0"/>
    <n v="0.7"/>
    <n v="1.5131250000000001"/>
    <s v="05.03.2023"/>
    <n v="1"/>
    <e v="#N/A"/>
    <m/>
    <n v="1"/>
  </r>
  <r>
    <x v="11"/>
    <s v="M"/>
    <n v="8"/>
    <n v="21.11"/>
    <d v="1899-12-30T01:46:04"/>
    <d v="1899-12-30T01:46:07"/>
    <d v="1899-12-30T01:46:06"/>
    <m/>
    <d v="1899-12-30T00:05:02"/>
    <n v="5"/>
    <n v="2.5"/>
    <n v="3"/>
    <x v="1"/>
    <n v="0.25"/>
    <n v="0.5"/>
    <n v="0.25"/>
    <n v="0"/>
    <n v="0"/>
    <n v="0"/>
    <n v="0.4"/>
    <n v="3.65"/>
    <s v="05.03.2023"/>
    <n v="1"/>
    <e v="#N/A"/>
    <m/>
    <n v="1"/>
  </r>
  <r>
    <x v="83"/>
    <s v="M"/>
    <n v="8"/>
    <n v="20.81"/>
    <d v="1899-12-30T02:34:15"/>
    <d v="1899-12-30T02:44:17"/>
    <d v="1899-12-30T02:39:16"/>
    <n v="866"/>
    <d v="1899-12-30T00:07:39"/>
    <n v="4.954761904761904"/>
    <n v="0.25"/>
    <n v="2"/>
    <x v="0"/>
    <n v="0.5"/>
    <n v="0.25"/>
    <n v="0.25"/>
    <n v="0.57733333333333337"/>
    <n v="0"/>
    <n v="0"/>
    <n v="0"/>
    <n v="3.6172142857142853"/>
    <s v="05.03.2023"/>
    <n v="1"/>
    <e v="#N/A"/>
    <m/>
    <n v="1"/>
  </r>
  <r>
    <x v="54"/>
    <s v="F"/>
    <n v="8"/>
    <n v="8.19"/>
    <d v="1899-12-30T01:01:17"/>
    <d v="1899-12-30T01:40:21"/>
    <d v="1899-12-30T01:20:49"/>
    <m/>
    <d v="1899-12-30T00:09:52"/>
    <n v="2.0474999999999999"/>
    <n v="0"/>
    <n v="3"/>
    <x v="1"/>
    <n v="0.25"/>
    <n v="0.5"/>
    <n v="0.25"/>
    <n v="0"/>
    <n v="0"/>
    <n v="0"/>
    <n v="0.7"/>
    <n v="1.9618749999999998"/>
    <s v="05.03.2023"/>
    <n v="1"/>
    <s v="UltraHaita lu' Borcan"/>
    <m/>
    <n v="0"/>
  </r>
  <r>
    <x v="88"/>
    <s v="M"/>
    <n v="8"/>
    <n v="20.010000000000002"/>
    <d v="1899-12-30T01:19:18"/>
    <d v="1899-12-30T01:22:46"/>
    <d v="1899-12-30T01:21:02"/>
    <n v="118"/>
    <d v="1899-12-30T00:04:03"/>
    <n v="4.7642857142857142"/>
    <n v="4.5"/>
    <n v="1.75"/>
    <x v="0"/>
    <n v="0.5"/>
    <n v="0.25"/>
    <n v="0.25"/>
    <n v="7.8666666666666663E-2"/>
    <n v="0"/>
    <n v="0"/>
    <n v="0"/>
    <n v="4.023309523809524"/>
    <s v="05.03.2023"/>
    <n v="1"/>
    <s v="Almost Kenyan Runners"/>
    <m/>
    <n v="1"/>
  </r>
  <r>
    <x v="59"/>
    <s v="M"/>
    <n v="8"/>
    <n v="21.51"/>
    <d v="1899-12-30T03:18:13"/>
    <d v="1899-12-30T03:33:59"/>
    <d v="1899-12-30T03:26:06"/>
    <n v="807"/>
    <d v="1899-12-30T00:09:35"/>
    <n v="5"/>
    <n v="0"/>
    <n v="2"/>
    <x v="0"/>
    <n v="0.5"/>
    <n v="0.25"/>
    <n v="0.25"/>
    <n v="0.53800000000000003"/>
    <n v="0"/>
    <n v="0"/>
    <n v="0"/>
    <n v="3.5380000000000003"/>
    <s v="05.03.2023"/>
    <n v="1"/>
    <s v="UltraHaita lu' Borcan"/>
    <m/>
    <n v="0"/>
  </r>
  <r>
    <x v="53"/>
    <s v="M"/>
    <n v="8"/>
    <n v="22.38"/>
    <d v="1899-12-30T02:40:14"/>
    <d v="1899-12-30T03:05:01"/>
    <d v="1899-12-30T02:52:37"/>
    <n v="1050"/>
    <d v="1899-12-30T00:07:43"/>
    <n v="5"/>
    <n v="0.25"/>
    <n v="1.5"/>
    <x v="1"/>
    <n v="0.25"/>
    <n v="0.5"/>
    <n v="0.25"/>
    <n v="0.7"/>
    <n v="0"/>
    <n v="0"/>
    <n v="0"/>
    <n v="2.4500000000000002"/>
    <s v="05.03.2023"/>
    <n v="1"/>
    <s v="#notSYRious"/>
    <m/>
    <n v="1"/>
  </r>
  <r>
    <x v="18"/>
    <s v="M"/>
    <n v="8"/>
    <n v="84.65"/>
    <d v="1899-12-30T09:02:35"/>
    <d v="1899-12-30T10:14:09"/>
    <d v="1899-12-30T09:38:22"/>
    <n v="271"/>
    <d v="1899-12-30T00:06:50"/>
    <n v="5"/>
    <n v="0.5"/>
    <n v="2"/>
    <x v="2"/>
    <n v="0.25"/>
    <n v="0.25"/>
    <n v="0.5"/>
    <n v="0.18066666666666667"/>
    <n v="3.1"/>
    <n v="0"/>
    <n v="0"/>
    <n v="5.6556666666666668"/>
    <s v="05.03.2023"/>
    <n v="1"/>
    <s v="UltraHaita lu' Borcan"/>
    <m/>
    <n v="1"/>
  </r>
  <r>
    <x v="76"/>
    <s v="F"/>
    <n v="8"/>
    <n v="12.1"/>
    <d v="1899-12-30T01:12:25"/>
    <d v="1899-12-30T01:17:47"/>
    <d v="1899-12-30T01:15:06"/>
    <m/>
    <d v="1899-12-30T00:06:12"/>
    <n v="3.0249999999999999"/>
    <n v="1.75"/>
    <n v="2.5"/>
    <x v="1"/>
    <n v="0.25"/>
    <n v="0.5"/>
    <n v="0.25"/>
    <n v="0"/>
    <n v="0"/>
    <n v="0"/>
    <n v="0"/>
    <n v="2.2562500000000001"/>
    <s v="05.03.2023"/>
    <n v="1"/>
    <e v="#N/A"/>
    <m/>
    <n v="1"/>
  </r>
  <r>
    <x v="77"/>
    <s v="F"/>
    <n v="8"/>
    <n v="24.12"/>
    <d v="1899-12-30T02:57:02"/>
    <d v="1899-12-30T03:06:50"/>
    <d v="1899-12-30T03:01:56"/>
    <n v="1037"/>
    <d v="1899-12-30T00:07:33"/>
    <n v="5"/>
    <n v="0.25"/>
    <n v="4"/>
    <x v="0"/>
    <n v="0.5"/>
    <n v="0.25"/>
    <n v="0.25"/>
    <n v="0.69133333333333336"/>
    <n v="0.1"/>
    <n v="0"/>
    <n v="0"/>
    <n v="4.3538333333333332"/>
    <s v="05.03.2023"/>
    <n v="1"/>
    <s v="The GOATs"/>
    <m/>
    <n v="1"/>
  </r>
  <r>
    <x v="89"/>
    <s v="M"/>
    <n v="8"/>
    <n v="12.39"/>
    <d v="1899-12-30T01:03:34"/>
    <d v="1899-12-30T01:04:36"/>
    <d v="1899-12-30T01:04:05"/>
    <m/>
    <d v="1899-12-30T00:05:10"/>
    <n v="2.95"/>
    <n v="2.5"/>
    <n v="2.5"/>
    <x v="0"/>
    <n v="0.5"/>
    <n v="0.25"/>
    <n v="0.25"/>
    <n v="0"/>
    <n v="0"/>
    <n v="0"/>
    <n v="0"/>
    <n v="2.7250000000000001"/>
    <s v="05.03.2023"/>
    <n v="1"/>
    <e v="#N/A"/>
    <m/>
    <n v="1"/>
  </r>
  <r>
    <x v="58"/>
    <s v="M"/>
    <n v="8"/>
    <n v="12.15"/>
    <d v="1899-12-30T00:59:50"/>
    <d v="1899-12-30T00:59:59"/>
    <d v="1899-12-30T00:59:55"/>
    <m/>
    <d v="1899-12-30T00:04:56"/>
    <n v="2.8928571428571428"/>
    <n v="3"/>
    <n v="3.75"/>
    <x v="2"/>
    <n v="0.25"/>
    <n v="0.25"/>
    <n v="0.5"/>
    <n v="0"/>
    <n v="0"/>
    <n v="0"/>
    <n v="0"/>
    <n v="3.3482142857142856"/>
    <s v="05.03.2023"/>
    <n v="1"/>
    <s v="Almost Kenyan Runners"/>
    <m/>
    <n v="1"/>
  </r>
  <r>
    <x v="45"/>
    <s v="F"/>
    <n v="8"/>
    <n v="12.6"/>
    <d v="1899-12-30T01:27:49"/>
    <d v="1899-12-30T02:01:02"/>
    <d v="1899-12-30T01:44:26"/>
    <n v="406"/>
    <d v="1899-12-30T00:08:17"/>
    <n v="3.15"/>
    <n v="0.25"/>
    <n v="2"/>
    <x v="1"/>
    <n v="0.25"/>
    <n v="0.5"/>
    <n v="0.25"/>
    <n v="0.27066666666666667"/>
    <n v="0"/>
    <n v="0"/>
    <n v="0"/>
    <n v="1.6831666666666667"/>
    <s v="05.03.2023"/>
    <n v="1"/>
    <e v="#N/A"/>
    <m/>
    <n v="1"/>
  </r>
  <r>
    <x v="92"/>
    <s v="F"/>
    <n v="8"/>
    <n v="14.16"/>
    <d v="1899-12-30T01:24:23"/>
    <d v="1899-12-30T01:35:38"/>
    <d v="1899-12-30T01:30:00"/>
    <m/>
    <d v="1899-12-30T00:06:21"/>
    <n v="3.54"/>
    <n v="1.5"/>
    <n v="1.75"/>
    <x v="0"/>
    <n v="0.5"/>
    <n v="0.25"/>
    <n v="0.25"/>
    <n v="0"/>
    <n v="0"/>
    <n v="0"/>
    <n v="0"/>
    <n v="2.5825"/>
    <s v="05.03.2023"/>
    <n v="1"/>
    <s v="The GOATs"/>
    <m/>
    <n v="1"/>
  </r>
  <r>
    <x v="103"/>
    <s v="M"/>
    <n v="8"/>
    <n v="7.23"/>
    <d v="1899-12-30T00:32:08"/>
    <d v="1899-12-30T00:32:45"/>
    <d v="1899-12-30T00:32:27"/>
    <m/>
    <d v="1899-12-30T00:04:29"/>
    <n v="1.7214285714285715"/>
    <n v="4"/>
    <n v="1.5"/>
    <x v="1"/>
    <n v="0.25"/>
    <n v="0.5"/>
    <n v="0.25"/>
    <n v="0"/>
    <n v="0"/>
    <n v="0"/>
    <n v="0"/>
    <n v="2.8053571428571429"/>
    <s v="05.03.2023"/>
    <n v="1"/>
    <e v="#N/A"/>
    <m/>
    <n v="1"/>
  </r>
  <r>
    <x v="40"/>
    <s v="M"/>
    <n v="8"/>
    <n v="24.01"/>
    <d v="1899-12-30T03:46:18"/>
    <d v="1899-12-30T03:49:55"/>
    <d v="1899-12-30T03:48:07"/>
    <n v="1106"/>
    <d v="1899-12-30T00:09:30"/>
    <n v="5"/>
    <n v="0"/>
    <n v="1"/>
    <x v="0"/>
    <n v="0.5"/>
    <n v="0.25"/>
    <n v="0.25"/>
    <n v="0.73733333333333329"/>
    <n v="0.1"/>
    <n v="0"/>
    <n v="0"/>
    <n v="3.5873333333333335"/>
    <s v="05.03.2023"/>
    <n v="1"/>
    <s v="Almost Kenyan Runners"/>
    <m/>
    <n v="0"/>
  </r>
  <r>
    <x v="4"/>
    <s v="M"/>
    <n v="8"/>
    <n v="3"/>
    <d v="1899-12-30T00:11:58"/>
    <d v="1899-12-30T00:11:58"/>
    <d v="1899-12-30T00:11:58"/>
    <m/>
    <d v="1899-12-30T00:03:59"/>
    <n v="0.7142857142857143"/>
    <n v="5"/>
    <n v="0.75"/>
    <x v="1"/>
    <n v="0.25"/>
    <n v="0.5"/>
    <n v="0.25"/>
    <n v="0"/>
    <n v="0"/>
    <n v="0.15000000000000002"/>
    <n v="0.4"/>
    <n v="3.4160714285714282"/>
    <s v="05.03.2023"/>
    <n v="1"/>
    <s v="UltraHaita lu' Borcan"/>
    <m/>
    <n v="1"/>
  </r>
  <r>
    <x v="65"/>
    <s v="F"/>
    <n v="8"/>
    <n v="12.7"/>
    <d v="1899-12-30T01:33:39"/>
    <d v="1899-12-30T02:01:29"/>
    <d v="1899-12-30T01:47:34"/>
    <n v="455"/>
    <d v="1899-12-30T00:08:28"/>
    <n v="3.1749999999999998"/>
    <n v="0.25"/>
    <n v="1"/>
    <x v="1"/>
    <n v="0.25"/>
    <n v="0.5"/>
    <n v="0.25"/>
    <n v="0.30333333333333334"/>
    <n v="0"/>
    <n v="0"/>
    <n v="0"/>
    <n v="1.4720833333333334"/>
    <s v="05.03.2023"/>
    <n v="1"/>
    <e v="#N/A"/>
    <m/>
    <n v="1"/>
  </r>
  <r>
    <x v="32"/>
    <s v="M"/>
    <n v="8"/>
    <n v="28.36"/>
    <d v="1899-12-30T02:44:34"/>
    <d v="1899-12-30T02:46:46"/>
    <d v="1899-12-30T02:45:40"/>
    <m/>
    <d v="1899-12-30T00:05:50"/>
    <n v="5"/>
    <n v="1.5"/>
    <n v="2"/>
    <x v="2"/>
    <n v="0.25"/>
    <n v="0.25"/>
    <n v="0.5"/>
    <n v="0"/>
    <n v="0.3"/>
    <n v="0"/>
    <n v="0"/>
    <n v="2.9249999999999998"/>
    <s v="05.03.2023"/>
    <n v="1"/>
    <e v="#N/A"/>
    <m/>
    <n v="1"/>
  </r>
  <r>
    <x v="34"/>
    <s v="M"/>
    <n v="8"/>
    <n v="7.73"/>
    <d v="1899-12-30T00:40:10"/>
    <d v="1899-12-30T00:42:04"/>
    <d v="1899-12-30T00:41:07"/>
    <m/>
    <d v="1899-12-30T00:05:19"/>
    <n v="1.8404761904761906"/>
    <n v="2"/>
    <n v="1.75"/>
    <x v="1"/>
    <n v="0.25"/>
    <n v="0.5"/>
    <n v="0.25"/>
    <n v="0"/>
    <n v="0"/>
    <n v="0"/>
    <n v="0"/>
    <n v="1.8976190476190475"/>
    <s v="05.03.2023"/>
    <n v="1"/>
    <e v="#N/A"/>
    <m/>
    <n v="1"/>
  </r>
  <r>
    <x v="116"/>
    <s v="M"/>
    <n v="8"/>
    <n v="21.17"/>
    <d v="1899-12-30T01:45:36"/>
    <d v="1899-12-30T01:59:55"/>
    <d v="1899-12-30T01:52:46"/>
    <n v="115"/>
    <d v="1899-12-30T00:05:20"/>
    <n v="5"/>
    <n v="2"/>
    <n v="2.5"/>
    <x v="0"/>
    <n v="0.5"/>
    <n v="0.25"/>
    <n v="0.25"/>
    <n v="7.6666666666666661E-2"/>
    <n v="0"/>
    <n v="0"/>
    <n v="0"/>
    <n v="3.7016666666666667"/>
    <s v="05.03.2023"/>
    <n v="1"/>
    <e v="#N/A"/>
    <m/>
    <n v="1"/>
  </r>
  <r>
    <x v="3"/>
    <s v="M"/>
    <n v="8"/>
    <n v="21.22"/>
    <d v="1899-12-30T02:33:11"/>
    <d v="1899-12-30T02:35:24"/>
    <d v="1899-12-30T02:34:18"/>
    <n v="272"/>
    <d v="1899-12-30T00:07:16"/>
    <n v="5"/>
    <n v="0.25"/>
    <n v="2.75"/>
    <x v="2"/>
    <n v="0.25"/>
    <n v="0.25"/>
    <n v="0.5"/>
    <n v="0.18133333333333335"/>
    <n v="0"/>
    <n v="0"/>
    <n v="0.4"/>
    <n v="3.2688333333333333"/>
    <s v="05.03.2023"/>
    <n v="1"/>
    <s v="MedgidiaRunning"/>
    <m/>
    <n v="1"/>
  </r>
  <r>
    <x v="51"/>
    <s v="F"/>
    <n v="8"/>
    <n v="10.88"/>
    <d v="1899-12-30T01:09:46"/>
    <d v="1899-12-30T01:10:34"/>
    <d v="1899-12-30T01:10:10"/>
    <m/>
    <d v="1899-12-30T00:06:27"/>
    <n v="2.72"/>
    <n v="1.5"/>
    <n v="2.5"/>
    <x v="2"/>
    <n v="0.25"/>
    <n v="0.25"/>
    <n v="0.5"/>
    <n v="0"/>
    <n v="0"/>
    <n v="0"/>
    <n v="0"/>
    <n v="2.3050000000000002"/>
    <s v="05.03.2023"/>
    <n v="1"/>
    <s v="#notSYRious"/>
    <m/>
    <n v="1"/>
  </r>
  <r>
    <x v="64"/>
    <s v="M"/>
    <n v="8"/>
    <n v="20.010000000000002"/>
    <d v="1899-12-30T01:32:45"/>
    <d v="1899-12-30T01:39:44"/>
    <d v="1899-12-30T01:36:14"/>
    <m/>
    <d v="1899-12-30T00:04:49"/>
    <n v="4.7642857142857142"/>
    <n v="3"/>
    <n v="4"/>
    <x v="2"/>
    <n v="0.25"/>
    <n v="0.25"/>
    <n v="0.5"/>
    <n v="0"/>
    <n v="0"/>
    <n v="0"/>
    <n v="0"/>
    <n v="3.9410714285714286"/>
    <s v="05.03.2023"/>
    <n v="1"/>
    <s v="The GOATs"/>
    <m/>
    <n v="1"/>
  </r>
  <r>
    <x v="111"/>
    <s v="F"/>
    <n v="8"/>
    <n v="10.25"/>
    <d v="1899-12-30T01:14:58"/>
    <d v="1899-12-30T01:15:57"/>
    <d v="1899-12-30T01:15:28"/>
    <n v="52"/>
    <d v="1899-12-30T00:07:22"/>
    <n v="2.5625"/>
    <n v="0.5"/>
    <n v="2.5"/>
    <x v="0"/>
    <n v="0.5"/>
    <n v="0.25"/>
    <n v="0.25"/>
    <n v="3.4666666666666665E-2"/>
    <n v="0"/>
    <n v="0"/>
    <n v="0.4"/>
    <n v="2.4659166666666668"/>
    <s v="05.03.2023"/>
    <n v="1"/>
    <e v="#N/A"/>
    <m/>
    <n v="1"/>
  </r>
  <r>
    <x v="108"/>
    <s v="M"/>
    <n v="8"/>
    <n v="19.13"/>
    <d v="1899-12-30T01:34:26"/>
    <d v="1899-12-30T02:15:38"/>
    <d v="1899-12-30T01:55:02"/>
    <m/>
    <d v="1899-12-30T00:06:01"/>
    <n v="4.5547619047619046"/>
    <n v="1.5"/>
    <n v="2"/>
    <x v="0"/>
    <n v="0.5"/>
    <n v="0.25"/>
    <n v="0.25"/>
    <n v="0"/>
    <n v="0"/>
    <n v="0"/>
    <n v="0"/>
    <n v="3.1523809523809523"/>
    <s v="05.03.2023"/>
    <n v="1"/>
    <e v="#N/A"/>
    <m/>
    <n v="1"/>
  </r>
  <r>
    <x v="87"/>
    <s v="M"/>
    <n v="8"/>
    <n v="89.6"/>
    <d v="1899-12-30T05:56:38"/>
    <d v="1899-12-30T06:00:27"/>
    <d v="1899-12-30T05:58:33"/>
    <m/>
    <d v="1899-12-30T00:04:00"/>
    <n v="5"/>
    <n v="5"/>
    <n v="4"/>
    <x v="1"/>
    <n v="0.25"/>
    <n v="0.5"/>
    <n v="0.25"/>
    <n v="0"/>
    <n v="3.4"/>
    <n v="0"/>
    <n v="0"/>
    <n v="8.15"/>
    <s v="05.03.2023"/>
    <n v="1"/>
    <e v="#N/A"/>
    <m/>
    <n v="1"/>
  </r>
  <r>
    <x v="2"/>
    <s v="F"/>
    <n v="8"/>
    <n v="16.11"/>
    <d v="1899-12-30T01:38:15"/>
    <d v="1899-12-30T01:41:57"/>
    <d v="1899-12-30T01:40:06"/>
    <n v="61"/>
    <d v="1899-12-30T00:06:13"/>
    <n v="4.0274999999999999"/>
    <n v="1.75"/>
    <n v="3.5"/>
    <x v="0"/>
    <n v="0.5"/>
    <n v="0.25"/>
    <n v="0.25"/>
    <n v="4.0666666666666663E-2"/>
    <n v="0"/>
    <n v="0"/>
    <n v="0"/>
    <n v="3.3669166666666666"/>
    <s v="05.03.2023"/>
    <n v="1"/>
    <s v="MedgidiaRunning"/>
    <m/>
    <n v="1"/>
  </r>
  <r>
    <x v="96"/>
    <s v="F"/>
    <n v="8"/>
    <n v="8.19"/>
    <d v="1899-12-30T00:48:32"/>
    <d v="1899-12-30T01:08:13"/>
    <d v="1899-12-30T00:58:23"/>
    <m/>
    <d v="1899-12-30T00:07:08"/>
    <n v="2.0474999999999999"/>
    <n v="0.75"/>
    <n v="3.5"/>
    <x v="2"/>
    <n v="0.25"/>
    <n v="0.25"/>
    <n v="0.5"/>
    <n v="0"/>
    <n v="0"/>
    <n v="0"/>
    <n v="0"/>
    <n v="2.4493749999999999"/>
    <s v="05.03.2023"/>
    <n v="1"/>
    <e v="#N/A"/>
    <m/>
    <n v="1"/>
  </r>
  <r>
    <x v="30"/>
    <s v="M"/>
    <n v="8"/>
    <n v="13"/>
    <d v="1899-12-30T01:00:29"/>
    <d v="1899-12-30T01:00:34"/>
    <d v="1899-12-30T01:00:31"/>
    <m/>
    <d v="1899-12-30T00:04:39"/>
    <n v="3.0952380952380949"/>
    <n v="3.5"/>
    <n v="3.5"/>
    <x v="1"/>
    <n v="0.25"/>
    <n v="0.5"/>
    <n v="0.25"/>
    <n v="0"/>
    <n v="0"/>
    <n v="0"/>
    <n v="0"/>
    <n v="3.3988095238095237"/>
    <s v="05.03.2023"/>
    <n v="1"/>
    <s v="The GOATs"/>
    <m/>
    <n v="1"/>
  </r>
  <r>
    <x v="46"/>
    <s v="M"/>
    <n v="8"/>
    <n v="21.21"/>
    <d v="1899-12-30T03:00:49"/>
    <d v="1899-12-30T03:17:12"/>
    <d v="1899-12-30T03:09:01"/>
    <n v="723"/>
    <d v="1899-12-30T00:08:55"/>
    <n v="5"/>
    <n v="0"/>
    <n v="2.75"/>
    <x v="0"/>
    <n v="0.5"/>
    <n v="0.25"/>
    <n v="0.25"/>
    <n v="0.48199999999999998"/>
    <n v="0"/>
    <n v="0"/>
    <n v="0"/>
    <n v="3.6695000000000002"/>
    <s v="05.03.2023"/>
    <n v="1"/>
    <s v="#notSYRious"/>
    <m/>
    <n v="0"/>
  </r>
  <r>
    <x v="41"/>
    <s v="M"/>
    <n v="8"/>
    <n v="61.01"/>
    <d v="1899-12-30T05:35:17"/>
    <d v="1899-12-30T05:42:55"/>
    <d v="1899-12-30T05:39:06"/>
    <n v="606"/>
    <d v="1899-12-30T00:05:33"/>
    <n v="5"/>
    <n v="1.75"/>
    <n v="4"/>
    <x v="2"/>
    <n v="0.25"/>
    <n v="0.25"/>
    <n v="0.5"/>
    <n v="0.40400000000000003"/>
    <n v="2"/>
    <n v="0"/>
    <n v="0"/>
    <n v="6.0914999999999999"/>
    <s v="05.03.2023"/>
    <n v="1"/>
    <s v="UltraHaita lu' Borcan"/>
    <m/>
    <n v="1"/>
  </r>
  <r>
    <x v="27"/>
    <s v="M"/>
    <n v="8"/>
    <n v="10.19"/>
    <d v="1899-12-30T00:49:07"/>
    <d v="1899-12-30T00:49:34"/>
    <d v="1899-12-30T00:49:21"/>
    <m/>
    <d v="1899-12-30T00:04:51"/>
    <n v="2.426190476190476"/>
    <n v="3"/>
    <n v="2.5"/>
    <x v="1"/>
    <n v="0.25"/>
    <n v="0.5"/>
    <n v="0.25"/>
    <n v="0"/>
    <n v="0"/>
    <n v="0"/>
    <n v="0"/>
    <n v="2.7315476190476189"/>
    <s v="05.03.2023"/>
    <n v="1"/>
    <s v="#notSYRious"/>
    <m/>
    <n v="1"/>
  </r>
  <r>
    <x v="80"/>
    <s v="M"/>
    <n v="8"/>
    <n v="15"/>
    <d v="1899-12-30T01:11:23"/>
    <d v="1899-12-30T01:12:58"/>
    <d v="1899-12-30T01:12:11"/>
    <m/>
    <d v="1899-12-30T00:04:49"/>
    <n v="3.5714285714285712"/>
    <n v="3"/>
    <n v="0.5"/>
    <x v="0"/>
    <n v="0.5"/>
    <n v="0.25"/>
    <n v="0.25"/>
    <n v="0"/>
    <n v="0"/>
    <n v="0"/>
    <n v="0"/>
    <n v="2.6607142857142856"/>
    <s v="05.03.2023"/>
    <n v="1"/>
    <s v="Almost Kenyan Runners"/>
    <m/>
    <n v="1"/>
  </r>
  <r>
    <x v="86"/>
    <s v="F"/>
    <n v="8"/>
    <n v="20.149999999999999"/>
    <d v="1899-12-30T02:17:56"/>
    <d v="1899-12-30T02:46:07"/>
    <d v="1899-12-30T02:32:02"/>
    <n v="92"/>
    <d v="1899-12-30T00:07:33"/>
    <n v="5"/>
    <n v="0.25"/>
    <n v="2"/>
    <x v="0"/>
    <n v="0.5"/>
    <n v="0.25"/>
    <n v="0.25"/>
    <n v="6.133333333333333E-2"/>
    <n v="0"/>
    <n v="0"/>
    <n v="0"/>
    <n v="3.1238333333333332"/>
    <s v="05.03.2023"/>
    <n v="1"/>
    <s v="Almost Kenyan Runners"/>
    <m/>
    <n v="1"/>
  </r>
  <r>
    <x v="81"/>
    <s v="M"/>
    <n v="8"/>
    <n v="14.28"/>
    <d v="1899-12-30T00:58:14"/>
    <d v="1899-12-30T00:58:14"/>
    <d v="1899-12-30T00:58:14"/>
    <n v="120"/>
    <d v="1899-12-30T00:04:05"/>
    <n v="3.4"/>
    <n v="4.5"/>
    <n v="1.5"/>
    <x v="1"/>
    <n v="0.25"/>
    <n v="0.5"/>
    <n v="0.25"/>
    <n v="0.08"/>
    <n v="0"/>
    <n v="0"/>
    <n v="0"/>
    <n v="3.5550000000000002"/>
    <s v="05.03.2023"/>
    <n v="1"/>
    <e v="#N/A"/>
    <m/>
    <n v="1"/>
  </r>
  <r>
    <x v="39"/>
    <s v="M"/>
    <n v="8"/>
    <n v="10.4"/>
    <d v="1899-12-30T01:25:54"/>
    <d v="1899-12-30T01:27:48"/>
    <d v="1899-12-30T01:26:51"/>
    <n v="402"/>
    <d v="1899-12-30T00:08:21"/>
    <n v="2.4761904761904763"/>
    <n v="0"/>
    <n v="2.5"/>
    <x v="0"/>
    <n v="0.5"/>
    <n v="0.25"/>
    <n v="0.25"/>
    <n v="0.26800000000000002"/>
    <n v="0"/>
    <n v="0"/>
    <n v="0"/>
    <n v="2.1310952380952379"/>
    <s v="05.03.2023"/>
    <n v="1"/>
    <s v="#notSYRious"/>
    <m/>
    <n v="0"/>
  </r>
  <r>
    <x v="85"/>
    <s v="M"/>
    <n v="8"/>
    <n v="45"/>
    <d v="1899-12-30T06:33:00"/>
    <d v="1899-12-30T06:54:53"/>
    <d v="1899-12-30T06:43:56"/>
    <n v="2102"/>
    <d v="1899-12-30T00:08:59"/>
    <n v="5"/>
    <n v="0"/>
    <n v="4.5"/>
    <x v="0"/>
    <n v="0.5"/>
    <n v="0.25"/>
    <n v="0.25"/>
    <n v="1.4013333333333333"/>
    <n v="1.2"/>
    <n v="0"/>
    <n v="0"/>
    <n v="6.2263333333333337"/>
    <s v="05.03.2023"/>
    <n v="1"/>
    <s v="The GOATs"/>
    <m/>
    <n v="0"/>
  </r>
  <r>
    <x v="78"/>
    <s v="M"/>
    <n v="8"/>
    <n v="29.7"/>
    <d v="1899-12-30T05:43:59"/>
    <d v="1899-12-30T06:04:05"/>
    <d v="1899-12-30T05:54:02"/>
    <n v="1152"/>
    <d v="1899-12-30T00:11:55"/>
    <n v="5"/>
    <n v="0"/>
    <n v="2.75"/>
    <x v="1"/>
    <n v="0.25"/>
    <n v="0.5"/>
    <n v="0.25"/>
    <n v="0.76800000000000002"/>
    <n v="0.4"/>
    <n v="0"/>
    <n v="0.4"/>
    <n v="3.5054999999999996"/>
    <s v="05.03.2023"/>
    <n v="1"/>
    <s v="Almost Kenyan Runners"/>
    <m/>
    <n v="0"/>
  </r>
  <r>
    <x v="23"/>
    <s v="M"/>
    <n v="8"/>
    <n v="12.96"/>
    <d v="1899-12-30T01:11:27"/>
    <d v="1899-12-30T01:12:00"/>
    <d v="1899-12-30T01:11:44"/>
    <m/>
    <d v="1899-12-30T00:05:32"/>
    <n v="3.0857142857142859"/>
    <n v="1.75"/>
    <n v="2.25"/>
    <x v="1"/>
    <n v="0.25"/>
    <n v="0.5"/>
    <n v="0.25"/>
    <n v="0"/>
    <n v="0"/>
    <n v="0"/>
    <n v="0"/>
    <n v="2.2089285714285714"/>
    <s v="05.03.2023"/>
    <n v="1"/>
    <s v="Almost Kenyan Runners"/>
    <m/>
    <n v="1"/>
  </r>
  <r>
    <x v="99"/>
    <s v="F"/>
    <n v="8"/>
    <n v="9.5"/>
    <d v="1899-12-30T00:54:17"/>
    <d v="1899-12-30T00:54:26"/>
    <d v="1899-12-30T00:54:22"/>
    <m/>
    <d v="1899-12-30T00:05:43"/>
    <n v="2.375"/>
    <n v="2.5"/>
    <n v="2.75"/>
    <x v="1"/>
    <n v="0.25"/>
    <n v="0.5"/>
    <n v="0.25"/>
    <n v="0"/>
    <n v="0"/>
    <n v="0"/>
    <n v="0"/>
    <n v="2.53125"/>
    <s v="05.03.2023"/>
    <n v="1"/>
    <s v="#notSYRious"/>
    <m/>
    <n v="1"/>
  </r>
  <r>
    <x v="49"/>
    <s v="M"/>
    <n v="8"/>
    <n v="17.68"/>
    <d v="1899-12-30T01:48:42"/>
    <d v="1899-12-30T01:59:43"/>
    <d v="1899-12-30T01:54:13"/>
    <n v="412"/>
    <d v="1899-12-30T00:06:28"/>
    <n v="4.2095238095238097"/>
    <n v="1"/>
    <n v="3.25"/>
    <x v="0"/>
    <n v="0.5"/>
    <n v="0.25"/>
    <n v="0.25"/>
    <n v="0.27466666666666667"/>
    <n v="0"/>
    <n v="0"/>
    <n v="0"/>
    <n v="3.4419285714285714"/>
    <s v="05.03.2023"/>
    <n v="1"/>
    <s v="The GOATs"/>
    <m/>
    <n v="1"/>
  </r>
  <r>
    <x v="0"/>
    <s v="M"/>
    <n v="9"/>
    <n v="11.87"/>
    <d v="1899-12-30T01:10:44"/>
    <d v="1899-12-30T01:11:41"/>
    <d v="1899-12-30T01:11:12"/>
    <m/>
    <d v="1899-12-30T00:06:00"/>
    <n v="2.8261904761904759"/>
    <n v="1.5"/>
    <n v="2.5"/>
    <x v="2"/>
    <n v="0.25"/>
    <n v="0.25"/>
    <n v="0.5"/>
    <n v="0"/>
    <n v="0"/>
    <n v="0"/>
    <n v="0"/>
    <n v="2.331547619047619"/>
    <s v="08.03.2023"/>
    <n v="1"/>
    <s v="UltraHaita lu' Borcan"/>
    <m/>
    <n v="1"/>
  </r>
  <r>
    <x v="42"/>
    <s v="M"/>
    <n v="9"/>
    <n v="21.27"/>
    <d v="1899-12-30T01:39:26"/>
    <d v="1899-12-30T01:39:38"/>
    <d v="1899-12-30T01:39:32"/>
    <m/>
    <d v="1899-12-30T00:04:41"/>
    <n v="5"/>
    <n v="3.5"/>
    <n v="2.75"/>
    <x v="0"/>
    <n v="0.5"/>
    <n v="0.25"/>
    <n v="0.25"/>
    <n v="0"/>
    <n v="0"/>
    <n v="0"/>
    <n v="0"/>
    <n v="4.0625"/>
    <s v="08.03.2023"/>
    <n v="1"/>
    <s v="The GOATs"/>
    <m/>
    <n v="1"/>
  </r>
  <r>
    <x v="64"/>
    <s v="M"/>
    <n v="9"/>
    <n v="31.03"/>
    <d v="1899-12-30T02:36:59"/>
    <d v="1899-12-30T02:42:19"/>
    <d v="1899-12-30T02:39:39"/>
    <n v="83"/>
    <d v="1899-12-30T00:05:09"/>
    <n v="5"/>
    <n v="2.5"/>
    <n v="3.75"/>
    <x v="2"/>
    <n v="0.25"/>
    <n v="0.25"/>
    <n v="0.5"/>
    <n v="5.5333333333333332E-2"/>
    <n v="0.5"/>
    <n v="0"/>
    <n v="0"/>
    <n v="4.3053333333333335"/>
    <s v="08.03.2023"/>
    <n v="1"/>
    <s v="The GOATs"/>
    <m/>
    <n v="1"/>
  </r>
  <r>
    <x v="115"/>
    <s v="M"/>
    <n v="9"/>
    <n v="11.21"/>
    <d v="1899-12-30T01:12:40"/>
    <d v="1899-12-30T01:12:40"/>
    <d v="1899-12-30T01:12:40"/>
    <m/>
    <d v="1899-12-30T00:06:29"/>
    <n v="2.6690476190476193"/>
    <n v="1"/>
    <n v="0.5"/>
    <x v="1"/>
    <n v="0.25"/>
    <n v="0.5"/>
    <n v="0.25"/>
    <n v="0"/>
    <n v="0"/>
    <n v="0"/>
    <n v="0"/>
    <n v="1.2922619047619048"/>
    <s v="08.03.2023"/>
    <n v="1"/>
    <e v="#N/A"/>
    <m/>
    <n v="1"/>
  </r>
  <r>
    <x v="7"/>
    <s v="M"/>
    <n v="9"/>
    <n v="10.01"/>
    <d v="1899-12-30T00:45:08"/>
    <d v="1899-12-30T00:45:21"/>
    <d v="1899-12-30T00:45:15"/>
    <m/>
    <d v="1899-12-30T00:04:31"/>
    <n v="2.3833333333333333"/>
    <n v="3.5"/>
    <n v="1.75"/>
    <x v="1"/>
    <n v="0.25"/>
    <n v="0.5"/>
    <n v="0.25"/>
    <n v="0"/>
    <n v="0"/>
    <n v="0"/>
    <n v="0"/>
    <n v="2.7833333333333332"/>
    <s v="09.03.2023"/>
    <n v="1"/>
    <s v="MedgidiaRunning"/>
    <m/>
    <n v="1"/>
  </r>
  <r>
    <x v="47"/>
    <s v="M"/>
    <n v="9"/>
    <n v="18"/>
    <d v="1899-12-30T01:35:19"/>
    <d v="1899-12-30T01:45:35"/>
    <d v="1899-12-30T01:40:27"/>
    <n v="63"/>
    <d v="1899-12-30T00:05:35"/>
    <n v="4.2857142857142856"/>
    <n v="1.75"/>
    <n v="2.25"/>
    <x v="0"/>
    <n v="0.5"/>
    <n v="0.25"/>
    <n v="0.25"/>
    <n v="4.2000000000000003E-2"/>
    <n v="0"/>
    <n v="0"/>
    <n v="0"/>
    <n v="3.1848571428571426"/>
    <s v="09.03.2023"/>
    <n v="1"/>
    <e v="#N/A"/>
    <m/>
    <n v="1"/>
  </r>
  <r>
    <x v="23"/>
    <s v="M"/>
    <n v="9"/>
    <n v="17.11"/>
    <d v="1899-12-30T01:27:43"/>
    <d v="1899-12-30T01:28:07"/>
    <d v="1899-12-30T01:27:55"/>
    <m/>
    <d v="1899-12-30T00:05:08"/>
    <n v="4.0738095238095235"/>
    <n v="2.5"/>
    <n v="2.25"/>
    <x v="2"/>
    <n v="0.25"/>
    <n v="0.25"/>
    <n v="0.5"/>
    <n v="0"/>
    <n v="0"/>
    <n v="0"/>
    <n v="0"/>
    <n v="2.7684523809523807"/>
    <s v="09.03.2023"/>
    <n v="1"/>
    <s v="Almost Kenyan Runners"/>
    <m/>
    <n v="1"/>
  </r>
  <r>
    <x v="24"/>
    <s v="M"/>
    <n v="9"/>
    <n v="10.8"/>
    <d v="1899-12-30T01:02:33"/>
    <d v="1899-12-30T01:07:52"/>
    <d v="1899-12-30T01:05:13"/>
    <m/>
    <d v="1899-12-30T00:06:02"/>
    <n v="2.5714285714285716"/>
    <n v="1.25"/>
    <n v="2"/>
    <x v="2"/>
    <n v="0.25"/>
    <n v="0.25"/>
    <n v="0.5"/>
    <n v="0"/>
    <n v="0"/>
    <n v="0"/>
    <n v="0"/>
    <n v="1.9553571428571428"/>
    <s v="09.03.2023"/>
    <n v="1"/>
    <e v="#N/A"/>
    <m/>
    <n v="1"/>
  </r>
  <r>
    <x v="29"/>
    <s v="F"/>
    <n v="9"/>
    <n v="10.01"/>
    <d v="1899-12-30T00:51:59"/>
    <d v="1899-12-30T00:52:41"/>
    <d v="1899-12-30T00:52:20"/>
    <m/>
    <d v="1899-12-30T00:05:14"/>
    <n v="2.5024999999999999"/>
    <n v="3.5"/>
    <n v="2"/>
    <x v="1"/>
    <n v="0.25"/>
    <n v="0.5"/>
    <n v="0.25"/>
    <n v="0"/>
    <n v="0"/>
    <n v="0"/>
    <n v="0"/>
    <n v="2.8756249999999999"/>
    <s v="10.03.2023"/>
    <n v="1"/>
    <e v="#N/A"/>
    <m/>
    <n v="1"/>
  </r>
  <r>
    <x v="1"/>
    <s v="M"/>
    <n v="9"/>
    <n v="24.24"/>
    <d v="1899-12-30T02:22:42"/>
    <d v="1899-12-30T02:22:42"/>
    <d v="1899-12-30T02:22:42"/>
    <m/>
    <d v="1899-12-30T00:05:53"/>
    <n v="5"/>
    <n v="1.5"/>
    <n v="0.25"/>
    <x v="2"/>
    <n v="0.25"/>
    <n v="0.25"/>
    <n v="0.5"/>
    <n v="0"/>
    <n v="0.1"/>
    <n v="0"/>
    <n v="0"/>
    <n v="1.85"/>
    <s v="10.03.2023"/>
    <n v="1"/>
    <e v="#N/A"/>
    <m/>
    <n v="1"/>
  </r>
  <r>
    <x v="113"/>
    <s v="M"/>
    <n v="9"/>
    <n v="16"/>
    <d v="1899-12-30T01:18:11"/>
    <d v="1899-12-30T01:18:31"/>
    <d v="1899-12-30T01:18:21"/>
    <n v="185"/>
    <d v="1899-12-30T00:04:54"/>
    <n v="3.8095238095238093"/>
    <n v="3"/>
    <n v="1.5"/>
    <x v="2"/>
    <n v="0.25"/>
    <n v="0.25"/>
    <n v="0.5"/>
    <n v="0.12333333333333334"/>
    <n v="0"/>
    <n v="0"/>
    <n v="0"/>
    <n v="2.5757142857142861"/>
    <s v="10.03.2023"/>
    <n v="1"/>
    <e v="#N/A"/>
    <m/>
    <n v="1"/>
  </r>
  <r>
    <x v="20"/>
    <s v="F"/>
    <n v="9"/>
    <n v="14.52"/>
    <d v="1899-12-30T01:23:48"/>
    <d v="1899-12-30T01:31:45"/>
    <d v="1899-12-30T01:27:47"/>
    <n v="88"/>
    <d v="1899-12-30T00:06:03"/>
    <n v="3.63"/>
    <n v="1.75"/>
    <n v="2.5"/>
    <x v="2"/>
    <n v="0.25"/>
    <n v="0.25"/>
    <n v="0.5"/>
    <n v="5.8666666666666666E-2"/>
    <n v="0"/>
    <n v="0"/>
    <n v="0"/>
    <n v="2.6536666666666666"/>
    <s v="10.03.2023"/>
    <n v="1"/>
    <s v="MedgidiaRunning"/>
    <m/>
    <n v="1"/>
  </r>
  <r>
    <x v="15"/>
    <s v="F"/>
    <n v="9"/>
    <n v="20.03"/>
    <d v="1899-12-30T01:51:26"/>
    <d v="1899-12-30T01:51:26"/>
    <d v="1899-12-30T01:51:26"/>
    <n v="55"/>
    <d v="1899-12-30T00:05:34"/>
    <n v="5"/>
    <n v="2.5"/>
    <n v="4"/>
    <x v="2"/>
    <n v="0.25"/>
    <n v="0.25"/>
    <n v="0.5"/>
    <n v="3.6666666666666667E-2"/>
    <n v="0"/>
    <n v="0"/>
    <n v="0"/>
    <n v="3.9116666666666666"/>
    <s v="11.03.2023"/>
    <n v="1"/>
    <e v="#N/A"/>
    <m/>
    <n v="1"/>
  </r>
  <r>
    <x v="12"/>
    <s v="M"/>
    <n v="9"/>
    <n v="17.54"/>
    <d v="1899-12-30T01:14:36"/>
    <d v="1899-12-30T01:14:36"/>
    <d v="1899-12-30T01:14:36"/>
    <n v="80"/>
    <d v="1899-12-30T00:04:15"/>
    <n v="4.1761904761904756"/>
    <n v="4.5"/>
    <n v="2.5"/>
    <x v="2"/>
    <n v="0.25"/>
    <n v="0.25"/>
    <n v="0.5"/>
    <n v="5.3333333333333337E-2"/>
    <n v="0"/>
    <n v="0"/>
    <n v="0"/>
    <n v="3.4723809523809521"/>
    <s v="11.03.2023"/>
    <n v="1"/>
    <s v="#notSYRious"/>
    <m/>
    <n v="1"/>
  </r>
  <r>
    <x v="44"/>
    <s v="M"/>
    <n v="9"/>
    <n v="10.199999999999999"/>
    <d v="1899-12-30T01:21:40"/>
    <d v="1899-12-30T01:40:30"/>
    <d v="1899-12-30T01:31:05"/>
    <n v="427"/>
    <d v="1899-12-30T00:08:56"/>
    <n v="2.4285714285714284"/>
    <n v="0"/>
    <n v="3.75"/>
    <x v="2"/>
    <n v="0.25"/>
    <n v="0.25"/>
    <n v="0.5"/>
    <n v="0.28466666666666668"/>
    <n v="0"/>
    <n v="0"/>
    <n v="0"/>
    <n v="2.7668095238095241"/>
    <s v="11.03.2023"/>
    <n v="1"/>
    <s v="UltraHaita lu' Borcan"/>
    <m/>
    <n v="0"/>
  </r>
  <r>
    <x v="83"/>
    <s v="M"/>
    <n v="9"/>
    <n v="20.36"/>
    <d v="1899-12-30T02:39:47"/>
    <d v="1899-12-30T02:49:53"/>
    <d v="1899-12-30T02:44:50"/>
    <n v="883"/>
    <d v="1899-12-30T00:08:06"/>
    <n v="4.8476190476190473"/>
    <n v="0"/>
    <n v="2.5"/>
    <x v="2"/>
    <n v="0.25"/>
    <n v="0.25"/>
    <n v="0.5"/>
    <n v="0.58866666666666667"/>
    <n v="0"/>
    <n v="0"/>
    <n v="0"/>
    <n v="3.0505714285714287"/>
    <s v="11.03.2023"/>
    <n v="1"/>
    <e v="#N/A"/>
    <m/>
    <n v="0"/>
  </r>
  <r>
    <x v="36"/>
    <s v="M"/>
    <n v="9"/>
    <n v="21.57"/>
    <d v="1899-12-30T03:28:29"/>
    <d v="1899-12-30T03:44:26"/>
    <d v="1899-12-30T03:36:28"/>
    <n v="709"/>
    <d v="1899-12-30T00:10:02"/>
    <n v="5"/>
    <n v="0"/>
    <n v="3.25"/>
    <x v="2"/>
    <n v="0.25"/>
    <n v="0.25"/>
    <n v="0.5"/>
    <n v="0.47266666666666668"/>
    <n v="0"/>
    <n v="0"/>
    <n v="0"/>
    <n v="3.3476666666666666"/>
    <s v="11.03.2023"/>
    <n v="1"/>
    <s v="MedgidiaRunning"/>
    <m/>
    <n v="0"/>
  </r>
  <r>
    <x v="22"/>
    <s v="F"/>
    <n v="9"/>
    <n v="22.25"/>
    <d v="1899-12-30T03:18:02"/>
    <d v="1899-12-30T03:45:21"/>
    <d v="1899-12-30T03:31:42"/>
    <n v="647"/>
    <d v="1899-12-30T00:09:31"/>
    <n v="5"/>
    <n v="0"/>
    <n v="3.25"/>
    <x v="0"/>
    <n v="0.5"/>
    <n v="0.25"/>
    <n v="0.25"/>
    <n v="0.43133333333333335"/>
    <n v="0"/>
    <n v="0"/>
    <n v="0"/>
    <n v="3.7438333333333333"/>
    <s v="11.03.2023"/>
    <n v="1"/>
    <s v="MedgidiaRunning"/>
    <m/>
    <n v="0"/>
  </r>
  <r>
    <x v="13"/>
    <s v="M"/>
    <n v="9"/>
    <n v="8.33"/>
    <d v="1899-12-30T01:01:44"/>
    <d v="1899-12-30T01:01:53"/>
    <d v="1899-12-30T01:01:49"/>
    <n v="75"/>
    <d v="1899-12-30T00:07:25"/>
    <n v="1.9833333333333332"/>
    <n v="0.25"/>
    <n v="3"/>
    <x v="2"/>
    <n v="0.25"/>
    <n v="0.25"/>
    <n v="0.5"/>
    <n v="0.05"/>
    <n v="0"/>
    <n v="0"/>
    <n v="0"/>
    <n v="2.1083333333333334"/>
    <s v="11.03.2023"/>
    <n v="1"/>
    <s v="MedgidiaRunning"/>
    <m/>
    <n v="1"/>
  </r>
  <r>
    <x v="16"/>
    <s v="F"/>
    <n v="9"/>
    <n v="15"/>
    <d v="1899-12-30T01:24:13"/>
    <d v="1899-12-30T01:27:54"/>
    <d v="1899-12-30T01:26:03"/>
    <n v="75"/>
    <d v="1899-12-30T00:05:44"/>
    <n v="3.75"/>
    <n v="2.5"/>
    <n v="3"/>
    <x v="0"/>
    <n v="0.5"/>
    <n v="0.25"/>
    <n v="0.25"/>
    <n v="0.05"/>
    <n v="0"/>
    <n v="0"/>
    <n v="0"/>
    <n v="3.3"/>
    <s v="11.03.2023"/>
    <n v="1"/>
    <s v="MedgidiaRunning"/>
    <m/>
    <n v="1"/>
  </r>
  <r>
    <x v="35"/>
    <s v="F"/>
    <n v="9"/>
    <n v="5.34"/>
    <d v="1899-12-30T00:34:06"/>
    <d v="1899-12-30T00:34:45"/>
    <d v="1899-12-30T00:34:26"/>
    <m/>
    <d v="1899-12-30T00:06:27"/>
    <n v="1.335"/>
    <n v="1.5"/>
    <n v="3.5"/>
    <x v="2"/>
    <n v="0.25"/>
    <n v="0.25"/>
    <n v="0.5"/>
    <n v="0"/>
    <n v="0"/>
    <n v="0"/>
    <n v="0"/>
    <n v="2.4587500000000002"/>
    <s v="11.03.2023"/>
    <n v="1"/>
    <s v="#notSYRious"/>
    <m/>
    <n v="1"/>
  </r>
  <r>
    <x v="3"/>
    <s v="M"/>
    <n v="9"/>
    <n v="15.02"/>
    <d v="1899-12-30T01:25:46"/>
    <d v="1899-12-30T01:35:55"/>
    <d v="1899-12-30T01:30:51"/>
    <n v="54"/>
    <d v="1899-12-30T00:06:03"/>
    <n v="3.5761904761904759"/>
    <n v="1.25"/>
    <n v="2.75"/>
    <x v="2"/>
    <n v="0.25"/>
    <n v="0.25"/>
    <n v="0.5"/>
    <n v="3.5999999999999997E-2"/>
    <n v="0"/>
    <n v="0"/>
    <n v="0.4"/>
    <n v="3.0175476190476189"/>
    <s v="11.03.2023"/>
    <n v="1"/>
    <s v="MedgidiaRunning"/>
    <m/>
    <n v="1"/>
  </r>
  <r>
    <x v="45"/>
    <s v="F"/>
    <n v="9"/>
    <n v="19.72"/>
    <d v="1899-12-30T02:28:18"/>
    <d v="1899-12-30T02:38:36"/>
    <d v="1899-12-30T02:33:27"/>
    <n v="679"/>
    <d v="1899-12-30T00:07:47"/>
    <n v="4.93"/>
    <n v="0.25"/>
    <n v="2.25"/>
    <x v="0"/>
    <n v="0.5"/>
    <n v="0.25"/>
    <n v="0.25"/>
    <n v="0.45266666666666666"/>
    <n v="0"/>
    <n v="0"/>
    <n v="0"/>
    <n v="3.5426666666666664"/>
    <s v="11.03.2023"/>
    <n v="1"/>
    <e v="#N/A"/>
    <m/>
    <n v="1"/>
  </r>
  <r>
    <x v="28"/>
    <s v="M"/>
    <n v="9"/>
    <n v="23.05"/>
    <d v="1899-12-30T03:09:31"/>
    <d v="1899-12-30T03:45:49"/>
    <d v="1899-12-30T03:27:40"/>
    <n v="656"/>
    <d v="1899-12-30T00:09:01"/>
    <n v="5"/>
    <n v="0"/>
    <n v="2.75"/>
    <x v="2"/>
    <n v="0.25"/>
    <n v="0.25"/>
    <n v="0.5"/>
    <n v="0.43733333333333335"/>
    <n v="0.1"/>
    <n v="0"/>
    <n v="0"/>
    <n v="3.1623333333333332"/>
    <s v="11.03.2023"/>
    <n v="1"/>
    <s v="UltraHaita lu' Borcan"/>
    <m/>
    <n v="0"/>
  </r>
  <r>
    <x v="43"/>
    <s v="M"/>
    <n v="9"/>
    <n v="21.01"/>
    <d v="1899-12-30T01:46:42"/>
    <d v="1899-12-30T01:53:22"/>
    <d v="1899-12-30T01:50:02"/>
    <m/>
    <d v="1899-12-30T00:05:14"/>
    <n v="5"/>
    <n v="2.5"/>
    <n v="2.5"/>
    <x v="2"/>
    <n v="0.25"/>
    <n v="0.25"/>
    <n v="0.5"/>
    <n v="0"/>
    <n v="0"/>
    <n v="0"/>
    <n v="0"/>
    <n v="3.125"/>
    <s v="11.03.2023"/>
    <n v="1"/>
    <s v="Almost Kenyan Runners"/>
    <m/>
    <n v="1"/>
  </r>
  <r>
    <x v="65"/>
    <s v="F"/>
    <n v="9"/>
    <n v="20.25"/>
    <d v="1899-12-30T02:53:59"/>
    <d v="1899-12-30T03:01:35"/>
    <d v="1899-12-30T02:57:47"/>
    <n v="714"/>
    <d v="1899-12-30T00:08:47"/>
    <n v="5"/>
    <n v="0.25"/>
    <n v="1.25"/>
    <x v="2"/>
    <n v="0.25"/>
    <n v="0.25"/>
    <n v="0.5"/>
    <n v="0.47599999999999998"/>
    <n v="0"/>
    <n v="0"/>
    <n v="0"/>
    <n v="2.4135"/>
    <s v="11.03.2023"/>
    <n v="1"/>
    <e v="#N/A"/>
    <m/>
    <n v="1"/>
  </r>
  <r>
    <x v="98"/>
    <s v="F"/>
    <n v="9"/>
    <n v="18"/>
    <d v="1899-12-30T01:43:22"/>
    <d v="1899-12-30T01:45:11"/>
    <d v="1899-12-30T01:44:16"/>
    <m/>
    <d v="1899-12-30T00:05:48"/>
    <n v="4.5"/>
    <n v="2"/>
    <n v="3.25"/>
    <x v="2"/>
    <n v="0.25"/>
    <n v="0.25"/>
    <n v="0.5"/>
    <n v="0"/>
    <n v="0"/>
    <n v="0"/>
    <n v="0"/>
    <n v="3.25"/>
    <s v="11.03.2023"/>
    <n v="1"/>
    <s v="#notSYRious"/>
    <m/>
    <n v="1"/>
  </r>
  <r>
    <x v="50"/>
    <s v="M"/>
    <n v="9"/>
    <n v="42.3"/>
    <d v="1899-12-30T04:20:14"/>
    <d v="1899-12-30T04:32:34"/>
    <d v="1899-12-30T04:26:24"/>
    <n v="235"/>
    <d v="1899-12-30T00:06:18"/>
    <n v="5"/>
    <n v="1"/>
    <n v="3.75"/>
    <x v="0"/>
    <n v="0.5"/>
    <n v="0.25"/>
    <n v="0.25"/>
    <n v="0.15666666666666668"/>
    <n v="1"/>
    <n v="0"/>
    <n v="0"/>
    <n v="4.8441666666666663"/>
    <s v="11.03.2023"/>
    <n v="1"/>
    <s v="The GOATs"/>
    <m/>
    <n v="1"/>
  </r>
  <r>
    <x v="88"/>
    <s v="M"/>
    <n v="9"/>
    <n v="27.01"/>
    <d v="1899-12-30T02:00:07"/>
    <d v="1899-12-30T02:02:00"/>
    <d v="1899-12-30T02:01:03"/>
    <n v="178"/>
    <d v="1899-12-30T00:04:29"/>
    <n v="5"/>
    <n v="4"/>
    <n v="3"/>
    <x v="0"/>
    <n v="0.5"/>
    <n v="0.25"/>
    <n v="0.25"/>
    <n v="0.11866666666666667"/>
    <n v="0.3"/>
    <n v="0"/>
    <n v="0"/>
    <n v="4.6686666666666667"/>
    <s v="11.03.2023"/>
    <n v="1"/>
    <s v="Almost Kenyan Runners"/>
    <m/>
    <n v="1"/>
  </r>
  <r>
    <x v="32"/>
    <s v="M"/>
    <n v="9"/>
    <n v="25.13"/>
    <d v="1899-12-30T02:01:51"/>
    <d v="1899-12-30T02:02:41"/>
    <d v="1899-12-30T02:02:16"/>
    <n v="58"/>
    <d v="1899-12-30T00:04:52"/>
    <n v="5"/>
    <n v="3"/>
    <n v="2.25"/>
    <x v="2"/>
    <n v="0.25"/>
    <n v="0.25"/>
    <n v="0.5"/>
    <n v="3.8666666666666669E-2"/>
    <n v="0.2"/>
    <n v="0"/>
    <n v="0"/>
    <n v="3.363666666666667"/>
    <s v="11.03.2023"/>
    <n v="1"/>
    <e v="#N/A"/>
    <m/>
    <n v="1"/>
  </r>
  <r>
    <x v="114"/>
    <s v="M"/>
    <n v="9"/>
    <n v="30.21"/>
    <d v="1899-12-30T02:56:40"/>
    <d v="1899-12-30T02:57:28"/>
    <d v="1899-12-30T02:57:04"/>
    <m/>
    <d v="1899-12-30T00:05:52"/>
    <n v="5"/>
    <n v="1.5"/>
    <n v="0.75"/>
    <x v="0"/>
    <n v="0.5"/>
    <n v="0.25"/>
    <n v="0.25"/>
    <n v="0"/>
    <n v="0.4"/>
    <n v="0"/>
    <n v="0"/>
    <n v="3.4624999999999999"/>
    <s v="11.03.2023"/>
    <n v="1"/>
    <e v="#N/A"/>
    <m/>
    <n v="1"/>
  </r>
  <r>
    <x v="11"/>
    <s v="M"/>
    <n v="9"/>
    <n v="15.03"/>
    <d v="1899-12-30T01:12:55"/>
    <d v="1899-12-30T01:12:59"/>
    <d v="1899-12-30T01:12:57"/>
    <n v="571"/>
    <d v="1899-12-30T00:04:51"/>
    <n v="3.5785714285714283"/>
    <n v="3"/>
    <n v="2.75"/>
    <x v="2"/>
    <n v="0.25"/>
    <n v="0.25"/>
    <n v="0.5"/>
    <n v="0.38066666666666665"/>
    <n v="0"/>
    <n v="0"/>
    <n v="0.4"/>
    <n v="3.8003095238095237"/>
    <s v="11.03.2023"/>
    <n v="1"/>
    <e v="#N/A"/>
    <m/>
    <n v="1"/>
  </r>
  <r>
    <x v="60"/>
    <s v="M"/>
    <n v="9"/>
    <n v="22.05"/>
    <d v="1899-12-30T01:21:01"/>
    <d v="1899-12-30T01:21:01"/>
    <d v="1899-12-30T01:21:01"/>
    <m/>
    <d v="1899-12-30T00:03:40"/>
    <n v="5"/>
    <n v="5"/>
    <n v="4"/>
    <x v="2"/>
    <n v="0.25"/>
    <n v="0.25"/>
    <n v="0.5"/>
    <n v="0"/>
    <n v="0"/>
    <n v="2.25"/>
    <n v="0"/>
    <n v="6.75"/>
    <s v="11.03.2023"/>
    <n v="1"/>
    <s v="#notSYRious"/>
    <m/>
    <n v="1"/>
  </r>
  <r>
    <x v="111"/>
    <s v="F"/>
    <n v="9"/>
    <n v="8.02"/>
    <d v="1899-12-30T00:52:54"/>
    <d v="1899-12-30T00:53:01"/>
    <d v="1899-12-30T00:52:58"/>
    <m/>
    <d v="1899-12-30T00:06:36"/>
    <n v="2.0049999999999999"/>
    <n v="1.25"/>
    <n v="2.75"/>
    <x v="2"/>
    <n v="0.25"/>
    <n v="0.25"/>
    <n v="0.5"/>
    <n v="0"/>
    <n v="0"/>
    <n v="0"/>
    <n v="0.4"/>
    <n v="2.5887499999999997"/>
    <s v="11.03.2023"/>
    <n v="1"/>
    <e v="#N/A"/>
    <m/>
    <n v="1"/>
  </r>
  <r>
    <x v="53"/>
    <s v="M"/>
    <n v="9"/>
    <n v="13.42"/>
    <d v="1899-12-30T01:34:18"/>
    <d v="1899-12-30T02:04:06"/>
    <d v="1899-12-30T01:49:12"/>
    <n v="548"/>
    <d v="1899-12-30T00:08:08"/>
    <n v="3.195238095238095"/>
    <n v="0"/>
    <n v="2.5"/>
    <x v="2"/>
    <n v="0.25"/>
    <n v="0.25"/>
    <n v="0.5"/>
    <n v="0.36533333333333334"/>
    <n v="0"/>
    <n v="0"/>
    <n v="0"/>
    <n v="2.4141428571428571"/>
    <s v="11.03.2023"/>
    <n v="1"/>
    <s v="#notSYRious"/>
    <m/>
    <n v="0"/>
  </r>
  <r>
    <x v="77"/>
    <s v="F"/>
    <n v="9"/>
    <n v="15.82"/>
    <d v="1899-12-30T01:21:51"/>
    <d v="1899-12-30T01:24:27"/>
    <d v="1899-12-30T01:23:09"/>
    <n v="64"/>
    <d v="1899-12-30T00:05:15"/>
    <n v="3.9550000000000001"/>
    <n v="3.5"/>
    <n v="4"/>
    <x v="1"/>
    <n v="0.25"/>
    <n v="0.5"/>
    <n v="0.25"/>
    <n v="4.2666666666666665E-2"/>
    <n v="0"/>
    <n v="0"/>
    <n v="0"/>
    <n v="3.7814166666666669"/>
    <s v="11.03.2023"/>
    <n v="1"/>
    <s v="The GOATs"/>
    <m/>
    <n v="1"/>
  </r>
  <r>
    <x v="21"/>
    <s v="M"/>
    <n v="9"/>
    <n v="10.07"/>
    <d v="1899-12-30T00:59:39"/>
    <d v="1899-12-30T01:11:42"/>
    <d v="1899-12-30T01:05:41"/>
    <n v="170"/>
    <d v="1899-12-30T00:06:31"/>
    <n v="2.3976190476190475"/>
    <n v="0.75"/>
    <n v="3.25"/>
    <x v="2"/>
    <n v="0.25"/>
    <n v="0.25"/>
    <n v="0.5"/>
    <n v="0.11333333333333333"/>
    <n v="0"/>
    <n v="0"/>
    <n v="0.4"/>
    <n v="2.925238095238095"/>
    <s v="11.03.2023"/>
    <n v="1"/>
    <s v="#notSYRious"/>
    <m/>
    <n v="1"/>
  </r>
  <r>
    <x v="74"/>
    <s v="F"/>
    <n v="9"/>
    <n v="12.22"/>
    <d v="1899-12-30T01:19:10"/>
    <d v="1899-12-30T01:53:23"/>
    <d v="1899-12-30T01:36:16"/>
    <m/>
    <d v="1899-12-30T00:07:53"/>
    <n v="3.0550000000000002"/>
    <n v="0.25"/>
    <n v="3"/>
    <x v="2"/>
    <n v="0.25"/>
    <n v="0.25"/>
    <n v="0.5"/>
    <n v="0"/>
    <n v="0"/>
    <n v="0"/>
    <n v="0"/>
    <n v="2.3262499999999999"/>
    <s v="11.03.2023"/>
    <n v="1"/>
    <s v="UltraHaita lu' Borcan"/>
    <m/>
    <n v="1"/>
  </r>
  <r>
    <x v="70"/>
    <s v="F"/>
    <n v="9"/>
    <n v="25.16"/>
    <d v="1899-12-30T02:43:21"/>
    <d v="1899-12-30T02:46:01"/>
    <d v="1899-12-30T02:44:41"/>
    <n v="253"/>
    <d v="1899-12-30T00:06:33"/>
    <n v="5"/>
    <n v="1.25"/>
    <n v="3.25"/>
    <x v="2"/>
    <n v="0.25"/>
    <n v="0.25"/>
    <n v="0.5"/>
    <n v="0.16866666666666666"/>
    <n v="0.2"/>
    <n v="0"/>
    <n v="0"/>
    <n v="3.5561666666666669"/>
    <s v="11.03.2023"/>
    <n v="1"/>
    <e v="#N/A"/>
    <m/>
    <n v="1"/>
  </r>
  <r>
    <x v="18"/>
    <s v="M"/>
    <n v="9"/>
    <n v="10"/>
    <d v="1899-12-30T00:41:42"/>
    <d v="1899-12-30T00:42:13"/>
    <d v="1899-12-30T00:41:58"/>
    <n v="58"/>
    <d v="1899-12-30T00:04:12"/>
    <n v="2.3809523809523809"/>
    <n v="4.5"/>
    <n v="2.5"/>
    <x v="1"/>
    <n v="0.25"/>
    <n v="0.5"/>
    <n v="0.25"/>
    <n v="3.8666666666666669E-2"/>
    <n v="0"/>
    <n v="0"/>
    <n v="0"/>
    <n v="3.5089047619047622"/>
    <s v="11.03.2023"/>
    <n v="1"/>
    <s v="UltraHaita lu' Borcan"/>
    <m/>
    <n v="1"/>
  </r>
  <r>
    <x v="54"/>
    <s v="F"/>
    <n v="9"/>
    <n v="8.25"/>
    <d v="1899-12-30T01:00:24"/>
    <d v="1899-12-30T01:20:16"/>
    <d v="1899-12-30T01:10:20"/>
    <m/>
    <d v="1899-12-30T00:08:32"/>
    <n v="2.0625"/>
    <n v="0.25"/>
    <n v="2.25"/>
    <x v="2"/>
    <n v="0.25"/>
    <n v="0.25"/>
    <n v="0.5"/>
    <n v="0"/>
    <n v="0"/>
    <n v="0"/>
    <n v="0.7"/>
    <n v="2.4031250000000002"/>
    <s v="11.03.2023"/>
    <n v="1"/>
    <s v="UltraHaita lu' Borcan"/>
    <m/>
    <n v="1"/>
  </r>
  <r>
    <x v="106"/>
    <s v="F"/>
    <n v="9"/>
    <n v="10.34"/>
    <d v="1899-12-30T01:13:25"/>
    <d v="1899-12-30T01:17:38"/>
    <d v="1899-12-30T01:15:32"/>
    <m/>
    <d v="1899-12-30T00:07:18"/>
    <n v="2.585"/>
    <n v="0.5"/>
    <n v="3.25"/>
    <x v="2"/>
    <n v="0.25"/>
    <n v="0.25"/>
    <n v="0.5"/>
    <n v="0"/>
    <n v="0"/>
    <n v="0"/>
    <n v="0"/>
    <n v="2.3962500000000002"/>
    <s v="11.03.2023"/>
    <n v="1"/>
    <s v="MedgidiaRunning"/>
    <m/>
    <n v="1"/>
  </r>
  <r>
    <x v="48"/>
    <s v="M"/>
    <n v="9"/>
    <n v="56"/>
    <d v="1899-12-30T05:13:48"/>
    <d v="1899-12-30T05:26:22"/>
    <d v="1899-12-30T05:20:05"/>
    <n v="506"/>
    <d v="1899-12-30T00:05:43"/>
    <n v="5"/>
    <n v="1.75"/>
    <n v="2.5"/>
    <x v="2"/>
    <n v="0.25"/>
    <n v="0.25"/>
    <n v="0.5"/>
    <n v="0.33733333333333332"/>
    <n v="1.7"/>
    <n v="0"/>
    <n v="0"/>
    <n v="4.9748333333333337"/>
    <s v="11.03.2023"/>
    <n v="1"/>
    <s v="UltraHaita lu' Borcan"/>
    <m/>
    <n v="1"/>
  </r>
  <r>
    <x v="71"/>
    <s v="M"/>
    <n v="9"/>
    <n v="9.67"/>
    <d v="1899-12-30T01:00:00"/>
    <d v="1899-12-30T01:00:00"/>
    <d v="1899-12-30T01:00:00"/>
    <m/>
    <d v="1899-12-30T00:06:12"/>
    <n v="2.3023809523809522"/>
    <n v="1.25"/>
    <n v="3"/>
    <x v="1"/>
    <n v="0.25"/>
    <n v="0.5"/>
    <n v="0.25"/>
    <n v="0"/>
    <n v="0"/>
    <n v="0"/>
    <n v="0"/>
    <n v="1.950595238095238"/>
    <s v="11.03.2023"/>
    <n v="1"/>
    <s v="MedgidiaRunning"/>
    <m/>
    <n v="1"/>
  </r>
  <r>
    <x v="55"/>
    <s v="M"/>
    <n v="9"/>
    <n v="8.31"/>
    <d v="1899-12-30T01:30:16"/>
    <d v="1899-12-30T01:30:20"/>
    <d v="1899-12-30T01:30:18"/>
    <n v="825"/>
    <d v="1899-12-30T00:10:52"/>
    <n v="1.9785714285714286"/>
    <n v="0"/>
    <n v="1"/>
    <x v="2"/>
    <n v="0.25"/>
    <n v="0.25"/>
    <n v="0.5"/>
    <n v="0.55000000000000004"/>
    <n v="0"/>
    <n v="0"/>
    <n v="0"/>
    <n v="1.5446428571428572"/>
    <s v="12.03.2023"/>
    <n v="1"/>
    <e v="#N/A"/>
    <m/>
    <n v="0"/>
  </r>
  <r>
    <x v="107"/>
    <s v="M"/>
    <n v="9"/>
    <n v="16.5"/>
    <d v="1899-12-30T02:30:41"/>
    <d v="1899-12-30T02:33:50"/>
    <d v="1899-12-30T02:32:16"/>
    <n v="685"/>
    <d v="1899-12-30T00:09:14"/>
    <n v="3.9285714285714284"/>
    <n v="0"/>
    <n v="2.75"/>
    <x v="2"/>
    <n v="0.25"/>
    <n v="0.25"/>
    <n v="0.5"/>
    <n v="0.45666666666666667"/>
    <n v="0"/>
    <n v="0"/>
    <n v="0"/>
    <n v="2.8138095238095238"/>
    <s v="12.03.2023"/>
    <n v="1"/>
    <s v="The GOATs"/>
    <m/>
    <n v="0"/>
  </r>
  <r>
    <x v="67"/>
    <s v="M"/>
    <n v="9"/>
    <n v="10.77"/>
    <d v="1899-12-30T00:50:47"/>
    <d v="1899-12-30T00:50:47"/>
    <d v="1899-12-30T00:50:47"/>
    <m/>
    <d v="1899-12-30T00:04:43"/>
    <n v="2.5642857142857141"/>
    <n v="3.5"/>
    <n v="2.25"/>
    <x v="2"/>
    <n v="0.25"/>
    <n v="0.25"/>
    <n v="0.5"/>
    <n v="0"/>
    <n v="0"/>
    <n v="0"/>
    <n v="0"/>
    <n v="2.6410714285714283"/>
    <s v="12.03.2023"/>
    <n v="1"/>
    <s v="Almost Kenyan Runners"/>
    <m/>
    <n v="1"/>
  </r>
  <r>
    <x v="75"/>
    <s v="F"/>
    <n v="9"/>
    <n v="5.5"/>
    <d v="1899-12-30T00:33:01"/>
    <d v="1899-12-30T00:33:31"/>
    <d v="1899-12-30T00:33:16"/>
    <m/>
    <d v="1899-12-30T00:06:03"/>
    <n v="1.375"/>
    <n v="1.75"/>
    <n v="3.5"/>
    <x v="2"/>
    <n v="0.25"/>
    <n v="0.25"/>
    <n v="0.5"/>
    <n v="0"/>
    <n v="0"/>
    <n v="0"/>
    <n v="0"/>
    <n v="2.53125"/>
    <s v="12.03.2023"/>
    <n v="1"/>
    <s v="#notSYRious"/>
    <m/>
    <n v="1"/>
  </r>
  <r>
    <x v="40"/>
    <s v="M"/>
    <n v="9"/>
    <n v="18.03"/>
    <d v="1899-12-30T01:41:35"/>
    <d v="1899-12-30T01:41:46"/>
    <d v="1899-12-30T01:41:41"/>
    <m/>
    <d v="1899-12-30T00:05:38"/>
    <n v="4.2928571428571427"/>
    <n v="1.75"/>
    <n v="2.75"/>
    <x v="2"/>
    <n v="0.25"/>
    <n v="0.25"/>
    <n v="0.5"/>
    <n v="0"/>
    <n v="0"/>
    <n v="0"/>
    <n v="0"/>
    <n v="2.8857142857142857"/>
    <s v="12.03.2023"/>
    <n v="1"/>
    <s v="Almost Kenyan Runners"/>
    <m/>
    <n v="1"/>
  </r>
  <r>
    <x v="104"/>
    <s v="F"/>
    <n v="9"/>
    <n v="6.03"/>
    <d v="1899-12-30T00:53:36"/>
    <d v="1899-12-30T00:53:38"/>
    <d v="1899-12-30T00:53:37"/>
    <m/>
    <d v="1899-12-30T00:08:53"/>
    <n v="1.5075000000000001"/>
    <n v="0.25"/>
    <n v="1.75"/>
    <x v="2"/>
    <n v="0.25"/>
    <n v="0.25"/>
    <n v="0.5"/>
    <n v="0"/>
    <n v="0"/>
    <n v="0"/>
    <n v="0.7"/>
    <n v="2.0143750000000002"/>
    <s v="12.03.2023"/>
    <n v="1"/>
    <e v="#N/A"/>
    <m/>
    <n v="1"/>
  </r>
  <r>
    <x v="46"/>
    <s v="M"/>
    <n v="9"/>
    <n v="14.05"/>
    <d v="1899-12-30T01:27:19"/>
    <d v="1899-12-30T01:35:23"/>
    <d v="1899-12-30T01:31:21"/>
    <n v="323"/>
    <d v="1899-12-30T00:06:30"/>
    <n v="3.3452380952380953"/>
    <n v="1"/>
    <n v="3"/>
    <x v="2"/>
    <n v="0.25"/>
    <n v="0.25"/>
    <n v="0.5"/>
    <n v="0.21533333333333332"/>
    <n v="0"/>
    <n v="0"/>
    <n v="0"/>
    <n v="2.8016428571428569"/>
    <s v="12.03.2023"/>
    <n v="1"/>
    <s v="#notSYRious"/>
    <m/>
    <n v="1"/>
  </r>
  <r>
    <x v="34"/>
    <s v="M"/>
    <n v="9"/>
    <n v="21.06"/>
    <d v="1899-12-30T02:34:11"/>
    <d v="1899-12-30T02:46:21"/>
    <d v="1899-12-30T02:40:16"/>
    <n v="619"/>
    <d v="1899-12-30T00:07:37"/>
    <n v="5"/>
    <n v="0.25"/>
    <n v="2"/>
    <x v="2"/>
    <n v="0.25"/>
    <n v="0.25"/>
    <n v="0.5"/>
    <n v="0.41266666666666668"/>
    <n v="0"/>
    <n v="0"/>
    <n v="0"/>
    <n v="2.7251666666666665"/>
    <s v="12.03.2023"/>
    <n v="1"/>
    <e v="#N/A"/>
    <m/>
    <n v="1"/>
  </r>
  <r>
    <x v="59"/>
    <s v="M"/>
    <n v="9"/>
    <n v="21.2"/>
    <d v="1899-12-30T02:27:32"/>
    <d v="1899-12-30T02:38:11"/>
    <d v="1899-12-30T02:32:51"/>
    <n v="778"/>
    <d v="1899-12-30T00:07:13"/>
    <n v="5"/>
    <n v="0.25"/>
    <n v="2.5"/>
    <x v="2"/>
    <n v="0.25"/>
    <n v="0.25"/>
    <n v="0.5"/>
    <n v="0.51866666666666672"/>
    <n v="0"/>
    <n v="0"/>
    <n v="0"/>
    <n v="3.0811666666666668"/>
    <s v="12.03.2023"/>
    <n v="1"/>
    <s v="UltraHaita lu' Borcan"/>
    <m/>
    <n v="1"/>
  </r>
  <r>
    <x v="117"/>
    <s v="M"/>
    <n v="9"/>
    <n v="20.2"/>
    <d v="1899-12-30T02:01:40"/>
    <d v="1899-12-30T02:02:17"/>
    <d v="1899-12-30T02:01:58"/>
    <n v="518"/>
    <d v="1899-12-30T00:06:02"/>
    <n v="4.8095238095238093"/>
    <n v="1.25"/>
    <n v="1.5"/>
    <x v="2"/>
    <n v="0.25"/>
    <n v="0.25"/>
    <n v="0.5"/>
    <n v="0.34533333333333333"/>
    <n v="0"/>
    <n v="0"/>
    <n v="0"/>
    <n v="2.610214285714286"/>
    <s v="12.03.2023"/>
    <n v="1"/>
    <e v="#N/A"/>
    <m/>
    <n v="1"/>
  </r>
  <r>
    <x v="9"/>
    <s v="M"/>
    <n v="9"/>
    <n v="21.04"/>
    <d v="1899-12-30T01:58:46"/>
    <d v="1899-12-30T02:01:33"/>
    <d v="1899-12-30T02:00:09"/>
    <m/>
    <d v="1899-12-30T00:05:43"/>
    <n v="5"/>
    <n v="1.75"/>
    <n v="3.25"/>
    <x v="2"/>
    <n v="0.25"/>
    <n v="0.25"/>
    <n v="0.5"/>
    <n v="0"/>
    <n v="0"/>
    <n v="0"/>
    <n v="0"/>
    <n v="3.3125"/>
    <s v="12.03.2023"/>
    <n v="1"/>
    <s v="The GOATs"/>
    <m/>
    <n v="1"/>
  </r>
  <r>
    <x v="14"/>
    <s v="F"/>
    <n v="9"/>
    <n v="10.3"/>
    <d v="1899-12-30T00:51:40"/>
    <d v="1899-12-30T00:52:08"/>
    <d v="1899-12-30T00:51:54"/>
    <n v="54"/>
    <d v="1899-12-30T00:05:02"/>
    <n v="2.5750000000000002"/>
    <n v="3.5"/>
    <n v="2.25"/>
    <x v="1"/>
    <n v="0.25"/>
    <n v="0.5"/>
    <n v="0.25"/>
    <n v="3.5999999999999997E-2"/>
    <n v="0"/>
    <n v="0"/>
    <n v="0"/>
    <n v="2.9922499999999999"/>
    <s v="12.03.2023"/>
    <n v="1"/>
    <s v="MedgidiaRunning"/>
    <m/>
    <n v="1"/>
  </r>
  <r>
    <x v="52"/>
    <s v="M"/>
    <n v="9"/>
    <n v="32"/>
    <d v="1899-12-30T02:43:08"/>
    <d v="1899-12-30T02:43:16"/>
    <d v="1899-12-30T02:43:12"/>
    <n v="103"/>
    <d v="1899-12-30T00:05:06"/>
    <n v="5"/>
    <n v="2.5"/>
    <n v="2.5"/>
    <x v="0"/>
    <n v="0.5"/>
    <n v="0.25"/>
    <n v="0.25"/>
    <n v="6.8666666666666668E-2"/>
    <n v="0.5"/>
    <n v="0"/>
    <n v="0"/>
    <n v="4.3186666666666671"/>
    <s v="12.03.2023"/>
    <n v="1"/>
    <e v="#N/A"/>
    <m/>
    <n v="1"/>
  </r>
  <r>
    <x v="69"/>
    <s v="M"/>
    <n v="9"/>
    <n v="20"/>
    <d v="1899-12-30T01:42:48"/>
    <d v="1899-12-30T01:42:48"/>
    <d v="1899-12-30T01:42:48"/>
    <n v="68"/>
    <d v="1899-12-30T00:05:08"/>
    <n v="4.7619047619047619"/>
    <n v="2.5"/>
    <n v="1"/>
    <x v="0"/>
    <n v="0.5"/>
    <n v="0.25"/>
    <n v="0.25"/>
    <n v="4.5333333333333337E-2"/>
    <n v="0"/>
    <n v="0"/>
    <n v="0"/>
    <n v="3.3012857142857142"/>
    <s v="12.03.2023"/>
    <n v="1"/>
    <s v="Almost Kenyan Runners"/>
    <m/>
    <n v="1"/>
  </r>
  <r>
    <x v="37"/>
    <s v="M"/>
    <n v="9"/>
    <n v="5"/>
    <d v="1899-12-30T00:27:20"/>
    <d v="1899-12-30T00:27:20"/>
    <d v="1899-12-30T00:27:20"/>
    <m/>
    <d v="1899-12-30T00:05:28"/>
    <n v="1.1904761904761905"/>
    <n v="2"/>
    <n v="2.75"/>
    <x v="2"/>
    <n v="0.25"/>
    <n v="0.25"/>
    <n v="0.5"/>
    <n v="0"/>
    <n v="0"/>
    <n v="0"/>
    <n v="0"/>
    <n v="2.1726190476190474"/>
    <s v="12.03.2023"/>
    <n v="1"/>
    <e v="#N/A"/>
    <m/>
    <n v="1"/>
  </r>
  <r>
    <x v="108"/>
    <s v="M"/>
    <n v="9"/>
    <n v="33.159999999999997"/>
    <d v="1899-12-30T03:29:09"/>
    <d v="1899-12-30T03:59:18"/>
    <d v="1899-12-30T03:44:14"/>
    <n v="640"/>
    <d v="1899-12-30T00:06:46"/>
    <n v="5"/>
    <n v="0.75"/>
    <n v="2"/>
    <x v="0"/>
    <n v="0.5"/>
    <n v="0.25"/>
    <n v="0.25"/>
    <n v="0.42666666666666669"/>
    <n v="0.6"/>
    <n v="0"/>
    <n v="0"/>
    <n v="4.2141666666666664"/>
    <s v="12.03.2023"/>
    <n v="1"/>
    <e v="#N/A"/>
    <m/>
    <n v="1"/>
  </r>
  <r>
    <x v="103"/>
    <s v="M"/>
    <n v="9"/>
    <n v="24.01"/>
    <d v="1899-12-30T02:33:08"/>
    <d v="1899-12-30T02:33:38"/>
    <d v="1899-12-30T02:33:23"/>
    <m/>
    <d v="1899-12-30T00:06:23"/>
    <n v="5"/>
    <n v="1"/>
    <n v="1.25"/>
    <x v="2"/>
    <n v="0.25"/>
    <n v="0.25"/>
    <n v="0.5"/>
    <n v="0"/>
    <n v="0.1"/>
    <n v="0"/>
    <n v="0"/>
    <n v="2.2250000000000001"/>
    <s v="12.03.2023"/>
    <n v="1"/>
    <e v="#N/A"/>
    <m/>
    <n v="1"/>
  </r>
  <r>
    <x v="58"/>
    <s v="M"/>
    <n v="9"/>
    <n v="10.47"/>
    <d v="1899-12-30T01:00:27"/>
    <d v="1899-12-30T01:00:30"/>
    <d v="1899-12-30T01:00:29"/>
    <n v="71"/>
    <d v="1899-12-30T00:05:47"/>
    <n v="2.4928571428571429"/>
    <n v="1.5"/>
    <n v="1.25"/>
    <x v="0"/>
    <n v="0.5"/>
    <n v="0.25"/>
    <n v="0.25"/>
    <n v="4.7333333333333331E-2"/>
    <n v="0"/>
    <n v="0"/>
    <n v="0"/>
    <n v="1.9812619047619047"/>
    <s v="13.03.2023"/>
    <n v="1"/>
    <s v="Almost Kenyan Runners"/>
    <m/>
    <n v="1"/>
  </r>
  <r>
    <x v="82"/>
    <s v="M"/>
    <n v="9"/>
    <n v="22"/>
    <d v="1899-12-30T01:31:08"/>
    <d v="1899-12-30T01:31:14"/>
    <d v="1899-12-30T01:31:11"/>
    <n v="240"/>
    <d v="1899-12-30T00:04:09"/>
    <n v="5"/>
    <n v="4.5"/>
    <n v="2"/>
    <x v="1"/>
    <n v="0.25"/>
    <n v="0.5"/>
    <n v="0.25"/>
    <n v="0.16"/>
    <n v="0"/>
    <n v="0"/>
    <n v="0"/>
    <n v="4.16"/>
    <s v="13.03.2023"/>
    <n v="1"/>
    <s v="Almost Kenyan Runners"/>
    <m/>
    <n v="1"/>
  </r>
  <r>
    <x v="49"/>
    <s v="M"/>
    <n v="9"/>
    <n v="10.36"/>
    <d v="1899-12-30T00:57:43"/>
    <d v="1899-12-30T00:58:14"/>
    <d v="1899-12-30T00:57:59"/>
    <n v="241"/>
    <d v="1899-12-30T00:05:36"/>
    <n v="2.4666666666666663"/>
    <n v="1.75"/>
    <n v="1.5"/>
    <x v="0"/>
    <n v="0.5"/>
    <n v="0.25"/>
    <n v="0.25"/>
    <n v="0.16066666666666668"/>
    <n v="0"/>
    <n v="0"/>
    <n v="0"/>
    <n v="2.2065000000000001"/>
    <s v="13.03.2023"/>
    <n v="1"/>
    <s v="The GOATs"/>
    <m/>
    <n v="1"/>
  </r>
  <r>
    <x v="72"/>
    <s v="F"/>
    <n v="9"/>
    <n v="7.32"/>
    <d v="1899-12-30T00:45:03"/>
    <d v="1899-12-30T00:45:03"/>
    <d v="1899-12-30T00:45:03"/>
    <m/>
    <d v="1899-12-30T00:06:09"/>
    <n v="1.83"/>
    <n v="1.75"/>
    <n v="3.5"/>
    <x v="2"/>
    <n v="0.25"/>
    <n v="0.25"/>
    <n v="0.5"/>
    <n v="0"/>
    <n v="0"/>
    <n v="0"/>
    <n v="0"/>
    <n v="2.645"/>
    <s v="13.03.2023"/>
    <n v="1"/>
    <e v="#N/A"/>
    <m/>
    <n v="1"/>
  </r>
  <r>
    <x v="78"/>
    <s v="M"/>
    <n v="9"/>
    <n v="22.27"/>
    <d v="1899-12-30T04:36:06"/>
    <d v="1899-12-30T05:02:09"/>
    <d v="1899-12-30T04:49:08"/>
    <n v="1112"/>
    <d v="1899-12-30T00:12:59"/>
    <n v="5"/>
    <n v="0"/>
    <n v="3"/>
    <x v="1"/>
    <n v="0.25"/>
    <n v="0.5"/>
    <n v="0.25"/>
    <n v="0.74133333333333329"/>
    <n v="0"/>
    <n v="0"/>
    <n v="0.4"/>
    <n v="3.1413333333333333"/>
    <s v="13.03.2023"/>
    <n v="1"/>
    <s v="Almost Kenyan Runners"/>
    <m/>
    <n v="0"/>
  </r>
  <r>
    <x v="4"/>
    <s v="M"/>
    <n v="9"/>
    <n v="10.01"/>
    <d v="1899-12-30T00:45:45"/>
    <d v="1899-12-30T00:45:50"/>
    <d v="1899-12-30T00:45:48"/>
    <m/>
    <d v="1899-12-30T00:04:34"/>
    <n v="2.3833333333333333"/>
    <n v="3.5"/>
    <n v="1"/>
    <x v="2"/>
    <n v="0.25"/>
    <n v="0.25"/>
    <n v="0.5"/>
    <n v="0"/>
    <n v="0"/>
    <n v="0"/>
    <n v="0.4"/>
    <n v="2.3708333333333331"/>
    <s v="13.03.2023"/>
    <n v="1"/>
    <s v="UltraHaita lu' Borcan"/>
    <m/>
    <n v="1"/>
  </r>
  <r>
    <x v="62"/>
    <s v="M"/>
    <n v="9"/>
    <n v="4.03"/>
    <d v="1899-12-30T00:21:46"/>
    <d v="1899-12-30T00:21:46"/>
    <d v="1899-12-30T00:21:46"/>
    <m/>
    <d v="1899-12-30T00:05:24"/>
    <n v="0.95952380952380956"/>
    <n v="2"/>
    <n v="1.5"/>
    <x v="2"/>
    <n v="0.25"/>
    <n v="0.25"/>
    <n v="0.5"/>
    <n v="0"/>
    <n v="0"/>
    <n v="0"/>
    <n v="0"/>
    <n v="1.4898809523809524"/>
    <s v="13.03.2023"/>
    <n v="1"/>
    <e v="#N/A"/>
    <m/>
    <n v="1"/>
  </r>
  <r>
    <x v="85"/>
    <s v="M"/>
    <n v="9"/>
    <n v="21.11"/>
    <d v="1899-12-30T01:29:04"/>
    <d v="1899-12-30T01:29:04"/>
    <d v="1899-12-30T01:29:04"/>
    <m/>
    <d v="1899-12-30T00:04:13"/>
    <n v="5"/>
    <n v="4.5"/>
    <n v="4.25"/>
    <x v="1"/>
    <n v="0.25"/>
    <n v="0.5"/>
    <n v="0.25"/>
    <n v="0"/>
    <n v="0"/>
    <n v="0"/>
    <n v="0"/>
    <n v="4.5625"/>
    <s v="13.03.2023"/>
    <n v="1"/>
    <s v="The GOATs"/>
    <m/>
    <n v="1"/>
  </r>
  <r>
    <x v="81"/>
    <s v="M"/>
    <n v="9"/>
    <n v="24.75"/>
    <d v="1899-12-30T01:52:42"/>
    <d v="1899-12-30T01:54:14"/>
    <d v="1899-12-30T01:53:28"/>
    <n v="532"/>
    <d v="1899-12-30T00:04:35"/>
    <n v="5"/>
    <n v="3.5"/>
    <n v="1.5"/>
    <x v="0"/>
    <n v="0.5"/>
    <n v="0.25"/>
    <n v="0.25"/>
    <n v="0.35466666666666669"/>
    <n v="0.1"/>
    <n v="0"/>
    <n v="0"/>
    <n v="4.2046666666666663"/>
    <s v="13.03.2023"/>
    <n v="1"/>
    <e v="#N/A"/>
    <m/>
    <n v="1"/>
  </r>
  <r>
    <x v="2"/>
    <s v="F"/>
    <n v="9"/>
    <n v="10.01"/>
    <d v="1899-12-30T01:00:27"/>
    <d v="1899-12-30T01:01:32"/>
    <d v="1899-12-30T01:01:00"/>
    <m/>
    <d v="1899-12-30T00:06:06"/>
    <n v="2.5024999999999999"/>
    <n v="1.75"/>
    <n v="3"/>
    <x v="0"/>
    <n v="0.5"/>
    <n v="0.25"/>
    <n v="0.25"/>
    <n v="0"/>
    <n v="0"/>
    <n v="0"/>
    <n v="0"/>
    <n v="2.4387499999999998"/>
    <s v="13.03.2023"/>
    <n v="1"/>
    <s v="MedgidiaRunning"/>
    <m/>
    <n v="1"/>
  </r>
  <r>
    <x v="95"/>
    <s v="M"/>
    <n v="9"/>
    <n v="8.23"/>
    <d v="1899-12-30T00:58:10"/>
    <d v="1899-12-30T00:59:34"/>
    <d v="1899-12-30T00:58:52"/>
    <m/>
    <d v="1899-12-30T00:07:09"/>
    <n v="1.9595238095238094"/>
    <n v="0.25"/>
    <n v="0.5"/>
    <x v="2"/>
    <n v="0.25"/>
    <n v="0.25"/>
    <n v="0.5"/>
    <n v="0"/>
    <n v="0"/>
    <n v="0"/>
    <n v="0"/>
    <n v="0.80238095238095242"/>
    <s v="13.03.2023"/>
    <n v="1"/>
    <e v="#N/A"/>
    <m/>
    <n v="1"/>
  </r>
  <r>
    <x v="84"/>
    <s v="M"/>
    <n v="9"/>
    <n v="3.01"/>
    <d v="1899-12-30T00:14:48"/>
    <d v="1899-12-30T00:15:10"/>
    <d v="1899-12-30T00:14:59"/>
    <n v="77"/>
    <d v="1899-12-30T00:04:59"/>
    <n v="0.71666666666666656"/>
    <n v="3"/>
    <n v="3.25"/>
    <x v="2"/>
    <n v="0.25"/>
    <n v="0.25"/>
    <n v="0.5"/>
    <n v="5.1333333333333335E-2"/>
    <n v="0"/>
    <n v="0"/>
    <n v="0"/>
    <n v="2.6055000000000001"/>
    <s v="13.03.2023"/>
    <n v="1"/>
    <s v="The GOATs"/>
    <m/>
    <n v="1"/>
  </r>
  <r>
    <x v="39"/>
    <s v="M"/>
    <n v="9"/>
    <n v="13.71"/>
    <d v="1899-12-30T01:52:59"/>
    <d v="1899-12-30T02:02:04"/>
    <d v="1899-12-30T01:57:31"/>
    <n v="543"/>
    <d v="1899-12-30T00:08:34"/>
    <n v="3.2642857142857142"/>
    <n v="0"/>
    <n v="3.5"/>
    <x v="2"/>
    <n v="0.25"/>
    <n v="0.25"/>
    <n v="0.5"/>
    <n v="0.36199999999999999"/>
    <n v="0"/>
    <n v="0"/>
    <n v="0"/>
    <n v="2.9280714285714287"/>
    <s v="13.03.2023"/>
    <n v="1"/>
    <s v="#notSYRious"/>
    <m/>
    <n v="0"/>
  </r>
  <r>
    <x v="80"/>
    <s v="M"/>
    <n v="9"/>
    <n v="23.09"/>
    <d v="1899-12-30T01:58:13"/>
    <d v="1899-12-30T02:09:26"/>
    <d v="1899-12-30T02:03:50"/>
    <m/>
    <d v="1899-12-30T00:05:22"/>
    <n v="5"/>
    <n v="2"/>
    <n v="1.25"/>
    <x v="0"/>
    <n v="0.5"/>
    <n v="0.25"/>
    <n v="0.25"/>
    <n v="0"/>
    <n v="0.1"/>
    <n v="0"/>
    <n v="0"/>
    <n v="3.4125000000000001"/>
    <s v="13.03.2023"/>
    <n v="1"/>
    <s v="Almost Kenyan Runners"/>
    <m/>
    <n v="1"/>
  </r>
  <r>
    <x v="30"/>
    <s v="M"/>
    <n v="9"/>
    <n v="15.3"/>
    <d v="1899-12-30T02:13:58"/>
    <d v="1899-12-30T02:21:18"/>
    <d v="1899-12-30T02:17:38"/>
    <n v="1032"/>
    <d v="1899-12-30T00:09:00"/>
    <n v="3.6428571428571428"/>
    <n v="0"/>
    <n v="3.75"/>
    <x v="2"/>
    <n v="0.25"/>
    <n v="0.25"/>
    <n v="0.5"/>
    <n v="0.68799999999999994"/>
    <n v="0"/>
    <n v="0"/>
    <n v="0"/>
    <n v="3.4737142857142853"/>
    <s v="13.03.2023"/>
    <n v="1"/>
    <s v="The GOATs"/>
    <m/>
    <n v="0"/>
  </r>
  <r>
    <x v="41"/>
    <s v="M"/>
    <n v="9"/>
    <n v="44"/>
    <d v="1899-12-30T03:50:17"/>
    <d v="1899-12-30T03:55:35"/>
    <d v="1899-12-30T03:52:56"/>
    <n v="201"/>
    <d v="1899-12-30T00:05:18"/>
    <n v="5"/>
    <n v="2"/>
    <n v="3.5"/>
    <x v="1"/>
    <n v="0.25"/>
    <n v="0.5"/>
    <n v="0.25"/>
    <n v="0.13400000000000001"/>
    <n v="1.1000000000000001"/>
    <n v="0"/>
    <n v="0"/>
    <n v="4.359"/>
    <s v="13.03.2023"/>
    <n v="1"/>
    <s v="UltraHaita lu' Borcan"/>
    <m/>
    <n v="1"/>
  </r>
  <r>
    <x v="96"/>
    <s v="F"/>
    <n v="9"/>
    <n v="9.1"/>
    <d v="1899-12-30T00:53:14"/>
    <d v="1899-12-30T01:13:14"/>
    <d v="1899-12-30T01:03:14"/>
    <m/>
    <d v="1899-12-30T00:06:57"/>
    <n v="2.2749999999999999"/>
    <n v="1"/>
    <n v="3.25"/>
    <x v="1"/>
    <n v="0.25"/>
    <n v="0.5"/>
    <n v="0.25"/>
    <n v="0"/>
    <n v="0"/>
    <n v="0"/>
    <n v="0"/>
    <n v="1.8812500000000001"/>
    <s v="13.03.2023"/>
    <n v="1"/>
    <e v="#N/A"/>
    <m/>
    <n v="1"/>
  </r>
  <r>
    <x v="57"/>
    <s v="M"/>
    <n v="9"/>
    <n v="11.14"/>
    <d v="1899-12-30T00:53:32"/>
    <d v="1899-12-30T00:57:43"/>
    <d v="1899-12-30T00:55:38"/>
    <n v="60"/>
    <d v="1899-12-30T00:05:00"/>
    <n v="2.6523809523809523"/>
    <n v="3"/>
    <n v="2"/>
    <x v="1"/>
    <n v="0.25"/>
    <n v="0.5"/>
    <n v="0.25"/>
    <n v="0.04"/>
    <n v="0"/>
    <n v="0"/>
    <n v="0"/>
    <n v="2.703095238095238"/>
    <s v="13.03.2023"/>
    <n v="1"/>
    <s v="The GOATs"/>
    <m/>
    <n v="1"/>
  </r>
  <r>
    <x v="87"/>
    <s v="M"/>
    <n v="9"/>
    <n v="13.38"/>
    <d v="1899-12-30T01:15:47"/>
    <d v="1899-12-30T01:42:16"/>
    <d v="1899-12-30T01:29:02"/>
    <n v="541"/>
    <d v="1899-12-30T00:06:39"/>
    <n v="3.1857142857142859"/>
    <n v="0.75"/>
    <n v="2.25"/>
    <x v="2"/>
    <n v="0.25"/>
    <n v="0.25"/>
    <n v="0.5"/>
    <n v="0.36066666666666669"/>
    <n v="0"/>
    <n v="0"/>
    <n v="0"/>
    <n v="2.4695952380952386"/>
    <s v="13.03.2023"/>
    <n v="1"/>
    <e v="#N/A"/>
    <m/>
    <n v="1"/>
  </r>
  <r>
    <x v="92"/>
    <s v="F"/>
    <n v="9"/>
    <n v="14.02"/>
    <d v="1899-12-30T01:27:34"/>
    <d v="1899-12-30T02:16:59"/>
    <d v="1899-12-30T01:52:16"/>
    <m/>
    <d v="1899-12-30T00:08:00"/>
    <n v="3.5049999999999999"/>
    <n v="0.25"/>
    <n v="2"/>
    <x v="0"/>
    <n v="0.5"/>
    <n v="0.25"/>
    <n v="0.25"/>
    <n v="0"/>
    <n v="0"/>
    <n v="0"/>
    <n v="0"/>
    <n v="2.3149999999999999"/>
    <s v="13.03.2023"/>
    <n v="1"/>
    <s v="The GOATs"/>
    <m/>
    <n v="1"/>
  </r>
  <r>
    <x v="51"/>
    <s v="F"/>
    <n v="9"/>
    <n v="10.14"/>
    <d v="1899-12-30T01:43:51"/>
    <d v="1899-12-30T01:54:12"/>
    <d v="1899-12-30T01:49:02"/>
    <n v="530"/>
    <d v="1899-12-30T00:10:45"/>
    <n v="2.5350000000000001"/>
    <n v="0"/>
    <n v="3.25"/>
    <x v="2"/>
    <n v="0.25"/>
    <n v="0.25"/>
    <n v="0.5"/>
    <n v="0.35333333333333333"/>
    <n v="0"/>
    <n v="0"/>
    <n v="0"/>
    <n v="2.6120833333333335"/>
    <s v="13.03.2023"/>
    <n v="1"/>
    <s v="#notSYRious"/>
    <m/>
    <n v="0"/>
  </r>
  <r>
    <x v="105"/>
    <s v="M"/>
    <n v="9"/>
    <n v="10.1"/>
    <d v="1899-12-30T00:41:20"/>
    <d v="1899-12-30T00:41:20"/>
    <d v="1899-12-30T00:41:20"/>
    <m/>
    <d v="1899-12-30T00:04:06"/>
    <n v="2.4047619047619047"/>
    <n v="4.5"/>
    <n v="0"/>
    <x v="0"/>
    <n v="0.5"/>
    <n v="0.25"/>
    <n v="0.25"/>
    <n v="0"/>
    <n v="0"/>
    <n v="0"/>
    <n v="0"/>
    <n v="2.3273809523809526"/>
    <s v="13.03.2023"/>
    <n v="1"/>
    <s v="The GOATs"/>
    <m/>
    <n v="1"/>
  </r>
  <r>
    <x v="76"/>
    <s v="F"/>
    <n v="9"/>
    <n v="15.02"/>
    <d v="1899-12-30T01:35:12"/>
    <d v="1899-12-30T01:52:42"/>
    <d v="1899-12-30T01:43:57"/>
    <m/>
    <d v="1899-12-30T00:06:55"/>
    <n v="3.7549999999999999"/>
    <n v="1"/>
    <n v="3"/>
    <x v="2"/>
    <n v="0.25"/>
    <n v="0.25"/>
    <n v="0.5"/>
    <n v="0"/>
    <n v="0"/>
    <n v="0"/>
    <n v="0"/>
    <n v="2.6887499999999998"/>
    <s v="13.03.2023"/>
    <n v="1"/>
    <e v="#N/A"/>
    <m/>
    <n v="1"/>
  </r>
  <r>
    <x v="68"/>
    <s v="F"/>
    <n v="9"/>
    <n v="4.01"/>
    <d v="1899-12-30T00:21:53"/>
    <d v="1899-12-30T00:22:09"/>
    <d v="1899-12-30T00:22:01"/>
    <m/>
    <d v="1899-12-30T00:05:29"/>
    <n v="1.0024999999999999"/>
    <n v="3"/>
    <n v="3"/>
    <x v="2"/>
    <n v="0.25"/>
    <n v="0.25"/>
    <n v="0.5"/>
    <n v="0"/>
    <n v="0"/>
    <n v="0"/>
    <n v="0"/>
    <n v="2.5006249999999999"/>
    <s v="13.03.2023"/>
    <n v="1"/>
    <s v="Almost Kenyan Runners"/>
    <m/>
    <n v="1"/>
  </r>
  <r>
    <x v="67"/>
    <s v="M"/>
    <n v="10"/>
    <n v="21.42"/>
    <d v="1899-12-30T01:44:00"/>
    <d v="1899-12-30T01:44:52"/>
    <d v="1899-12-30T01:44:26"/>
    <m/>
    <d v="1899-12-30T00:04:53"/>
    <n v="5"/>
    <n v="3"/>
    <n v="2.5"/>
    <x v="0"/>
    <n v="0.5"/>
    <n v="0.25"/>
    <n v="0.25"/>
    <n v="0"/>
    <n v="0"/>
    <n v="0"/>
    <n v="0"/>
    <n v="3.875"/>
    <s v="14.03.2023"/>
    <n v="1"/>
    <s v="Almost Kenyan Runners"/>
    <m/>
    <n v="1"/>
  </r>
  <r>
    <x v="115"/>
    <s v="M"/>
    <n v="10"/>
    <n v="10.01"/>
    <d v="1899-12-30T00:57:52"/>
    <d v="1899-12-30T01:11:49"/>
    <d v="1899-12-30T01:04:50"/>
    <m/>
    <d v="1899-12-30T00:06:29"/>
    <n v="2.3833333333333333"/>
    <n v="1"/>
    <n v="0.25"/>
    <x v="0"/>
    <n v="0.5"/>
    <n v="0.25"/>
    <n v="0.25"/>
    <n v="0"/>
    <n v="0"/>
    <n v="0"/>
    <n v="0"/>
    <n v="1.5041666666666667"/>
    <s v="14.03.2023"/>
    <n v="1"/>
    <e v="#N/A"/>
    <m/>
    <n v="1"/>
  </r>
  <r>
    <x v="1"/>
    <s v="M"/>
    <n v="10"/>
    <n v="25.1"/>
    <d v="1899-12-30T02:28:57"/>
    <d v="1899-12-30T02:28:57"/>
    <d v="1899-12-30T02:28:57"/>
    <m/>
    <d v="1899-12-30T00:05:56"/>
    <n v="5"/>
    <n v="1.5"/>
    <n v="0.5"/>
    <x v="0"/>
    <n v="0.5"/>
    <n v="0.25"/>
    <n v="0.25"/>
    <n v="0"/>
    <n v="0.2"/>
    <n v="0"/>
    <n v="0"/>
    <n v="3.2"/>
    <s v="14.03.2023"/>
    <n v="1"/>
    <e v="#N/A"/>
    <m/>
    <n v="1"/>
  </r>
  <r>
    <x v="42"/>
    <s v="M"/>
    <n v="10"/>
    <n v="5.03"/>
    <d v="1899-12-30T00:20:33"/>
    <d v="1899-12-30T00:20:53"/>
    <d v="1899-12-30T00:20:43"/>
    <m/>
    <d v="1899-12-30T00:04:07"/>
    <n v="1.1976190476190476"/>
    <n v="4.5"/>
    <n v="2.75"/>
    <x v="1"/>
    <n v="0.25"/>
    <n v="0.5"/>
    <n v="0.25"/>
    <n v="0"/>
    <n v="0"/>
    <n v="0"/>
    <n v="0"/>
    <n v="3.236904761904762"/>
    <s v="14.03.2023"/>
    <n v="1"/>
    <s v="The GOATs"/>
    <m/>
    <n v="1"/>
  </r>
  <r>
    <x v="0"/>
    <s v="M"/>
    <n v="10"/>
    <n v="11.31"/>
    <d v="1899-12-30T01:00:26"/>
    <d v="1899-12-30T01:00:32"/>
    <d v="1899-12-30T01:00:29"/>
    <m/>
    <d v="1899-12-30T00:05:21"/>
    <n v="2.6928571428571431"/>
    <n v="2"/>
    <n v="0.75"/>
    <x v="1"/>
    <n v="0.25"/>
    <n v="0.5"/>
    <n v="0.25"/>
    <n v="0"/>
    <n v="0"/>
    <n v="0"/>
    <n v="0"/>
    <n v="1.8607142857142858"/>
    <s v="14.03.2023"/>
    <n v="1"/>
    <s v="UltraHaita lu' Borcan"/>
    <m/>
    <n v="1"/>
  </r>
  <r>
    <x v="47"/>
    <s v="M"/>
    <n v="10"/>
    <n v="6.01"/>
    <d v="1899-12-30T00:27:55"/>
    <d v="1899-12-30T00:31:21"/>
    <d v="1899-12-30T00:29:38"/>
    <m/>
    <d v="1899-12-30T00:04:56"/>
    <n v="1.4309523809523808"/>
    <n v="3"/>
    <n v="1.5"/>
    <x v="1"/>
    <n v="0.25"/>
    <n v="0.5"/>
    <n v="0.25"/>
    <n v="0"/>
    <n v="0"/>
    <n v="0"/>
    <n v="0"/>
    <n v="2.2327380952380951"/>
    <s v="14.03.2023"/>
    <n v="1"/>
    <e v="#N/A"/>
    <m/>
    <n v="1"/>
  </r>
  <r>
    <x v="7"/>
    <s v="M"/>
    <n v="10"/>
    <n v="16.010000000000002"/>
    <d v="1899-12-30T01:19:11"/>
    <d v="1899-12-30T01:19:35"/>
    <d v="1899-12-30T01:19:23"/>
    <n v="158"/>
    <d v="1899-12-30T00:04:58"/>
    <n v="3.8119047619047621"/>
    <n v="3"/>
    <n v="1.25"/>
    <x v="0"/>
    <n v="0.5"/>
    <n v="0.25"/>
    <n v="0.25"/>
    <n v="0.10533333333333333"/>
    <n v="0"/>
    <n v="0"/>
    <n v="0"/>
    <n v="3.0737857142857141"/>
    <s v="14.03.2023"/>
    <n v="1"/>
    <s v="MedgidiaRunning"/>
    <m/>
    <n v="1"/>
  </r>
  <r>
    <x v="56"/>
    <s v="F"/>
    <n v="10"/>
    <n v="10"/>
    <d v="1899-12-30T01:01:24"/>
    <d v="1899-12-30T01:03:56"/>
    <d v="1899-12-30T01:02:40"/>
    <m/>
    <d v="1899-12-30T00:06:16"/>
    <n v="2.5"/>
    <n v="1.5"/>
    <n v="1.25"/>
    <x v="0"/>
    <n v="0.5"/>
    <n v="0.25"/>
    <n v="0.25"/>
    <n v="0"/>
    <n v="0"/>
    <n v="0"/>
    <n v="0"/>
    <n v="1.9375"/>
    <s v="14.03.2023"/>
    <n v="1"/>
    <e v="#N/A"/>
    <m/>
    <n v="1"/>
  </r>
  <r>
    <x v="116"/>
    <s v="M"/>
    <n v="10"/>
    <n v="10.52"/>
    <d v="1899-12-30T00:42:38"/>
    <d v="1899-12-30T00:45:10"/>
    <d v="1899-12-30T00:43:54"/>
    <n v="77"/>
    <d v="1899-12-30T00:04:10"/>
    <n v="2.5047619047619047"/>
    <n v="4.5"/>
    <n v="1.75"/>
    <x v="1"/>
    <n v="0.25"/>
    <n v="0.5"/>
    <n v="0.25"/>
    <n v="5.1333333333333335E-2"/>
    <n v="0"/>
    <n v="0"/>
    <n v="0"/>
    <n v="3.3650238095238096"/>
    <s v="14.03.2023"/>
    <n v="1"/>
    <e v="#N/A"/>
    <m/>
    <n v="1"/>
  </r>
  <r>
    <x v="29"/>
    <s v="F"/>
    <n v="10"/>
    <n v="21.15"/>
    <d v="1899-12-30T01:59:58"/>
    <d v="1899-12-30T02:03:40"/>
    <d v="1899-12-30T02:01:49"/>
    <n v="50"/>
    <d v="1899-12-30T00:05:46"/>
    <n v="5"/>
    <n v="2.5"/>
    <n v="2"/>
    <x v="0"/>
    <n v="0.5"/>
    <n v="0.25"/>
    <n v="0.25"/>
    <n v="3.3333333333333333E-2"/>
    <n v="0"/>
    <n v="0"/>
    <n v="0"/>
    <n v="3.6583333333333332"/>
    <s v="18.03.2023"/>
    <n v="1"/>
    <e v="#N/A"/>
    <m/>
    <n v="1"/>
  </r>
  <r>
    <x v="19"/>
    <s v="M"/>
    <n v="10"/>
    <n v="11"/>
    <d v="1899-12-30T00:57:09"/>
    <d v="1899-12-30T01:17:40"/>
    <d v="1899-12-30T01:07:25"/>
    <m/>
    <d v="1899-12-30T00:06:08"/>
    <n v="2.6190476190476191"/>
    <n v="1.25"/>
    <n v="1"/>
    <x v="1"/>
    <n v="0.25"/>
    <n v="0.5"/>
    <n v="0.25"/>
    <n v="0"/>
    <n v="0"/>
    <n v="0"/>
    <n v="0"/>
    <n v="1.5297619047619047"/>
    <s v="14.03.2023"/>
    <n v="1"/>
    <e v="#N/A"/>
    <m/>
    <n v="1"/>
  </r>
  <r>
    <x v="24"/>
    <s v="M"/>
    <n v="10"/>
    <n v="12.54"/>
    <d v="1899-12-30T01:12:58"/>
    <d v="1899-12-30T01:18:02"/>
    <d v="1899-12-30T01:15:30"/>
    <m/>
    <d v="1899-12-30T00:06:01"/>
    <n v="2.9857142857142853"/>
    <n v="1.25"/>
    <n v="2"/>
    <x v="0"/>
    <n v="0.5"/>
    <n v="0.25"/>
    <n v="0.25"/>
    <n v="0"/>
    <n v="0"/>
    <n v="0"/>
    <n v="0"/>
    <n v="2.3053571428571429"/>
    <s v="14.03.2023"/>
    <n v="1"/>
    <e v="#N/A"/>
    <m/>
    <n v="1"/>
  </r>
  <r>
    <x v="45"/>
    <s v="F"/>
    <n v="10"/>
    <n v="10.02"/>
    <d v="1899-12-30T01:02:27"/>
    <d v="1899-12-30T01:02:30"/>
    <d v="1899-12-30T01:02:29"/>
    <n v="101"/>
    <d v="1899-12-30T00:06:14"/>
    <n v="2.5049999999999999"/>
    <n v="1.75"/>
    <n v="2"/>
    <x v="0"/>
    <n v="0.5"/>
    <n v="0.25"/>
    <n v="0.25"/>
    <n v="6.7333333333333328E-2"/>
    <n v="0"/>
    <n v="0"/>
    <n v="0"/>
    <n v="2.2573333333333334"/>
    <s v="14.03.2023"/>
    <n v="1"/>
    <e v="#N/A"/>
    <m/>
    <n v="1"/>
  </r>
  <r>
    <x v="113"/>
    <s v="M"/>
    <n v="10"/>
    <n v="16"/>
    <d v="1899-12-30T01:16:24"/>
    <d v="1899-12-30T01:16:24"/>
    <d v="1899-12-30T01:16:24"/>
    <n v="186"/>
    <d v="1899-12-30T00:04:46"/>
    <n v="3.8095238095238093"/>
    <n v="3"/>
    <n v="1.5"/>
    <x v="0"/>
    <n v="0.5"/>
    <n v="0.25"/>
    <n v="0.25"/>
    <n v="0.124"/>
    <n v="0"/>
    <n v="0"/>
    <n v="0"/>
    <n v="3.1537619047619048"/>
    <s v="14.03.2023"/>
    <n v="1"/>
    <e v="#N/A"/>
    <m/>
    <n v="1"/>
  </r>
  <r>
    <x v="32"/>
    <s v="M"/>
    <n v="10"/>
    <n v="23.01"/>
    <d v="1899-12-30T01:59:41"/>
    <d v="1899-12-30T02:00:16"/>
    <d v="1899-12-30T01:59:58"/>
    <n v="1"/>
    <d v="1899-12-30T00:05:13"/>
    <n v="5"/>
    <n v="2.5"/>
    <n v="1.75"/>
    <x v="1"/>
    <n v="0.25"/>
    <n v="0.5"/>
    <n v="0.25"/>
    <n v="0"/>
    <n v="0.1"/>
    <n v="0"/>
    <n v="0"/>
    <n v="3.0375000000000001"/>
    <s v="14.03.2023"/>
    <n v="1"/>
    <e v="#N/A"/>
    <m/>
    <n v="1"/>
  </r>
  <r>
    <x v="37"/>
    <s v="M"/>
    <n v="10"/>
    <n v="12"/>
    <d v="1899-12-30T01:00:04"/>
    <d v="1899-12-30T01:00:04"/>
    <d v="1899-12-30T01:00:04"/>
    <m/>
    <d v="1899-12-30T00:05:00"/>
    <n v="2.8571428571428572"/>
    <n v="3"/>
    <n v="1.5"/>
    <x v="1"/>
    <n v="0.25"/>
    <n v="0.5"/>
    <n v="0.25"/>
    <n v="0"/>
    <n v="0"/>
    <n v="0"/>
    <n v="0"/>
    <n v="2.5892857142857144"/>
    <s v="14.03.2023"/>
    <n v="1"/>
    <e v="#N/A"/>
    <m/>
    <n v="1"/>
  </r>
  <r>
    <x v="83"/>
    <s v="M"/>
    <n v="10"/>
    <n v="4.01"/>
    <d v="1899-12-30T00:16:50"/>
    <d v="1899-12-30T00:16:50"/>
    <d v="1899-12-30T00:16:50"/>
    <m/>
    <d v="1899-12-30T00:04:12"/>
    <n v="0.9547619047619047"/>
    <n v="4.5"/>
    <n v="0.75"/>
    <x v="1"/>
    <n v="0.25"/>
    <n v="0.5"/>
    <n v="0.25"/>
    <n v="0"/>
    <n v="0"/>
    <n v="0"/>
    <n v="0"/>
    <n v="2.676190476190476"/>
    <s v="14.03.2023"/>
    <n v="1"/>
    <e v="#N/A"/>
    <m/>
    <n v="1"/>
  </r>
  <r>
    <x v="28"/>
    <s v="M"/>
    <n v="10"/>
    <n v="22.2"/>
    <d v="1899-12-30T02:03:03"/>
    <d v="1899-12-30T02:03:54"/>
    <d v="1899-12-30T02:03:28"/>
    <n v="204"/>
    <d v="1899-12-30T00:05:34"/>
    <n v="5"/>
    <n v="1.75"/>
    <n v="0.5"/>
    <x v="0"/>
    <n v="0.5"/>
    <n v="0.25"/>
    <n v="0.25"/>
    <n v="0.13600000000000001"/>
    <n v="0"/>
    <n v="0"/>
    <n v="0"/>
    <n v="3.1985000000000001"/>
    <s v="14.03.2023"/>
    <n v="1"/>
    <s v="UltraHaita lu' Borcan"/>
    <m/>
    <n v="1"/>
  </r>
  <r>
    <x v="50"/>
    <s v="M"/>
    <n v="10"/>
    <n v="61"/>
    <d v="1899-12-30T06:27:32"/>
    <d v="1899-12-30T07:35:05"/>
    <d v="1899-12-30T07:01:18"/>
    <n v="161"/>
    <d v="1899-12-30T00:06:54"/>
    <n v="5"/>
    <n v="0.5"/>
    <n v="4.5"/>
    <x v="0"/>
    <n v="0.5"/>
    <n v="0.25"/>
    <n v="0.25"/>
    <n v="0.10733333333333334"/>
    <n v="2"/>
    <n v="0"/>
    <n v="0"/>
    <n v="5.8573333333333331"/>
    <s v="14.03.2023"/>
    <n v="1"/>
    <s v="The GOATs"/>
    <m/>
    <n v="1"/>
  </r>
  <r>
    <x v="20"/>
    <s v="F"/>
    <n v="10"/>
    <n v="2.61"/>
    <d v="1899-12-30T00:11:51"/>
    <d v="1899-12-30T00:11:51"/>
    <d v="1899-12-30T00:11:51"/>
    <m/>
    <d v="1899-12-30T00:04:32"/>
    <n v="0.65249999999999997"/>
    <n v="4.5"/>
    <n v="2"/>
    <x v="1"/>
    <n v="0.25"/>
    <n v="0.5"/>
    <n v="0.25"/>
    <n v="0"/>
    <n v="0"/>
    <n v="0"/>
    <n v="0"/>
    <n v="2.913125"/>
    <s v="14.03.2023"/>
    <n v="1"/>
    <s v="MedgidiaRunning"/>
    <m/>
    <n v="1"/>
  </r>
  <r>
    <x v="74"/>
    <s v="F"/>
    <n v="10"/>
    <n v="3.01"/>
    <d v="1899-12-30T00:16:44"/>
    <d v="1899-12-30T00:16:46"/>
    <d v="1899-12-30T00:16:45"/>
    <m/>
    <d v="1899-12-30T00:05:34"/>
    <n v="0.75249999999999995"/>
    <n v="2.5"/>
    <n v="3"/>
    <x v="1"/>
    <n v="0.25"/>
    <n v="0.5"/>
    <n v="0.25"/>
    <n v="0"/>
    <n v="0"/>
    <n v="0"/>
    <n v="0"/>
    <n v="2.1881249999999999"/>
    <s v="14.03.2023"/>
    <n v="1"/>
    <s v="UltraHaita lu' Borcan"/>
    <m/>
    <n v="1"/>
  </r>
  <r>
    <x v="35"/>
    <s v="F"/>
    <n v="10"/>
    <n v="7.06"/>
    <d v="1899-12-30T00:55:45"/>
    <d v="1899-12-30T01:00:46"/>
    <d v="1899-12-30T00:58:16"/>
    <n v="102"/>
    <d v="1899-12-30T00:08:15"/>
    <n v="1.7649999999999999"/>
    <n v="0.25"/>
    <n v="3.5"/>
    <x v="0"/>
    <n v="0.5"/>
    <n v="0.25"/>
    <n v="0.25"/>
    <n v="6.8000000000000005E-2"/>
    <n v="0"/>
    <n v="0"/>
    <n v="0"/>
    <n v="1.8879999999999999"/>
    <s v="14.03.2023"/>
    <n v="1"/>
    <s v="#notSYRious"/>
    <m/>
    <n v="1"/>
  </r>
  <r>
    <x v="117"/>
    <s v="M"/>
    <n v="10"/>
    <n v="15.45"/>
    <d v="1899-12-30T01:34:40"/>
    <d v="1899-12-30T01:44:22"/>
    <d v="1899-12-30T01:39:31"/>
    <n v="555"/>
    <d v="1899-12-30T00:06:26"/>
    <n v="3.6785714285714284"/>
    <n v="1"/>
    <n v="0.75"/>
    <x v="0"/>
    <n v="0.5"/>
    <n v="0.25"/>
    <n v="0.25"/>
    <n v="0.37"/>
    <n v="0"/>
    <n v="0"/>
    <n v="0"/>
    <n v="2.6467857142857145"/>
    <s v="14.03.2023"/>
    <n v="1"/>
    <e v="#N/A"/>
    <m/>
    <n v="1"/>
  </r>
  <r>
    <x v="107"/>
    <s v="M"/>
    <n v="10"/>
    <n v="28.38"/>
    <d v="1899-12-30T03:17:35"/>
    <d v="1899-12-30T03:25:37"/>
    <d v="1899-12-30T03:21:36"/>
    <n v="555"/>
    <d v="1899-12-30T00:07:06"/>
    <n v="5"/>
    <n v="0.25"/>
    <n v="3"/>
    <x v="2"/>
    <n v="0.25"/>
    <n v="0.25"/>
    <n v="0.5"/>
    <n v="0.37"/>
    <n v="0.3"/>
    <n v="0"/>
    <n v="0"/>
    <n v="3.4824999999999999"/>
    <s v="14.03.2023"/>
    <n v="1"/>
    <s v="The GOATs"/>
    <m/>
    <n v="1"/>
  </r>
  <r>
    <x v="41"/>
    <s v="M"/>
    <n v="10"/>
    <n v="90.08"/>
    <d v="1899-12-30T08:11:46"/>
    <d v="1899-12-30T08:16:37"/>
    <d v="1899-12-30T08:14:11"/>
    <n v="866"/>
    <d v="1899-12-30T00:05:29"/>
    <n v="5"/>
    <n v="2"/>
    <n v="4"/>
    <x v="0"/>
    <n v="0.5"/>
    <n v="0.25"/>
    <n v="0.25"/>
    <n v="0.57733333333333337"/>
    <n v="3.4"/>
    <n v="0"/>
    <n v="0"/>
    <n v="7.9773333333333341"/>
    <s v="14.03.2023"/>
    <n v="1"/>
    <s v="UltraHaita lu' Borcan"/>
    <m/>
    <n v="1"/>
  </r>
  <r>
    <x v="88"/>
    <s v="M"/>
    <n v="10"/>
    <n v="24.08"/>
    <d v="1899-12-30T01:58:05"/>
    <d v="1899-12-30T02:41:36"/>
    <d v="1899-12-30T02:19:50"/>
    <n v="160"/>
    <d v="1899-12-30T00:05:48"/>
    <n v="5"/>
    <n v="1.5"/>
    <n v="4.5"/>
    <x v="2"/>
    <n v="0.25"/>
    <n v="0.25"/>
    <n v="0.5"/>
    <n v="0.10666666666666667"/>
    <n v="0.1"/>
    <n v="0"/>
    <n v="0"/>
    <n v="4.0816666666666661"/>
    <s v="14.03.2023"/>
    <n v="1"/>
    <s v="Almost Kenyan Runners"/>
    <m/>
    <n v="1"/>
  </r>
  <r>
    <x v="65"/>
    <s v="F"/>
    <n v="10"/>
    <n v="21.87"/>
    <d v="1899-12-30T02:47:37"/>
    <d v="1899-12-30T02:55:49"/>
    <d v="1899-12-30T02:51:43"/>
    <n v="713"/>
    <d v="1899-12-30T00:07:51"/>
    <n v="5"/>
    <n v="0.25"/>
    <n v="1"/>
    <x v="0"/>
    <n v="0.5"/>
    <n v="0.25"/>
    <n v="0.25"/>
    <n v="0.47533333333333333"/>
    <n v="0"/>
    <n v="0"/>
    <n v="0"/>
    <n v="3.2878333333333334"/>
    <s v="14.03.2023"/>
    <n v="1"/>
    <e v="#N/A"/>
    <m/>
    <n v="1"/>
  </r>
  <r>
    <x v="15"/>
    <s v="F"/>
    <n v="10"/>
    <n v="9.16"/>
    <d v="1899-12-30T00:49:07"/>
    <d v="1899-12-30T00:49:15"/>
    <d v="1899-12-30T00:49:11"/>
    <m/>
    <d v="1899-12-30T00:05:22"/>
    <n v="2.29"/>
    <n v="3"/>
    <n v="4.25"/>
    <x v="2"/>
    <n v="0.25"/>
    <n v="0.25"/>
    <n v="0.5"/>
    <n v="0"/>
    <n v="0"/>
    <n v="0"/>
    <n v="0"/>
    <n v="3.4474999999999998"/>
    <s v="19.03.2023"/>
    <n v="1"/>
    <e v="#N/A"/>
    <m/>
    <n v="1"/>
  </r>
  <r>
    <x v="114"/>
    <s v="M"/>
    <n v="10"/>
    <n v="18.059999999999999"/>
    <d v="1899-12-30T01:45:36"/>
    <d v="1899-12-30T01:48:05"/>
    <d v="1899-12-30T01:46:50"/>
    <n v="141"/>
    <d v="1899-12-30T00:05:55"/>
    <n v="4.3"/>
    <n v="1.5"/>
    <n v="1.25"/>
    <x v="2"/>
    <n v="0.25"/>
    <n v="0.25"/>
    <n v="0.5"/>
    <n v="9.4E-2"/>
    <n v="0"/>
    <n v="0"/>
    <n v="0"/>
    <n v="2.169"/>
    <s v="19.03.2023"/>
    <n v="1"/>
    <e v="#N/A"/>
    <m/>
    <n v="1"/>
  </r>
  <r>
    <x v="13"/>
    <s v="M"/>
    <n v="10"/>
    <n v="14.45"/>
    <d v="1899-12-30T01:56:49"/>
    <d v="1899-12-30T01:59:35"/>
    <d v="1899-12-30T01:58:12"/>
    <n v="199"/>
    <d v="1899-12-30T00:08:11"/>
    <n v="3.4404761904761902"/>
    <n v="0"/>
    <n v="2.75"/>
    <x v="0"/>
    <n v="0.5"/>
    <n v="0.25"/>
    <n v="0.25"/>
    <n v="0.13266666666666665"/>
    <n v="0"/>
    <n v="0"/>
    <n v="0"/>
    <n v="2.5404047619047616"/>
    <s v="19.03.2023"/>
    <n v="1"/>
    <s v="MedgidiaRunning"/>
    <m/>
    <n v="0"/>
  </r>
  <r>
    <x v="101"/>
    <s v="M"/>
    <n v="10"/>
    <n v="15.25"/>
    <d v="1899-12-30T01:54:00"/>
    <d v="1899-12-30T02:27:18"/>
    <d v="1899-12-30T02:10:39"/>
    <n v="511"/>
    <d v="1899-12-30T00:08:34"/>
    <n v="3.6309523809523809"/>
    <n v="0"/>
    <n v="3"/>
    <x v="0"/>
    <n v="0.5"/>
    <n v="0.25"/>
    <n v="0.25"/>
    <n v="0.34066666666666667"/>
    <n v="0"/>
    <n v="0"/>
    <n v="0"/>
    <n v="2.9061428571428571"/>
    <s v="19.03.2023"/>
    <n v="1"/>
    <e v="#N/A"/>
    <m/>
    <n v="0"/>
  </r>
  <r>
    <x v="111"/>
    <s v="F"/>
    <n v="10"/>
    <n v="20"/>
    <d v="1899-12-30T02:27:00"/>
    <d v="1899-12-30T02:27:00"/>
    <d v="1899-12-30T02:27:00"/>
    <m/>
    <d v="1899-12-30T00:07:21"/>
    <n v="5"/>
    <n v="0.5"/>
    <n v="2.75"/>
    <x v="0"/>
    <n v="0.5"/>
    <n v="0.25"/>
    <n v="0.25"/>
    <n v="0"/>
    <n v="0"/>
    <n v="0"/>
    <n v="0.4"/>
    <n v="3.7124999999999999"/>
    <s v="19.03.2023"/>
    <n v="1"/>
    <e v="#N/A"/>
    <m/>
    <n v="1"/>
  </r>
  <r>
    <x v="70"/>
    <s v="F"/>
    <n v="10"/>
    <n v="20.100000000000001"/>
    <d v="1899-12-30T02:44:44"/>
    <d v="1899-12-30T02:45:33"/>
    <d v="1899-12-30T02:45:08"/>
    <n v="761"/>
    <d v="1899-12-30T00:08:13"/>
    <n v="5"/>
    <n v="0.25"/>
    <n v="3.25"/>
    <x v="0"/>
    <n v="0.5"/>
    <n v="0.25"/>
    <n v="0.25"/>
    <n v="0.5073333333333333"/>
    <n v="0"/>
    <n v="0"/>
    <n v="0"/>
    <n v="3.8823333333333334"/>
    <s v="19.03.2023"/>
    <n v="1"/>
    <e v="#N/A"/>
    <m/>
    <n v="1"/>
  </r>
  <r>
    <x v="36"/>
    <s v="M"/>
    <n v="10"/>
    <n v="4.79"/>
    <d v="1899-12-30T00:22:59"/>
    <d v="1899-12-30T00:22:59"/>
    <d v="1899-12-30T00:22:59"/>
    <m/>
    <d v="1899-12-30T00:04:48"/>
    <n v="1.1404761904761904"/>
    <n v="3"/>
    <n v="2.5"/>
    <x v="1"/>
    <n v="0.25"/>
    <n v="0.5"/>
    <n v="0.25"/>
    <n v="0"/>
    <n v="0"/>
    <n v="0"/>
    <n v="0"/>
    <n v="2.4101190476190477"/>
    <s v="19.03.2023"/>
    <n v="1"/>
    <s v="MedgidiaRunning"/>
    <m/>
    <n v="1"/>
  </r>
  <r>
    <x v="53"/>
    <s v="M"/>
    <n v="10"/>
    <n v="7.76"/>
    <d v="1899-12-30T00:58:35"/>
    <d v="1899-12-30T01:09:57"/>
    <d v="1899-12-30T01:04:16"/>
    <m/>
    <d v="1899-12-30T00:08:17"/>
    <n v="1.8476190476190475"/>
    <n v="0"/>
    <n v="2.75"/>
    <x v="2"/>
    <n v="0.25"/>
    <n v="0.25"/>
    <n v="0.5"/>
    <n v="0"/>
    <n v="0"/>
    <n v="0"/>
    <n v="0"/>
    <n v="1.8369047619047618"/>
    <s v="19.03.2023"/>
    <n v="1"/>
    <s v="#notSYRious"/>
    <m/>
    <n v="0"/>
  </r>
  <r>
    <x v="3"/>
    <s v="M"/>
    <n v="10"/>
    <n v="10.01"/>
    <d v="1899-12-30T00:49:40"/>
    <d v="1899-12-30T00:49:46"/>
    <d v="1899-12-30T00:49:43"/>
    <m/>
    <d v="1899-12-30T00:04:58"/>
    <n v="2.3833333333333333"/>
    <n v="3"/>
    <n v="3"/>
    <x v="1"/>
    <n v="0.25"/>
    <n v="0.5"/>
    <n v="0.25"/>
    <n v="0"/>
    <n v="0"/>
    <n v="0"/>
    <n v="0.4"/>
    <n v="3.2458333333333331"/>
    <s v="19.03.2023"/>
    <n v="1"/>
    <s v="MedgidiaRunning"/>
    <m/>
    <n v="1"/>
  </r>
  <r>
    <x v="11"/>
    <s v="M"/>
    <n v="10"/>
    <n v="42.2"/>
    <d v="1899-12-30T03:55:20"/>
    <d v="1899-12-30T03:55:34"/>
    <d v="1899-12-30T03:55:27"/>
    <m/>
    <d v="1899-12-30T00:05:35"/>
    <n v="5"/>
    <n v="1.75"/>
    <n v="1.5"/>
    <x v="0"/>
    <n v="0.5"/>
    <n v="0.25"/>
    <n v="0.25"/>
    <n v="0"/>
    <n v="1"/>
    <n v="0"/>
    <n v="0.4"/>
    <n v="4.7125000000000004"/>
    <s v="19.03.2023"/>
    <n v="1"/>
    <e v="#N/A"/>
    <m/>
    <n v="1"/>
  </r>
  <r>
    <x v="9"/>
    <s v="M"/>
    <n v="10"/>
    <n v="65.099999999999994"/>
    <d v="1899-12-30T06:15:03"/>
    <d v="1899-12-30T06:23:56"/>
    <d v="1899-12-30T06:19:30"/>
    <n v="87"/>
    <d v="1899-12-30T00:05:50"/>
    <n v="5"/>
    <n v="1.5"/>
    <n v="2"/>
    <x v="0"/>
    <n v="0.5"/>
    <n v="0.25"/>
    <n v="0.25"/>
    <n v="5.8000000000000003E-2"/>
    <n v="2.2000000000000002"/>
    <n v="0"/>
    <n v="0"/>
    <n v="5.633"/>
    <s v="19.03.2023"/>
    <n v="1"/>
    <s v="The GOATs"/>
    <m/>
    <n v="1"/>
  </r>
  <r>
    <x v="18"/>
    <s v="M"/>
    <n v="10"/>
    <n v="42.37"/>
    <d v="1899-12-30T04:26:56"/>
    <d v="1899-12-30T04:43:05"/>
    <d v="1899-12-30T04:35:01"/>
    <m/>
    <d v="1899-12-30T00:06:29"/>
    <n v="5"/>
    <n v="1"/>
    <n v="1.75"/>
    <x v="2"/>
    <n v="0.25"/>
    <n v="0.25"/>
    <n v="0.5"/>
    <n v="0"/>
    <n v="1"/>
    <n v="0"/>
    <n v="0"/>
    <n v="3.375"/>
    <s v="19.03.2023"/>
    <n v="1"/>
    <s v="UltraHaita lu' Borcan"/>
    <m/>
    <n v="1"/>
  </r>
  <r>
    <x v="14"/>
    <s v="F"/>
    <n v="10"/>
    <n v="10.08"/>
    <d v="1899-12-30T00:45:49"/>
    <d v="1899-12-30T00:45:57"/>
    <d v="1899-12-30T00:45:53"/>
    <m/>
    <d v="1899-12-30T00:04:33"/>
    <n v="2.52"/>
    <n v="4.5"/>
    <n v="2.75"/>
    <x v="1"/>
    <n v="0.25"/>
    <n v="0.5"/>
    <n v="0.25"/>
    <n v="0"/>
    <n v="0"/>
    <n v="0"/>
    <n v="0"/>
    <n v="3.5674999999999999"/>
    <s v="19.03.2023"/>
    <n v="1"/>
    <s v="MedgidiaRunning"/>
    <m/>
    <n v="1"/>
  </r>
  <r>
    <x v="109"/>
    <s v="M"/>
    <n v="10"/>
    <n v="20.02"/>
    <d v="1899-12-30T02:09:20"/>
    <d v="1899-12-30T02:22:04"/>
    <d v="1899-12-30T02:15:42"/>
    <n v="700"/>
    <d v="1899-12-30T00:06:47"/>
    <n v="4.7666666666666666"/>
    <n v="0.5"/>
    <n v="3"/>
    <x v="0"/>
    <n v="0.5"/>
    <n v="0.25"/>
    <n v="0.25"/>
    <n v="0.46666666666666667"/>
    <n v="0"/>
    <n v="0"/>
    <n v="0"/>
    <n v="3.7250000000000001"/>
    <s v="19.03.2023"/>
    <n v="1"/>
    <e v="#N/A"/>
    <m/>
    <n v="1"/>
  </r>
  <r>
    <x v="82"/>
    <s v="M"/>
    <n v="10"/>
    <n v="26.2"/>
    <d v="1899-12-30T02:08:35"/>
    <d v="1899-12-30T02:11:31"/>
    <d v="1899-12-30T02:10:03"/>
    <n v="298"/>
    <d v="1899-12-30T00:04:58"/>
    <n v="5"/>
    <n v="3"/>
    <n v="3.25"/>
    <x v="2"/>
    <n v="0.25"/>
    <n v="0.25"/>
    <n v="0.5"/>
    <n v="0.19866666666666666"/>
    <n v="0.2"/>
    <n v="0"/>
    <n v="0"/>
    <n v="4.0236666666666663"/>
    <s v="19.03.2023"/>
    <n v="1"/>
    <s v="Almost Kenyan Runners"/>
    <m/>
    <n v="1"/>
  </r>
  <r>
    <x v="77"/>
    <s v="F"/>
    <n v="10"/>
    <n v="24.21"/>
    <d v="1899-12-30T02:31:42"/>
    <d v="1899-12-30T02:43:12"/>
    <d v="1899-12-30T02:37:27"/>
    <n v="950"/>
    <d v="1899-12-30T00:06:30"/>
    <n v="5"/>
    <n v="1.5"/>
    <n v="4"/>
    <x v="2"/>
    <n v="0.25"/>
    <n v="0.25"/>
    <n v="0.5"/>
    <n v="0.6333333333333333"/>
    <n v="0.1"/>
    <n v="0"/>
    <n v="0"/>
    <n v="4.3583333333333325"/>
    <s v="19.03.2023"/>
    <n v="1"/>
    <s v="The GOATs"/>
    <m/>
    <n v="1"/>
  </r>
  <r>
    <x v="60"/>
    <s v="M"/>
    <n v="10"/>
    <n v="34.01"/>
    <d v="1899-12-30T02:04:16"/>
    <d v="1899-12-30T02:04:16"/>
    <d v="1899-12-30T02:04:16"/>
    <m/>
    <d v="1899-12-30T00:03:39"/>
    <n v="5"/>
    <n v="5"/>
    <n v="3.5"/>
    <x v="0"/>
    <n v="0.5"/>
    <n v="0.25"/>
    <n v="0.25"/>
    <n v="0"/>
    <n v="0.6"/>
    <n v="2.25"/>
    <n v="0"/>
    <n v="7.4749999999999996"/>
    <s v="19.03.2023"/>
    <n v="1"/>
    <s v="#notSYRious"/>
    <m/>
    <n v="1"/>
  </r>
  <r>
    <x v="98"/>
    <s v="F"/>
    <n v="10"/>
    <n v="21.58"/>
    <d v="1899-12-30T02:01:16"/>
    <d v="1899-12-30T02:01:22"/>
    <d v="1899-12-30T02:01:19"/>
    <m/>
    <d v="1899-12-30T00:05:37"/>
    <n v="5"/>
    <n v="2.5"/>
    <n v="1.25"/>
    <x v="0"/>
    <n v="0.5"/>
    <n v="0.25"/>
    <n v="0.25"/>
    <n v="0"/>
    <n v="0"/>
    <n v="0"/>
    <n v="0"/>
    <n v="3.4375"/>
    <s v="19.03.2023"/>
    <n v="1"/>
    <s v="#notSYRious"/>
    <m/>
    <n v="1"/>
  </r>
  <r>
    <x v="69"/>
    <s v="M"/>
    <n v="10"/>
    <n v="28"/>
    <d v="1899-12-30T02:14:29"/>
    <d v="1899-12-30T02:14:29"/>
    <d v="1899-12-30T02:14:29"/>
    <n v="72"/>
    <d v="1899-12-30T00:04:48"/>
    <n v="5"/>
    <n v="3"/>
    <n v="2"/>
    <x v="1"/>
    <n v="0.25"/>
    <n v="0.5"/>
    <n v="0.25"/>
    <n v="4.8000000000000001E-2"/>
    <n v="0.3"/>
    <n v="0"/>
    <n v="0"/>
    <n v="3.5979999999999999"/>
    <s v="19.03.2023"/>
    <n v="1"/>
    <s v="Almost Kenyan Runners"/>
    <m/>
    <n v="1"/>
  </r>
  <r>
    <x v="76"/>
    <s v="F"/>
    <n v="10"/>
    <n v="10.01"/>
    <d v="1899-12-30T01:00:08"/>
    <d v="1899-12-30T01:19:02"/>
    <d v="1899-12-30T01:09:35"/>
    <m/>
    <d v="1899-12-30T00:06:57"/>
    <n v="2.5024999999999999"/>
    <n v="1"/>
    <n v="3"/>
    <x v="0"/>
    <n v="0.5"/>
    <n v="0.25"/>
    <n v="0.25"/>
    <n v="0"/>
    <n v="0"/>
    <n v="0"/>
    <n v="0"/>
    <n v="2.2512499999999998"/>
    <s v="19.03.2023"/>
    <n v="1"/>
    <e v="#N/A"/>
    <m/>
    <n v="1"/>
  </r>
  <r>
    <x v="21"/>
    <s v="M"/>
    <n v="10"/>
    <n v="11.09"/>
    <d v="1899-12-30T01:10:09"/>
    <d v="1899-12-30T01:43:04"/>
    <d v="1899-12-30T01:26:37"/>
    <n v="127"/>
    <d v="1899-12-30T00:07:49"/>
    <n v="2.6404761904761904"/>
    <n v="0.25"/>
    <n v="3.25"/>
    <x v="0"/>
    <n v="0.5"/>
    <n v="0.25"/>
    <n v="0.25"/>
    <n v="8.4666666666666668E-2"/>
    <n v="0"/>
    <n v="0"/>
    <n v="0.4"/>
    <n v="2.679904761904762"/>
    <s v="20.03.2023"/>
    <n v="1"/>
    <s v="#notSYRious"/>
    <m/>
    <n v="1"/>
  </r>
  <r>
    <x v="103"/>
    <s v="M"/>
    <n v="10"/>
    <n v="23.03"/>
    <d v="1899-12-30T02:23:22"/>
    <d v="1899-12-30T02:43:10"/>
    <d v="1899-12-30T02:33:16"/>
    <m/>
    <d v="1899-12-30T00:06:39"/>
    <n v="5"/>
    <n v="0.75"/>
    <n v="2.5"/>
    <x v="0"/>
    <n v="0.5"/>
    <n v="0.25"/>
    <n v="0.25"/>
    <n v="0"/>
    <n v="0.1"/>
    <n v="0"/>
    <n v="0"/>
    <n v="3.4125000000000001"/>
    <s v="20.03.2023"/>
    <n v="1"/>
    <e v="#N/A"/>
    <m/>
    <n v="1"/>
  </r>
  <r>
    <x v="87"/>
    <s v="M"/>
    <n v="10"/>
    <n v="30.01"/>
    <d v="1899-12-30T01:58:24"/>
    <d v="1899-12-30T02:07:05"/>
    <d v="1899-12-30T02:02:44"/>
    <m/>
    <d v="1899-12-30T00:04:05"/>
    <n v="5"/>
    <n v="4.5"/>
    <n v="3.5"/>
    <x v="0"/>
    <n v="0.5"/>
    <n v="0.25"/>
    <n v="0.25"/>
    <n v="0"/>
    <n v="0.4"/>
    <n v="0"/>
    <n v="0"/>
    <n v="4.9000000000000004"/>
    <s v="20.03.2023"/>
    <n v="1"/>
    <e v="#N/A"/>
    <m/>
    <n v="1"/>
  </r>
  <r>
    <x v="54"/>
    <s v="F"/>
    <n v="10"/>
    <n v="8.31"/>
    <d v="1899-12-30T01:01:32"/>
    <d v="1899-12-30T01:23:29"/>
    <d v="1899-12-30T01:12:30"/>
    <m/>
    <d v="1899-12-30T00:08:44"/>
    <n v="2.0775000000000001"/>
    <n v="0.25"/>
    <n v="2.5"/>
    <x v="0"/>
    <n v="0.5"/>
    <n v="0.25"/>
    <n v="0.25"/>
    <n v="0"/>
    <n v="0"/>
    <n v="0"/>
    <n v="0.7"/>
    <n v="2.42625"/>
    <s v="20.03.2023"/>
    <n v="1"/>
    <s v="UltraHaita lu' Borcan"/>
    <m/>
    <n v="1"/>
  </r>
  <r>
    <x v="51"/>
    <s v="F"/>
    <n v="10"/>
    <n v="20"/>
    <d v="1899-12-30T02:16:13"/>
    <d v="1899-12-30T02:50:26"/>
    <d v="1899-12-30T02:33:19"/>
    <m/>
    <d v="1899-12-30T00:07:40"/>
    <n v="5"/>
    <n v="0.25"/>
    <n v="3"/>
    <x v="0"/>
    <n v="0.5"/>
    <n v="0.25"/>
    <n v="0.25"/>
    <n v="0"/>
    <n v="0"/>
    <n v="0"/>
    <n v="0"/>
    <n v="3.3125"/>
    <s v="20.03.2023"/>
    <n v="1"/>
    <s v="#notSYRious"/>
    <m/>
    <n v="1"/>
  </r>
  <r>
    <x v="68"/>
    <s v="F"/>
    <n v="10"/>
    <n v="10.029999999999999"/>
    <d v="1899-12-30T01:01:05"/>
    <d v="1899-12-30T01:02:33"/>
    <d v="1899-12-30T01:01:49"/>
    <m/>
    <d v="1899-12-30T00:06:10"/>
    <n v="2.5074999999999998"/>
    <n v="1.75"/>
    <n v="2.75"/>
    <x v="0"/>
    <n v="0.5"/>
    <n v="0.25"/>
    <n v="0.25"/>
    <n v="0"/>
    <n v="0"/>
    <n v="0"/>
    <n v="0"/>
    <n v="2.3787500000000001"/>
    <s v="20.03.2023"/>
    <n v="1"/>
    <s v="Almost Kenyan Runners"/>
    <m/>
    <n v="1"/>
  </r>
  <r>
    <x v="57"/>
    <s v="M"/>
    <n v="10"/>
    <n v="15.07"/>
    <d v="1899-12-30T01:19:30"/>
    <d v="1899-12-30T01:22:27"/>
    <d v="1899-12-30T01:20:58"/>
    <n v="238"/>
    <d v="1899-12-30T00:05:22"/>
    <n v="3.5880952380952382"/>
    <n v="2"/>
    <n v="3.5"/>
    <x v="2"/>
    <n v="0.25"/>
    <n v="0.25"/>
    <n v="0.5"/>
    <n v="0.15866666666666668"/>
    <n v="0"/>
    <n v="0"/>
    <n v="0"/>
    <n v="3.3056904761904762"/>
    <s v="20.03.2023"/>
    <n v="1"/>
    <s v="The GOATs"/>
    <m/>
    <n v="1"/>
  </r>
  <r>
    <x v="40"/>
    <s v="M"/>
    <n v="10"/>
    <n v="29.03"/>
    <d v="1899-12-30T04:03:37"/>
    <d v="1899-12-30T04:32:06"/>
    <d v="1899-12-30T04:17:52"/>
    <n v="1251"/>
    <d v="1899-12-30T00:08:53"/>
    <n v="5"/>
    <n v="0"/>
    <n v="3"/>
    <x v="0"/>
    <n v="0.5"/>
    <n v="0.25"/>
    <n v="0.25"/>
    <n v="0.83399999999999996"/>
    <n v="0.4"/>
    <n v="0"/>
    <n v="0"/>
    <n v="4.484"/>
    <s v="20.03.2023"/>
    <n v="1"/>
    <s v="Almost Kenyan Runners"/>
    <m/>
    <n v="0"/>
  </r>
  <r>
    <x v="16"/>
    <s v="F"/>
    <n v="10"/>
    <n v="0"/>
    <d v="1899-12-30T00:00:00"/>
    <d v="1899-12-30T00:00:00"/>
    <d v="1899-12-30T00:00:00"/>
    <m/>
    <d v="1899-12-30T00:00:00"/>
    <n v="0"/>
    <n v="0"/>
    <n v="0"/>
    <x v="3"/>
    <n v="0.25"/>
    <n v="0.25"/>
    <n v="0.25"/>
    <n v="0"/>
    <n v="0"/>
    <n v="0"/>
    <n v="0"/>
    <n v="1.5"/>
    <s v="20.03.2023"/>
    <n v="1"/>
    <s v="MedgidiaRunning"/>
    <m/>
    <n v="0"/>
  </r>
  <r>
    <x v="72"/>
    <s v="F"/>
    <n v="10"/>
    <n v="10.14"/>
    <d v="1899-12-30T01:03:35"/>
    <d v="1899-12-30T01:03:50"/>
    <d v="1899-12-30T01:03:43"/>
    <m/>
    <d v="1899-12-30T00:06:17"/>
    <n v="2.5350000000000001"/>
    <n v="1.5"/>
    <n v="1.5"/>
    <x v="0"/>
    <n v="0.5"/>
    <n v="0.25"/>
    <n v="0.25"/>
    <n v="0"/>
    <n v="0"/>
    <n v="0"/>
    <n v="0"/>
    <n v="2.0175000000000001"/>
    <s v="20.03.2023"/>
    <n v="1"/>
    <e v="#N/A"/>
    <m/>
    <n v="1"/>
  </r>
  <r>
    <x v="106"/>
    <s v="F"/>
    <n v="10"/>
    <n v="5.21"/>
    <d v="1899-12-30T00:36:19"/>
    <d v="1899-12-30T00:37:03"/>
    <d v="1899-12-30T00:36:41"/>
    <m/>
    <d v="1899-12-30T00:07:02"/>
    <n v="1.3025"/>
    <n v="0.75"/>
    <n v="2.25"/>
    <x v="1"/>
    <n v="0.25"/>
    <n v="0.5"/>
    <n v="0.25"/>
    <n v="0"/>
    <n v="0"/>
    <n v="0"/>
    <n v="0"/>
    <n v="1.2631250000000001"/>
    <s v="20.03.2023"/>
    <n v="1"/>
    <s v="MedgidiaRunning"/>
    <m/>
    <n v="1"/>
  </r>
  <r>
    <x v="59"/>
    <s v="M"/>
    <n v="10"/>
    <n v="40.25"/>
    <d v="1899-12-30T05:44:09"/>
    <d v="1899-12-30T06:25:40"/>
    <d v="1899-12-30T06:04:54"/>
    <n v="1739"/>
    <d v="1899-12-30T00:09:04"/>
    <n v="5"/>
    <n v="0"/>
    <n v="2.5"/>
    <x v="0"/>
    <n v="0.5"/>
    <n v="0.25"/>
    <n v="0.25"/>
    <n v="1.1593333333333333"/>
    <n v="0.9"/>
    <n v="0"/>
    <n v="0"/>
    <n v="5.1843333333333339"/>
    <s v="20.03.2023"/>
    <n v="1"/>
    <s v="UltraHaita lu' Borcan"/>
    <m/>
    <n v="0"/>
  </r>
  <r>
    <x v="22"/>
    <s v="F"/>
    <n v="10"/>
    <n v="5.66"/>
    <d v="1899-12-30T00:35:49"/>
    <d v="1899-12-30T00:37:03"/>
    <d v="1899-12-30T00:36:26"/>
    <m/>
    <d v="1899-12-30T00:06:26"/>
    <n v="1.415"/>
    <n v="1.5"/>
    <n v="3.5"/>
    <x v="2"/>
    <n v="0.25"/>
    <n v="0.25"/>
    <n v="0.5"/>
    <n v="0"/>
    <n v="0"/>
    <n v="0"/>
    <n v="0"/>
    <n v="2.4787499999999998"/>
    <s v="20.03.2023"/>
    <n v="1"/>
    <s v="MedgidiaRunning"/>
    <m/>
    <n v="1"/>
  </r>
  <r>
    <x v="44"/>
    <s v="M"/>
    <n v="10"/>
    <n v="13.44"/>
    <d v="1899-12-30T01:24:22"/>
    <d v="1899-12-30T01:39:23"/>
    <d v="1899-12-30T01:31:52"/>
    <m/>
    <d v="1899-12-30T00:06:50"/>
    <n v="3.1999999999999997"/>
    <n v="0.5"/>
    <n v="4"/>
    <x v="2"/>
    <n v="0.25"/>
    <n v="0.25"/>
    <n v="0.5"/>
    <n v="0"/>
    <n v="0"/>
    <n v="0"/>
    <n v="0"/>
    <n v="2.9249999999999998"/>
    <s v="20.03.2023"/>
    <n v="1"/>
    <s v="UltraHaita lu' Borcan"/>
    <m/>
    <n v="1"/>
  </r>
  <r>
    <x v="78"/>
    <s v="M"/>
    <n v="10"/>
    <n v="30.1"/>
    <d v="1899-12-30T05:40:34"/>
    <d v="1899-12-30T06:06:29"/>
    <d v="1899-12-30T05:53:32"/>
    <n v="955"/>
    <d v="1899-12-30T00:11:45"/>
    <n v="5"/>
    <n v="0"/>
    <n v="2.5"/>
    <x v="1"/>
    <n v="0.25"/>
    <n v="0.5"/>
    <n v="0.25"/>
    <n v="0.63666666666666671"/>
    <n v="0.4"/>
    <n v="0"/>
    <n v="0.4"/>
    <n v="3.3116666666666665"/>
    <s v="20.03.2023"/>
    <n v="1"/>
    <s v="Almost Kenyan Runners"/>
    <m/>
    <n v="0"/>
  </r>
  <r>
    <x v="64"/>
    <s v="M"/>
    <n v="10"/>
    <n v="38.03"/>
    <d v="1899-12-30T03:38:51"/>
    <d v="1899-12-30T04:40:36"/>
    <d v="1899-12-30T04:09:44"/>
    <n v="93"/>
    <d v="1899-12-30T00:06:34"/>
    <n v="5"/>
    <n v="0.75"/>
    <n v="3.75"/>
    <x v="0"/>
    <n v="0.5"/>
    <n v="0.25"/>
    <n v="0.25"/>
    <n v="6.2E-2"/>
    <n v="0.8"/>
    <n v="0"/>
    <n v="0"/>
    <n v="4.4870000000000001"/>
    <s v="20.03.2023"/>
    <n v="1"/>
    <s v="The GOATs"/>
    <m/>
    <n v="1"/>
  </r>
  <r>
    <x v="92"/>
    <s v="F"/>
    <n v="10"/>
    <n v="21.03"/>
    <d v="1899-12-30T02:01:37"/>
    <d v="1899-12-30T02:37:10"/>
    <d v="1899-12-30T02:19:23"/>
    <n v="54"/>
    <d v="1899-12-30T00:06:38"/>
    <n v="5"/>
    <n v="1.25"/>
    <n v="2.25"/>
    <x v="0"/>
    <n v="0.5"/>
    <n v="0.25"/>
    <n v="0.25"/>
    <n v="3.5999999999999997E-2"/>
    <n v="0"/>
    <n v="0"/>
    <n v="0"/>
    <n v="3.411"/>
    <s v="20.03.2023"/>
    <n v="1"/>
    <s v="The GOATs"/>
    <m/>
    <n v="1"/>
  </r>
  <r>
    <x v="96"/>
    <s v="F"/>
    <n v="10"/>
    <n v="11.14"/>
    <d v="1899-12-30T01:06:24"/>
    <d v="1899-12-30T01:37:46"/>
    <d v="1899-12-30T01:22:05"/>
    <m/>
    <d v="1899-12-30T00:07:22"/>
    <n v="2.7850000000000001"/>
    <n v="0.5"/>
    <n v="3.25"/>
    <x v="2"/>
    <n v="0.25"/>
    <n v="0.25"/>
    <n v="0.5"/>
    <n v="0"/>
    <n v="0"/>
    <n v="0"/>
    <n v="0"/>
    <n v="2.44625"/>
    <s v="20.03.2023"/>
    <n v="1"/>
    <e v="#N/A"/>
    <m/>
    <n v="1"/>
  </r>
  <r>
    <x v="86"/>
    <s v="F"/>
    <n v="10"/>
    <n v="18.68"/>
    <d v="1899-12-30T01:52:43"/>
    <d v="1899-12-30T01:53:35"/>
    <d v="1899-12-30T01:53:09"/>
    <m/>
    <d v="1899-12-30T00:06:03"/>
    <n v="4.67"/>
    <n v="1.75"/>
    <n v="4"/>
    <x v="2"/>
    <n v="0.25"/>
    <n v="0.25"/>
    <n v="0.5"/>
    <n v="0"/>
    <n v="0"/>
    <n v="0"/>
    <n v="0"/>
    <n v="3.605"/>
    <s v="20.03.2023"/>
    <n v="1"/>
    <s v="Almost Kenyan Runners"/>
    <m/>
    <n v="1"/>
  </r>
  <r>
    <x v="46"/>
    <s v="M"/>
    <n v="10"/>
    <n v="17.91"/>
    <d v="1899-12-30T01:40:35"/>
    <d v="1899-12-30T02:02:48"/>
    <d v="1899-12-30T01:51:42"/>
    <n v="137"/>
    <d v="1899-12-30T00:06:14"/>
    <n v="4.2642857142857142"/>
    <n v="1.25"/>
    <n v="2.5"/>
    <x v="0"/>
    <n v="0.5"/>
    <n v="0.25"/>
    <n v="0.25"/>
    <n v="9.1333333333333336E-2"/>
    <n v="0"/>
    <n v="0"/>
    <n v="0"/>
    <n v="3.1609761904761906"/>
    <s v="20.03.2023"/>
    <n v="1"/>
    <s v="#notSYRious"/>
    <m/>
    <n v="1"/>
  </r>
  <r>
    <x v="84"/>
    <s v="M"/>
    <n v="10"/>
    <n v="7.3"/>
    <d v="1899-12-30T00:42:45"/>
    <d v="1899-12-30T00:49:01"/>
    <d v="1899-12-30T00:45:53"/>
    <n v="221"/>
    <d v="1899-12-30T00:06:17"/>
    <n v="1.7380952380952379"/>
    <n v="1"/>
    <n v="4.75"/>
    <x v="2"/>
    <n v="0.25"/>
    <n v="0.25"/>
    <n v="0.5"/>
    <n v="0.14733333333333334"/>
    <n v="0"/>
    <n v="0"/>
    <n v="0"/>
    <n v="3.2068571428571429"/>
    <s v="20.03.2023"/>
    <n v="1"/>
    <s v="The GOATs"/>
    <m/>
    <n v="1"/>
  </r>
  <r>
    <x v="2"/>
    <s v="F"/>
    <n v="10"/>
    <n v="10.57"/>
    <d v="1899-12-30T01:04:20"/>
    <d v="1899-12-30T01:04:33"/>
    <d v="1899-12-30T01:04:27"/>
    <m/>
    <d v="1899-12-30T00:06:06"/>
    <n v="2.6425000000000001"/>
    <n v="1.75"/>
    <n v="3"/>
    <x v="2"/>
    <n v="0.25"/>
    <n v="0.25"/>
    <n v="0.5"/>
    <n v="0"/>
    <n v="0"/>
    <n v="0"/>
    <n v="0"/>
    <n v="2.598125"/>
    <s v="20.03.2023"/>
    <n v="1"/>
    <s v="MedgidiaRunning"/>
    <m/>
    <n v="1"/>
  </r>
  <r>
    <x v="85"/>
    <s v="M"/>
    <n v="10"/>
    <n v="25.06"/>
    <d v="1899-12-30T03:13:18"/>
    <d v="1899-12-30T03:27:30"/>
    <d v="1899-12-30T03:20:24"/>
    <n v="1056"/>
    <d v="1899-12-30T00:08:00"/>
    <n v="5"/>
    <n v="0.25"/>
    <n v="4.5"/>
    <x v="2"/>
    <n v="0.25"/>
    <n v="0.25"/>
    <n v="0.5"/>
    <n v="0.70399999999999996"/>
    <n v="0.2"/>
    <n v="0"/>
    <n v="0"/>
    <n v="4.4664999999999999"/>
    <s v="20.03.2023"/>
    <n v="1"/>
    <s v="The GOATs"/>
    <m/>
    <n v="1"/>
  </r>
  <r>
    <x v="80"/>
    <s v="M"/>
    <n v="10"/>
    <n v="10.32"/>
    <d v="1899-12-30T00:49:42"/>
    <d v="1899-12-30T00:51:52"/>
    <d v="1899-12-30T00:50:47"/>
    <m/>
    <d v="1899-12-30T00:04:55"/>
    <n v="2.4571428571428573"/>
    <n v="3"/>
    <n v="0.25"/>
    <x v="1"/>
    <n v="0.25"/>
    <n v="0.5"/>
    <n v="0.25"/>
    <n v="0"/>
    <n v="0"/>
    <n v="0"/>
    <n v="0"/>
    <n v="2.1767857142857143"/>
    <s v="20.03.2023"/>
    <n v="1"/>
    <s v="Almost Kenyan Runners"/>
    <m/>
    <n v="1"/>
  </r>
  <r>
    <x v="49"/>
    <s v="M"/>
    <n v="10"/>
    <n v="10.07"/>
    <d v="1899-12-30T01:00:11"/>
    <d v="1899-12-30T01:02:46"/>
    <d v="1899-12-30T01:01:29"/>
    <n v="235"/>
    <d v="1899-12-30T00:06:06"/>
    <n v="2.3976190476190475"/>
    <n v="1.25"/>
    <n v="1.25"/>
    <x v="0"/>
    <n v="0.5"/>
    <n v="0.25"/>
    <n v="0.25"/>
    <n v="0.15666666666666668"/>
    <n v="0"/>
    <n v="0"/>
    <n v="0"/>
    <n v="1.9804761904761905"/>
    <s v="20.03.2023"/>
    <n v="1"/>
    <s v="The GOATs"/>
    <m/>
    <n v="1"/>
  </r>
  <r>
    <x v="48"/>
    <s v="M"/>
    <n v="10"/>
    <n v="50"/>
    <d v="1899-12-30T03:54:41"/>
    <d v="1899-12-30T04:12:20"/>
    <d v="1899-12-30T04:03:31"/>
    <n v="64"/>
    <d v="1899-12-30T00:04:52"/>
    <n v="5"/>
    <n v="3"/>
    <n v="1.5"/>
    <x v="1"/>
    <n v="0.25"/>
    <n v="0.5"/>
    <n v="0.25"/>
    <n v="4.2666666666666665E-2"/>
    <n v="1.4"/>
    <n v="0"/>
    <n v="0"/>
    <n v="4.5676666666666668"/>
    <s v="20.03.2023"/>
    <n v="1"/>
    <s v="UltraHaita lu' Borcan"/>
    <m/>
    <n v="1"/>
  </r>
  <r>
    <x v="71"/>
    <s v="M"/>
    <n v="10"/>
    <n v="27.73"/>
    <d v="1899-12-30T10:07:52"/>
    <d v="1899-12-30T10:25:46"/>
    <d v="1899-12-30T10:16:49"/>
    <n v="1045"/>
    <d v="1899-12-30T00:22:15"/>
    <n v="5"/>
    <n v="0"/>
    <n v="1.5"/>
    <x v="0"/>
    <n v="0.5"/>
    <n v="0.25"/>
    <n v="0.25"/>
    <n v="0.69666666666666666"/>
    <n v="0.3"/>
    <n v="0"/>
    <n v="0"/>
    <n v="3.8716666666666666"/>
    <s v="20.03.2023"/>
    <n v="1"/>
    <s v="MedgidiaRunning"/>
    <m/>
    <n v="0"/>
  </r>
  <r>
    <x v="23"/>
    <s v="M"/>
    <n v="10"/>
    <n v="8.32"/>
    <d v="1899-12-30T00:40:04"/>
    <d v="1899-12-30T00:40:04"/>
    <d v="1899-12-30T00:40:04"/>
    <m/>
    <d v="1899-12-30T00:04:49"/>
    <n v="1.980952380952381"/>
    <n v="3"/>
    <n v="2"/>
    <x v="0"/>
    <n v="0.5"/>
    <n v="0.25"/>
    <n v="0.25"/>
    <n v="0"/>
    <n v="0"/>
    <n v="0"/>
    <n v="0"/>
    <n v="2.2404761904761905"/>
    <s v="20.03.2023"/>
    <n v="1"/>
    <s v="Almost Kenyan Runners"/>
    <m/>
    <n v="1"/>
  </r>
  <r>
    <x v="30"/>
    <s v="M"/>
    <n v="10"/>
    <n v="20.010000000000002"/>
    <d v="1899-12-30T01:54:45"/>
    <d v="1899-12-30T01:55:38"/>
    <d v="1899-12-30T01:55:11"/>
    <n v="700"/>
    <d v="1899-12-30T00:05:45"/>
    <n v="4.7642857142857142"/>
    <n v="1.75"/>
    <n v="3.75"/>
    <x v="2"/>
    <n v="0.25"/>
    <n v="0.25"/>
    <n v="0.5"/>
    <n v="0.46666666666666667"/>
    <n v="0"/>
    <n v="0"/>
    <n v="0"/>
    <n v="3.9702380952380953"/>
    <s v="20.03.2023"/>
    <n v="1"/>
    <s v="The GOATs"/>
    <m/>
    <n v="1"/>
  </r>
  <r>
    <x v="43"/>
    <s v="M"/>
    <n v="10"/>
    <n v="21"/>
    <d v="1899-12-30T01:36:09"/>
    <d v="1899-12-30T01:40:19"/>
    <d v="1899-12-30T01:38:14"/>
    <m/>
    <d v="1899-12-30T00:04:41"/>
    <n v="5"/>
    <n v="3.5"/>
    <n v="2"/>
    <x v="0"/>
    <n v="0.5"/>
    <n v="0.25"/>
    <n v="0.25"/>
    <n v="0"/>
    <n v="0"/>
    <n v="0"/>
    <n v="0"/>
    <n v="3.875"/>
    <s v="20.03.2023"/>
    <n v="1"/>
    <s v="Almost Kenyan Runners"/>
    <m/>
    <n v="1"/>
  </r>
  <r>
    <x v="4"/>
    <s v="M"/>
    <n v="10"/>
    <n v="11.25"/>
    <d v="1899-12-30T00:50:34"/>
    <d v="1899-12-30T00:50:43"/>
    <d v="1899-12-30T00:50:39"/>
    <m/>
    <d v="1899-12-30T00:04:30"/>
    <n v="2.6785714285714284"/>
    <n v="4"/>
    <n v="0"/>
    <x v="0"/>
    <n v="0.5"/>
    <n v="0.25"/>
    <n v="0.25"/>
    <n v="0"/>
    <n v="0"/>
    <n v="0"/>
    <n v="0.4"/>
    <n v="2.7392857142857143"/>
    <s v="20.03.2023"/>
    <n v="1"/>
    <s v="UltraHaita lu' Borcan"/>
    <m/>
    <n v="1"/>
  </r>
  <r>
    <x v="105"/>
    <s v="M"/>
    <n v="10"/>
    <n v="11.17"/>
    <d v="1899-12-30T00:49:33"/>
    <d v="1899-12-30T00:49:33"/>
    <d v="1899-12-30T00:49:33"/>
    <m/>
    <d v="1899-12-30T00:04:26"/>
    <n v="2.6595238095238094"/>
    <n v="4"/>
    <n v="0"/>
    <x v="0"/>
    <n v="0.5"/>
    <n v="0.25"/>
    <n v="0.25"/>
    <n v="0"/>
    <n v="0"/>
    <n v="0"/>
    <n v="0"/>
    <n v="2.3297619047619049"/>
    <s v="20.03.2023"/>
    <n v="1"/>
    <s v="The GOATs"/>
    <m/>
    <n v="1"/>
  </r>
  <r>
    <x v="52"/>
    <s v="M"/>
    <n v="10"/>
    <n v="24.01"/>
    <d v="1899-12-30T02:26:20"/>
    <d v="1899-12-30T04:37:27"/>
    <d v="1899-12-30T03:31:54"/>
    <n v="589"/>
    <d v="1899-12-30T00:08:50"/>
    <n v="5"/>
    <n v="0"/>
    <n v="1"/>
    <x v="2"/>
    <n v="0.25"/>
    <n v="0.25"/>
    <n v="0.5"/>
    <n v="0.39266666666666666"/>
    <n v="0.1"/>
    <n v="0"/>
    <n v="0"/>
    <n v="2.2426666666666666"/>
    <s v="20.03.2023"/>
    <n v="1"/>
    <e v="#N/A"/>
    <m/>
    <n v="0"/>
  </r>
  <r>
    <x v="58"/>
    <s v="M"/>
    <n v="10"/>
    <n v="12.01"/>
    <d v="1899-12-30T00:59:45"/>
    <d v="1899-12-30T01:02:12"/>
    <d v="1899-12-30T01:00:59"/>
    <n v="171"/>
    <d v="1899-12-30T00:05:05"/>
    <n v="2.8595238095238091"/>
    <n v="2.5"/>
    <n v="1.5"/>
    <x v="1"/>
    <n v="0.25"/>
    <n v="0.5"/>
    <n v="0.25"/>
    <n v="0.114"/>
    <n v="0"/>
    <n v="0"/>
    <n v="0"/>
    <n v="2.4538809523809522"/>
    <s v="20.03.2023"/>
    <n v="1"/>
    <s v="Almost Kenyan Runners"/>
    <m/>
    <n v="1"/>
  </r>
  <r>
    <x v="39"/>
    <s v="M"/>
    <n v="10"/>
    <n v="11.17"/>
    <d v="1899-12-30T00:59:45"/>
    <d v="1899-12-30T01:00:40"/>
    <d v="1899-12-30T01:00:12"/>
    <m/>
    <d v="1899-12-30T00:05:23"/>
    <n v="2.6595238095238094"/>
    <n v="2"/>
    <n v="3.5"/>
    <x v="1"/>
    <n v="0.25"/>
    <n v="0.5"/>
    <n v="0.25"/>
    <n v="0"/>
    <n v="0"/>
    <n v="0"/>
    <n v="0"/>
    <n v="2.5398809523809525"/>
    <s v="20.03.2023"/>
    <n v="1"/>
    <s v="#notSYRious"/>
    <m/>
    <n v="1"/>
  </r>
  <r>
    <x v="44"/>
    <s v="M"/>
    <n v="11"/>
    <n v="12.5"/>
    <d v="1899-12-30T00:59:54"/>
    <d v="1899-12-30T00:59:54"/>
    <d v="1899-12-30T00:59:54"/>
    <m/>
    <d v="1899-12-30T00:04:48"/>
    <n v="2.9761904761904763"/>
    <n v="3"/>
    <n v="3"/>
    <x v="1"/>
    <n v="0.25"/>
    <n v="0.5"/>
    <n v="0.25"/>
    <n v="0"/>
    <n v="0"/>
    <n v="0"/>
    <n v="0"/>
    <n v="2.9940476190476191"/>
    <s v="22.03.2023"/>
    <n v="1"/>
    <s v="UltraHaita lu' Borcan"/>
    <m/>
    <n v="1"/>
  </r>
  <r>
    <x v="1"/>
    <s v="M"/>
    <n v="11"/>
    <n v="30.09"/>
    <d v="1899-12-30T03:00:23"/>
    <d v="1899-12-30T03:00:23"/>
    <d v="1899-12-30T03:00:23"/>
    <m/>
    <d v="1899-12-30T00:06:00"/>
    <n v="5"/>
    <n v="1.5"/>
    <n v="1"/>
    <x v="1"/>
    <n v="0.25"/>
    <n v="0.5"/>
    <n v="0.25"/>
    <n v="0"/>
    <n v="0.4"/>
    <n v="0"/>
    <n v="0"/>
    <n v="2.65"/>
    <s v="22.03.2023"/>
    <n v="1"/>
    <e v="#N/A"/>
    <m/>
    <n v="1"/>
  </r>
  <r>
    <x v="21"/>
    <s v="M"/>
    <n v="11"/>
    <n v="11.59"/>
    <d v="1899-12-30T01:06:51"/>
    <d v="1899-12-30T01:15:59"/>
    <d v="1899-12-30T01:11:25"/>
    <n v="150"/>
    <d v="1899-12-30T00:06:10"/>
    <n v="2.7595238095238095"/>
    <n v="1.25"/>
    <n v="1.75"/>
    <x v="0"/>
    <n v="0.5"/>
    <n v="0.25"/>
    <n v="0.25"/>
    <n v="0.1"/>
    <n v="0"/>
    <n v="0"/>
    <n v="0.4"/>
    <n v="2.6297619047619047"/>
    <s v="22.03.2023"/>
    <n v="1"/>
    <s v="#notSYRious"/>
    <m/>
    <n v="1"/>
  </r>
  <r>
    <x v="68"/>
    <s v="F"/>
    <n v="11"/>
    <n v="3.01"/>
    <d v="1899-12-30T00:17:28"/>
    <d v="1899-12-30T00:17:32"/>
    <d v="1899-12-30T00:17:30"/>
    <m/>
    <d v="1899-12-30T00:05:49"/>
    <n v="0.75249999999999995"/>
    <n v="2"/>
    <n v="2"/>
    <x v="1"/>
    <n v="0.25"/>
    <n v="0.5"/>
    <n v="0.25"/>
    <n v="0"/>
    <n v="0"/>
    <n v="0"/>
    <n v="0"/>
    <n v="1.6881249999999999"/>
    <s v="22.03.2023"/>
    <n v="1"/>
    <s v="Almost Kenyan Runners"/>
    <m/>
    <n v="1"/>
  </r>
  <r>
    <x v="99"/>
    <s v="F"/>
    <n v="11"/>
    <n v="9.4499999999999993"/>
    <d v="1899-12-30T00:53:40"/>
    <d v="1899-12-30T00:53:44"/>
    <d v="1899-12-30T00:53:42"/>
    <m/>
    <d v="1899-12-30T00:05:41"/>
    <n v="2.3624999999999998"/>
    <n v="2.5"/>
    <n v="2.5"/>
    <x v="1"/>
    <n v="0.25"/>
    <n v="0.5"/>
    <n v="0.25"/>
    <n v="0"/>
    <n v="0"/>
    <n v="0"/>
    <n v="0"/>
    <n v="2.4656250000000002"/>
    <s v="22.03.2023"/>
    <n v="1"/>
    <s v="#notSYRious"/>
    <m/>
    <n v="1"/>
  </r>
  <r>
    <x v="42"/>
    <s v="M"/>
    <n v="11"/>
    <n v="19.989999999999998"/>
    <d v="1899-12-30T01:37:52"/>
    <d v="1899-12-30T01:38:10"/>
    <d v="1899-12-30T01:38:01"/>
    <m/>
    <d v="1899-12-30T00:04:54"/>
    <n v="4.7595238095238086"/>
    <n v="3"/>
    <n v="2.5"/>
    <x v="0"/>
    <n v="0.5"/>
    <n v="0.25"/>
    <n v="0.25"/>
    <n v="0"/>
    <n v="0"/>
    <n v="0"/>
    <n v="0"/>
    <n v="3.7547619047619043"/>
    <s v="22.03.2023"/>
    <n v="1"/>
    <s v="The GOATs"/>
    <m/>
    <n v="1"/>
  </r>
  <r>
    <x v="107"/>
    <s v="M"/>
    <n v="11"/>
    <n v="12.18"/>
    <d v="1899-12-30T01:00:00"/>
    <d v="1899-12-30T01:00:00"/>
    <d v="1899-12-30T01:00:00"/>
    <m/>
    <d v="1899-12-30T00:04:56"/>
    <n v="2.9"/>
    <n v="3"/>
    <n v="2.75"/>
    <x v="1"/>
    <n v="0.25"/>
    <n v="0.5"/>
    <n v="0.25"/>
    <n v="0"/>
    <n v="0"/>
    <n v="0"/>
    <n v="0"/>
    <n v="2.9125000000000001"/>
    <s v="24.03.2023"/>
    <n v="1"/>
    <s v="The GOATs"/>
    <m/>
    <n v="1"/>
  </r>
  <r>
    <x v="52"/>
    <s v="M"/>
    <n v="11"/>
    <n v="10"/>
    <d v="1899-12-30T00:43:19"/>
    <d v="1899-12-30T00:43:19"/>
    <d v="1899-12-30T00:43:19"/>
    <m/>
    <d v="1899-12-30T00:04:20"/>
    <n v="2.3809523809523809"/>
    <n v="4"/>
    <n v="2.75"/>
    <x v="1"/>
    <n v="0.25"/>
    <n v="0.5"/>
    <n v="0.25"/>
    <n v="0"/>
    <n v="0"/>
    <n v="0"/>
    <n v="0"/>
    <n v="3.2827380952380953"/>
    <s v="25.03.2023"/>
    <n v="1"/>
    <e v="#N/A"/>
    <m/>
    <n v="1"/>
  </r>
  <r>
    <x v="60"/>
    <s v="M"/>
    <n v="11"/>
    <n v="3.01"/>
    <d v="1899-12-30T00:09:32"/>
    <d v="1899-12-30T00:09:32"/>
    <d v="1899-12-30T00:09:32"/>
    <m/>
    <d v="1899-12-30T00:03:10"/>
    <n v="0.71666666666666656"/>
    <n v="5"/>
    <n v="3"/>
    <x v="1"/>
    <n v="0.25"/>
    <n v="0.5"/>
    <n v="0.25"/>
    <n v="0"/>
    <n v="0"/>
    <n v="9.8999999999999986"/>
    <n v="0"/>
    <n v="13.329166666666666"/>
    <s v="25.03.2023"/>
    <n v="1"/>
    <s v="#notSYRious"/>
    <m/>
    <n v="1"/>
  </r>
  <r>
    <x v="34"/>
    <s v="M"/>
    <n v="11"/>
    <n v="14.08"/>
    <d v="1899-12-30T01:56:11"/>
    <d v="1899-12-30T02:24:36"/>
    <d v="1899-12-30T02:10:23"/>
    <n v="722"/>
    <d v="1899-12-30T00:09:16"/>
    <n v="3.3523809523809525"/>
    <n v="0"/>
    <n v="3"/>
    <x v="1"/>
    <n v="0.25"/>
    <n v="0.5"/>
    <n v="0.25"/>
    <n v="0.48133333333333334"/>
    <n v="0"/>
    <n v="0"/>
    <n v="0"/>
    <n v="2.0694285714285714"/>
    <s v="25.03.2023"/>
    <n v="1"/>
    <e v="#N/A"/>
    <m/>
    <n v="0"/>
  </r>
  <r>
    <x v="16"/>
    <s v="F"/>
    <n v="11"/>
    <n v="10"/>
    <d v="1899-12-30T00:55:49"/>
    <d v="1899-12-30T00:59:09"/>
    <d v="1899-12-30T00:57:29"/>
    <n v="63"/>
    <d v="1899-12-30T00:05:45"/>
    <n v="2.5"/>
    <n v="2.5"/>
    <n v="2"/>
    <x v="1"/>
    <n v="0.25"/>
    <n v="0.5"/>
    <n v="0.25"/>
    <n v="4.2000000000000003E-2"/>
    <n v="0"/>
    <n v="0"/>
    <n v="0"/>
    <n v="2.4169999999999998"/>
    <s v="25.03.2023"/>
    <n v="1"/>
    <s v="MedgidiaRunning"/>
    <m/>
    <n v="1"/>
  </r>
  <r>
    <x v="14"/>
    <s v="F"/>
    <n v="11"/>
    <n v="5.4"/>
    <d v="1899-12-30T00:23:13"/>
    <d v="1899-12-30T00:23:18"/>
    <d v="1899-12-30T00:23:15"/>
    <m/>
    <d v="1899-12-30T00:04:18"/>
    <n v="1.35"/>
    <n v="5"/>
    <n v="3.25"/>
    <x v="1"/>
    <n v="0.25"/>
    <n v="0.5"/>
    <n v="0.25"/>
    <n v="0"/>
    <n v="0"/>
    <n v="0.89999999999999991"/>
    <n v="0"/>
    <n v="4.55"/>
    <s v="26.03.2023"/>
    <n v="1"/>
    <s v="MedgidiaRunning"/>
    <m/>
    <n v="1"/>
  </r>
  <r>
    <x v="7"/>
    <s v="M"/>
    <n v="11"/>
    <n v="21.1"/>
    <d v="1899-12-30T01:30:42"/>
    <d v="1899-12-30T01:30:46"/>
    <d v="1899-12-30T01:30:44"/>
    <m/>
    <d v="1899-12-30T00:04:18"/>
    <n v="5"/>
    <n v="4"/>
    <n v="3"/>
    <x v="1"/>
    <n v="0.25"/>
    <n v="0.5"/>
    <n v="0.25"/>
    <n v="0"/>
    <n v="0"/>
    <n v="0"/>
    <n v="0"/>
    <n v="4"/>
    <s v="26.03.2023"/>
    <n v="1"/>
    <s v="MedgidiaRunning"/>
    <m/>
    <n v="1"/>
  </r>
  <r>
    <x v="58"/>
    <s v="M"/>
    <n v="11"/>
    <n v="21.12"/>
    <d v="1899-12-30T01:28:52"/>
    <d v="1899-12-30T01:30:27"/>
    <d v="1899-12-30T01:29:40"/>
    <n v="152"/>
    <d v="1899-12-30T00:04:15"/>
    <n v="5"/>
    <n v="4.5"/>
    <n v="3.75"/>
    <x v="2"/>
    <n v="0.25"/>
    <n v="0.25"/>
    <n v="0.5"/>
    <n v="0.10133333333333333"/>
    <n v="0"/>
    <n v="0"/>
    <n v="0"/>
    <n v="4.3513333333333337"/>
    <s v="26.03.2023"/>
    <n v="1"/>
    <s v="Almost Kenyan Runners"/>
    <m/>
    <n v="1"/>
  </r>
  <r>
    <x v="13"/>
    <s v="M"/>
    <n v="11"/>
    <n v="9"/>
    <d v="1899-12-30T01:06:37"/>
    <d v="1899-12-30T01:06:44"/>
    <d v="1899-12-30T01:06:41"/>
    <n v="70"/>
    <d v="1899-12-30T00:07:24"/>
    <n v="2.1428571428571428"/>
    <n v="0.25"/>
    <n v="2.5"/>
    <x v="1"/>
    <n v="0.25"/>
    <n v="0.5"/>
    <n v="0.25"/>
    <n v="4.6666666666666669E-2"/>
    <n v="0"/>
    <n v="0"/>
    <n v="0"/>
    <n v="1.3323809523809522"/>
    <s v="26.03.2023"/>
    <n v="1"/>
    <s v="MedgidiaRunning"/>
    <m/>
    <n v="1"/>
  </r>
  <r>
    <x v="2"/>
    <s v="F"/>
    <n v="11"/>
    <n v="10.26"/>
    <d v="1899-12-30T00:55:44"/>
    <d v="1899-12-30T00:55:59"/>
    <d v="1899-12-30T00:55:52"/>
    <m/>
    <d v="1899-12-30T00:05:27"/>
    <n v="2.5649999999999999"/>
    <n v="3"/>
    <n v="3"/>
    <x v="1"/>
    <n v="0.25"/>
    <n v="0.5"/>
    <n v="0.25"/>
    <n v="0"/>
    <n v="0"/>
    <n v="0"/>
    <n v="0"/>
    <n v="2.8912499999999999"/>
    <s v="26.03.2023"/>
    <n v="1"/>
    <s v="MedgidiaRunning"/>
    <m/>
    <n v="1"/>
  </r>
  <r>
    <x v="35"/>
    <s v="F"/>
    <n v="11"/>
    <n v="5.28"/>
    <d v="1899-12-30T00:28:53"/>
    <d v="1899-12-30T00:28:58"/>
    <d v="1899-12-30T00:28:55"/>
    <m/>
    <d v="1899-12-30T00:05:29"/>
    <n v="1.32"/>
    <n v="3"/>
    <n v="3.25"/>
    <x v="1"/>
    <n v="0.25"/>
    <n v="0.5"/>
    <n v="0.25"/>
    <n v="0"/>
    <n v="0"/>
    <n v="0"/>
    <n v="0"/>
    <n v="2.6425000000000001"/>
    <s v="26.03.2023"/>
    <n v="1"/>
    <s v="#notSYRious"/>
    <m/>
    <n v="1"/>
  </r>
  <r>
    <x v="28"/>
    <s v="M"/>
    <n v="11"/>
    <n v="10.25"/>
    <d v="1899-12-30T00:41:39"/>
    <d v="1899-12-30T00:41:39"/>
    <d v="1899-12-30T00:41:39"/>
    <m/>
    <d v="1899-12-30T00:04:04"/>
    <n v="2.4404761904761902"/>
    <n v="4.5"/>
    <n v="2.75"/>
    <x v="1"/>
    <n v="0.25"/>
    <n v="0.5"/>
    <n v="0.25"/>
    <n v="0"/>
    <n v="0"/>
    <n v="0"/>
    <n v="0"/>
    <n v="3.5476190476190474"/>
    <s v="26.03.2023"/>
    <n v="1"/>
    <s v="UltraHaita lu' Borcan"/>
    <m/>
    <n v="1"/>
  </r>
  <r>
    <x v="19"/>
    <s v="M"/>
    <n v="11"/>
    <n v="21.39"/>
    <d v="1899-12-30T01:30:56"/>
    <d v="1899-12-30T01:31:00"/>
    <d v="1899-12-30T01:30:58"/>
    <n v="50"/>
    <d v="1899-12-30T00:04:15"/>
    <n v="5"/>
    <n v="4.5"/>
    <n v="2.5"/>
    <x v="1"/>
    <n v="0.25"/>
    <n v="0.5"/>
    <n v="0.25"/>
    <n v="3.3333333333333333E-2"/>
    <n v="0"/>
    <n v="0"/>
    <n v="0"/>
    <n v="4.1583333333333332"/>
    <s v="26.03.2023"/>
    <n v="1"/>
    <e v="#N/A"/>
    <m/>
    <n v="1"/>
  </r>
  <r>
    <x v="36"/>
    <s v="M"/>
    <n v="11"/>
    <n v="10.23"/>
    <d v="1899-12-30T00:47:26"/>
    <d v="1899-12-30T00:47:32"/>
    <d v="1899-12-30T00:47:29"/>
    <m/>
    <d v="1899-12-30T00:04:38"/>
    <n v="2.4357142857142855"/>
    <n v="3.5"/>
    <n v="3.75"/>
    <x v="2"/>
    <n v="0.25"/>
    <n v="0.25"/>
    <n v="0.5"/>
    <n v="0"/>
    <n v="0"/>
    <n v="0"/>
    <n v="0"/>
    <n v="3.3589285714285713"/>
    <s v="26.03.2023"/>
    <n v="1"/>
    <s v="MedgidiaRunning"/>
    <m/>
    <n v="1"/>
  </r>
  <r>
    <x v="20"/>
    <s v="F"/>
    <n v="11"/>
    <n v="12.04"/>
    <d v="1899-12-30T01:05:09"/>
    <d v="1899-12-30T01:05:38"/>
    <d v="1899-12-30T01:05:24"/>
    <m/>
    <d v="1899-12-30T00:05:26"/>
    <n v="3.01"/>
    <n v="3"/>
    <n v="2.75"/>
    <x v="0"/>
    <n v="0.5"/>
    <n v="0.25"/>
    <n v="0.25"/>
    <n v="0"/>
    <n v="0"/>
    <n v="0"/>
    <n v="0"/>
    <n v="2.9424999999999999"/>
    <s v="26.03.2023"/>
    <n v="1"/>
    <s v="MedgidiaRunning"/>
    <m/>
    <n v="1"/>
  </r>
  <r>
    <x v="77"/>
    <s v="F"/>
    <n v="11"/>
    <n v="21.35"/>
    <d v="1899-12-30T01:41:58"/>
    <d v="1899-12-30T01:42:09"/>
    <d v="1899-12-30T01:42:03"/>
    <n v="51"/>
    <d v="1899-12-30T00:04:47"/>
    <n v="5"/>
    <n v="4"/>
    <n v="3.75"/>
    <x v="1"/>
    <n v="0.25"/>
    <n v="0.5"/>
    <n v="0.25"/>
    <n v="3.4000000000000002E-2"/>
    <n v="0"/>
    <n v="0"/>
    <n v="0"/>
    <n v="4.2214999999999998"/>
    <s v="26.03.2023"/>
    <n v="1"/>
    <s v="The GOATs"/>
    <m/>
    <n v="1"/>
  </r>
  <r>
    <x v="22"/>
    <s v="F"/>
    <n v="11"/>
    <n v="21.6"/>
    <d v="1899-12-30T02:08:53"/>
    <d v="1899-12-30T02:10:40"/>
    <d v="1899-12-30T02:09:46"/>
    <m/>
    <d v="1899-12-30T00:06:00"/>
    <n v="5"/>
    <n v="2"/>
    <n v="3.25"/>
    <x v="0"/>
    <n v="0.5"/>
    <n v="0.25"/>
    <n v="0.25"/>
    <n v="0"/>
    <n v="0"/>
    <n v="0"/>
    <n v="0"/>
    <n v="3.8125"/>
    <s v="26.03.2023"/>
    <n v="1"/>
    <s v="MedgidiaRunning"/>
    <m/>
    <n v="1"/>
  </r>
  <r>
    <x v="53"/>
    <s v="M"/>
    <n v="11"/>
    <n v="4.3"/>
    <d v="1899-12-30T00:18:21"/>
    <d v="1899-12-30T00:18:21"/>
    <d v="1899-12-30T00:18:21"/>
    <m/>
    <d v="1899-12-30T00:04:16"/>
    <n v="1.0238095238095237"/>
    <n v="4"/>
    <n v="3"/>
    <x v="1"/>
    <n v="0.25"/>
    <n v="0.5"/>
    <n v="0.25"/>
    <n v="0"/>
    <n v="0"/>
    <n v="0"/>
    <n v="0"/>
    <n v="3.0059523809523809"/>
    <s v="26.03.2023"/>
    <n v="1"/>
    <s v="#notSYRious"/>
    <m/>
    <n v="1"/>
  </r>
  <r>
    <x v="88"/>
    <s v="M"/>
    <n v="11"/>
    <n v="10.49"/>
    <d v="1899-12-30T00:50:47"/>
    <d v="1899-12-30T00:53:44"/>
    <d v="1899-12-30T00:52:16"/>
    <m/>
    <d v="1899-12-30T00:04:59"/>
    <n v="2.4976190476190476"/>
    <n v="3"/>
    <n v="3"/>
    <x v="2"/>
    <n v="0.25"/>
    <n v="0.25"/>
    <n v="0.5"/>
    <n v="0"/>
    <n v="0"/>
    <n v="0"/>
    <n v="0"/>
    <n v="2.8744047619047617"/>
    <s v="26.03.2023"/>
    <n v="1"/>
    <s v="Almost Kenyan Runners"/>
    <m/>
    <n v="1"/>
  </r>
  <r>
    <x v="59"/>
    <s v="M"/>
    <n v="11"/>
    <n v="15.01"/>
    <d v="1899-12-30T01:55:04"/>
    <d v="1899-12-30T02:00:46"/>
    <d v="1899-12-30T01:57:55"/>
    <n v="714"/>
    <d v="1899-12-30T00:07:51"/>
    <n v="3.5738095238095235"/>
    <n v="0.25"/>
    <n v="3"/>
    <x v="2"/>
    <n v="0.25"/>
    <n v="0.25"/>
    <n v="0.5"/>
    <n v="0.47599999999999998"/>
    <n v="0"/>
    <n v="0"/>
    <n v="0"/>
    <n v="2.9319523809523806"/>
    <s v="26.03.2023"/>
    <n v="1"/>
    <s v="UltraHaita lu' Borcan"/>
    <m/>
    <n v="1"/>
  </r>
  <r>
    <x v="41"/>
    <s v="M"/>
    <n v="11"/>
    <n v="55.64"/>
    <d v="1899-12-30T06:49:00"/>
    <d v="1899-12-30T07:04:22"/>
    <d v="1899-12-30T06:56:41"/>
    <n v="2686"/>
    <d v="1899-12-30T00:07:29"/>
    <n v="5"/>
    <n v="0.25"/>
    <n v="4"/>
    <x v="2"/>
    <n v="0.25"/>
    <n v="0.25"/>
    <n v="0.5"/>
    <n v="1.7906666666666666"/>
    <n v="1.7"/>
    <n v="0"/>
    <n v="0"/>
    <n v="6.8031666666666668"/>
    <s v="26.03.2023"/>
    <n v="1"/>
    <s v="UltraHaita lu' Borcan"/>
    <m/>
    <n v="1"/>
  </r>
  <r>
    <x v="15"/>
    <s v="F"/>
    <n v="11"/>
    <n v="21.1"/>
    <d v="1899-12-30T01:55:58"/>
    <d v="1899-12-30T01:55:58"/>
    <d v="1899-12-30T01:55:58"/>
    <m/>
    <d v="1899-12-30T00:05:30"/>
    <n v="5"/>
    <n v="3"/>
    <n v="3.75"/>
    <x v="1"/>
    <n v="0.25"/>
    <n v="0.5"/>
    <n v="0.25"/>
    <n v="0"/>
    <n v="0"/>
    <n v="0"/>
    <n v="0"/>
    <n v="3.6875"/>
    <s v="26.03.2023"/>
    <n v="1"/>
    <e v="#N/A"/>
    <m/>
    <n v="1"/>
  </r>
  <r>
    <x v="98"/>
    <s v="F"/>
    <n v="11"/>
    <n v="5.39"/>
    <d v="1899-12-30T00:26:12"/>
    <d v="1899-12-30T00:26:20"/>
    <d v="1899-12-30T00:26:16"/>
    <m/>
    <d v="1899-12-30T00:04:52"/>
    <n v="1.3474999999999999"/>
    <n v="4"/>
    <n v="2.5"/>
    <x v="1"/>
    <n v="0.25"/>
    <n v="0.5"/>
    <n v="0.25"/>
    <n v="0"/>
    <n v="0"/>
    <n v="0"/>
    <n v="0"/>
    <n v="2.961875"/>
    <s v="26.03.2023"/>
    <n v="1"/>
    <s v="#notSYRious"/>
    <m/>
    <n v="1"/>
  </r>
  <r>
    <x v="74"/>
    <s v="F"/>
    <n v="11"/>
    <n v="9.1"/>
    <d v="1899-12-30T00:58:52"/>
    <d v="1899-12-30T01:03:03"/>
    <d v="1899-12-30T01:00:58"/>
    <m/>
    <d v="1899-12-30T00:06:42"/>
    <n v="2.2749999999999999"/>
    <n v="1.25"/>
    <n v="3.25"/>
    <x v="0"/>
    <n v="0.5"/>
    <n v="0.25"/>
    <n v="0.25"/>
    <n v="0"/>
    <n v="0"/>
    <n v="0"/>
    <n v="0"/>
    <n v="2.2625000000000002"/>
    <s v="26.03.2023"/>
    <n v="1"/>
    <s v="UltraHaita lu' Borcan"/>
    <m/>
    <n v="1"/>
  </r>
  <r>
    <x v="75"/>
    <s v="F"/>
    <n v="11"/>
    <n v="5.04"/>
    <d v="1899-12-30T00:28:34"/>
    <d v="1899-12-30T00:35:17"/>
    <d v="1899-12-30T00:31:55"/>
    <m/>
    <d v="1899-12-30T00:06:20"/>
    <n v="1.26"/>
    <n v="1.5"/>
    <n v="3.75"/>
    <x v="2"/>
    <n v="0.25"/>
    <n v="0.25"/>
    <n v="0.5"/>
    <n v="0"/>
    <n v="0"/>
    <n v="0"/>
    <n v="0"/>
    <n v="2.5649999999999999"/>
    <s v="26.03.2023"/>
    <n v="1"/>
    <s v="#notSYRious"/>
    <m/>
    <n v="1"/>
  </r>
  <r>
    <x v="56"/>
    <s v="F"/>
    <n v="11"/>
    <n v="2.09"/>
    <d v="1899-12-30T00:14:52"/>
    <d v="1899-12-30T00:15:05"/>
    <d v="1899-12-30T00:14:59"/>
    <m/>
    <d v="1899-12-30T00:07:10"/>
    <n v="0"/>
    <n v="0"/>
    <n v="1.75"/>
    <x v="1"/>
    <n v="0.25"/>
    <n v="0.5"/>
    <n v="0.25"/>
    <n v="0"/>
    <n v="0"/>
    <n v="0"/>
    <n v="0"/>
    <n v="0.4375"/>
    <s v="26.03.2023"/>
    <n v="1"/>
    <e v="#N/A"/>
    <m/>
    <n v="0"/>
  </r>
  <r>
    <x v="18"/>
    <s v="M"/>
    <n v="11"/>
    <n v="84.51"/>
    <d v="1899-12-30T09:27:08"/>
    <d v="1899-12-30T11:12:15"/>
    <d v="1899-12-30T10:19:41"/>
    <n v="552"/>
    <d v="1899-12-30T00:07:20"/>
    <n v="5"/>
    <n v="0.25"/>
    <n v="2.5"/>
    <x v="2"/>
    <n v="0.25"/>
    <n v="0.25"/>
    <n v="0.5"/>
    <n v="0.36799999999999999"/>
    <n v="3.1"/>
    <n v="0"/>
    <n v="0"/>
    <n v="6.0305"/>
    <s v="26.03.2023"/>
    <n v="1"/>
    <s v="UltraHaita lu' Borcan"/>
    <m/>
    <n v="1"/>
  </r>
  <r>
    <x v="69"/>
    <s v="M"/>
    <n v="11"/>
    <n v="33"/>
    <d v="1899-12-30T02:42:25"/>
    <d v="1899-12-30T02:42:25"/>
    <d v="1899-12-30T02:42:25"/>
    <n v="102"/>
    <d v="1899-12-30T00:04:55"/>
    <n v="5"/>
    <n v="3"/>
    <n v="2"/>
    <x v="2"/>
    <n v="0.25"/>
    <n v="0.25"/>
    <n v="0.5"/>
    <n v="6.8000000000000005E-2"/>
    <n v="0.6"/>
    <n v="0"/>
    <n v="0"/>
    <n v="3.6680000000000001"/>
    <s v="26.03.2023"/>
    <n v="1"/>
    <s v="Almost Kenyan Runners"/>
    <m/>
    <n v="1"/>
  </r>
  <r>
    <x v="54"/>
    <s v="F"/>
    <n v="11"/>
    <n v="8.24"/>
    <d v="1899-12-30T00:59:40"/>
    <d v="1899-12-30T01:18:43"/>
    <d v="1899-12-30T01:09:11"/>
    <m/>
    <d v="1899-12-30T00:08:24"/>
    <n v="2.06"/>
    <n v="0.25"/>
    <n v="2.25"/>
    <x v="1"/>
    <n v="0.25"/>
    <n v="0.5"/>
    <n v="0.25"/>
    <n v="0"/>
    <n v="0"/>
    <n v="0"/>
    <n v="0.7"/>
    <n v="1.9025000000000001"/>
    <s v="26.03.2023"/>
    <n v="1"/>
    <s v="UltraHaita lu' Borcan"/>
    <m/>
    <n v="1"/>
  </r>
  <r>
    <x v="64"/>
    <s v="M"/>
    <n v="11"/>
    <n v="21.33"/>
    <d v="1899-12-30T01:39:15"/>
    <d v="1899-12-30T01:39:15"/>
    <d v="1899-12-30T01:39:15"/>
    <n v="51"/>
    <d v="1899-12-30T00:04:39"/>
    <n v="5"/>
    <n v="3.5"/>
    <n v="3.5"/>
    <x v="2"/>
    <n v="0.25"/>
    <n v="0.25"/>
    <n v="0.5"/>
    <n v="3.4000000000000002E-2"/>
    <n v="0"/>
    <n v="0"/>
    <n v="0"/>
    <n v="3.9089999999999998"/>
    <s v="26.03.2023"/>
    <n v="1"/>
    <s v="The GOATs"/>
    <m/>
    <n v="1"/>
  </r>
  <r>
    <x v="82"/>
    <s v="M"/>
    <n v="11"/>
    <n v="28.05"/>
    <d v="1899-12-30T02:04:00"/>
    <d v="1899-12-30T02:12:57"/>
    <d v="1899-12-30T02:08:29"/>
    <n v="191"/>
    <d v="1899-12-30T00:04:35"/>
    <n v="5"/>
    <n v="3.5"/>
    <n v="3.5"/>
    <x v="2"/>
    <n v="0.25"/>
    <n v="0.25"/>
    <n v="0.5"/>
    <n v="0.12733333333333333"/>
    <n v="0.3"/>
    <n v="0"/>
    <n v="0"/>
    <n v="4.3023333333333333"/>
    <s v="26.03.2023"/>
    <n v="1"/>
    <s v="Almost Kenyan Runners"/>
    <m/>
    <n v="1"/>
  </r>
  <r>
    <x v="118"/>
    <s v="M"/>
    <n v="11"/>
    <n v="10.3"/>
    <d v="1899-12-30T00:45:13"/>
    <d v="1899-12-30T00:45:13"/>
    <d v="1899-12-30T00:45:13"/>
    <m/>
    <d v="1899-12-30T00:04:23"/>
    <n v="2.4523809523809526"/>
    <n v="4"/>
    <n v="1.25"/>
    <x v="1"/>
    <n v="0.25"/>
    <n v="0.5"/>
    <n v="0.25"/>
    <n v="0"/>
    <n v="0"/>
    <n v="0"/>
    <n v="0"/>
    <n v="2.9255952380952381"/>
    <s v="26.03.2023"/>
    <n v="1"/>
    <e v="#N/A"/>
    <m/>
    <n v="1"/>
  </r>
  <r>
    <x v="105"/>
    <s v="M"/>
    <n v="11"/>
    <n v="10.34"/>
    <d v="1899-12-30T00:40:45"/>
    <d v="1899-12-30T00:40:45"/>
    <d v="1899-12-30T00:40:45"/>
    <m/>
    <d v="1899-12-30T00:03:56"/>
    <n v="2.4619047619047616"/>
    <n v="5"/>
    <n v="2.25"/>
    <x v="2"/>
    <n v="0.25"/>
    <n v="0.25"/>
    <n v="0.5"/>
    <n v="0"/>
    <n v="0"/>
    <n v="0.15000000000000002"/>
    <n v="0"/>
    <n v="3.1404761904761904"/>
    <s v="26.03.2023"/>
    <n v="1"/>
    <s v="The GOATs"/>
    <m/>
    <n v="1"/>
  </r>
  <r>
    <x v="57"/>
    <s v="M"/>
    <n v="11"/>
    <n v="4.01"/>
    <d v="1899-12-30T00:16:12"/>
    <d v="1899-12-30T00:16:23"/>
    <d v="1899-12-30T00:16:17"/>
    <m/>
    <d v="1899-12-30T00:04:04"/>
    <n v="0.9547619047619047"/>
    <n v="4.5"/>
    <n v="3.25"/>
    <x v="1"/>
    <n v="0.25"/>
    <n v="0.5"/>
    <n v="0.25"/>
    <n v="0"/>
    <n v="0"/>
    <n v="0"/>
    <n v="0"/>
    <n v="3.301190476190476"/>
    <s v="26.03.2023"/>
    <n v="1"/>
    <s v="The GOATs"/>
    <m/>
    <n v="1"/>
  </r>
  <r>
    <x v="25"/>
    <s v="M"/>
    <n v="11"/>
    <n v="10.14"/>
    <d v="1899-12-30T00:54:33"/>
    <d v="1899-12-30T00:54:38"/>
    <d v="1899-12-30T00:54:36"/>
    <m/>
    <d v="1899-12-30T00:05:23"/>
    <n v="2.4142857142857141"/>
    <n v="2"/>
    <n v="1.75"/>
    <x v="1"/>
    <n v="0.25"/>
    <n v="0.5"/>
    <n v="0.25"/>
    <n v="0"/>
    <n v="0"/>
    <n v="0"/>
    <n v="0"/>
    <n v="2.0410714285714286"/>
    <s v="26.03.2023"/>
    <n v="1"/>
    <e v="#N/A"/>
    <m/>
    <n v="1"/>
  </r>
  <r>
    <x v="83"/>
    <s v="M"/>
    <n v="11"/>
    <n v="23.1"/>
    <d v="1899-12-30T02:52:35"/>
    <d v="1899-12-30T02:59:01"/>
    <d v="1899-12-30T02:55:48"/>
    <n v="1025"/>
    <d v="1899-12-30T00:07:37"/>
    <n v="5"/>
    <n v="0.25"/>
    <n v="2"/>
    <x v="0"/>
    <n v="0.5"/>
    <n v="0.25"/>
    <n v="0.25"/>
    <n v="0.68333333333333335"/>
    <n v="0.1"/>
    <n v="0"/>
    <n v="0"/>
    <n v="3.8458333333333337"/>
    <s v="26.03.2023"/>
    <n v="1"/>
    <e v="#N/A"/>
    <m/>
    <n v="1"/>
  </r>
  <r>
    <x v="111"/>
    <s v="F"/>
    <n v="11"/>
    <n v="5.63"/>
    <d v="1899-12-30T00:34:07"/>
    <d v="1899-12-30T00:37:17"/>
    <d v="1899-12-30T00:35:42"/>
    <m/>
    <d v="1899-12-30T00:06:20"/>
    <n v="1.4075"/>
    <n v="1.5"/>
    <n v="2.25"/>
    <x v="1"/>
    <n v="0.25"/>
    <n v="0.5"/>
    <n v="0.25"/>
    <n v="0"/>
    <n v="0"/>
    <n v="0"/>
    <n v="0.4"/>
    <n v="2.0643750000000001"/>
    <s v="26.03.2023"/>
    <n v="1"/>
    <e v="#N/A"/>
    <m/>
    <n v="1"/>
  </r>
  <r>
    <x v="70"/>
    <s v="F"/>
    <n v="11"/>
    <n v="2.71"/>
    <d v="1899-12-30T00:12:47"/>
    <d v="1899-12-30T00:17:46"/>
    <d v="1899-12-30T00:15:16"/>
    <m/>
    <d v="1899-12-30T00:05:38"/>
    <n v="0.67749999999999999"/>
    <n v="2.5"/>
    <n v="2.5"/>
    <x v="1"/>
    <n v="0.25"/>
    <n v="0.5"/>
    <n v="0.25"/>
    <n v="0"/>
    <n v="0"/>
    <n v="0"/>
    <n v="0"/>
    <n v="2.0443750000000001"/>
    <s v="26.03.2023"/>
    <n v="1"/>
    <e v="#N/A"/>
    <m/>
    <n v="1"/>
  </r>
  <r>
    <x v="65"/>
    <s v="F"/>
    <n v="11"/>
    <n v="10.06"/>
    <d v="1899-12-30T01:21:55"/>
    <d v="1899-12-30T01:26:10"/>
    <d v="1899-12-30T01:24:03"/>
    <n v="433"/>
    <d v="1899-12-30T00:08:21"/>
    <n v="2.5150000000000001"/>
    <n v="0.25"/>
    <n v="1"/>
    <x v="1"/>
    <n v="0.25"/>
    <n v="0.5"/>
    <n v="0.25"/>
    <n v="0.28866666666666668"/>
    <n v="0"/>
    <n v="0"/>
    <n v="0"/>
    <n v="1.2924166666666668"/>
    <s v="26.03.2023"/>
    <n v="1"/>
    <e v="#N/A"/>
    <m/>
    <n v="1"/>
  </r>
  <r>
    <x v="76"/>
    <s v="F"/>
    <n v="11"/>
    <n v="5.01"/>
    <d v="1899-12-30T00:25:50"/>
    <d v="1899-12-30T00:27:52"/>
    <d v="1899-12-30T00:26:51"/>
    <m/>
    <d v="1899-12-30T00:05:22"/>
    <n v="1.2524999999999999"/>
    <n v="3"/>
    <n v="2.5"/>
    <x v="1"/>
    <n v="0.25"/>
    <n v="0.5"/>
    <n v="0.25"/>
    <n v="0"/>
    <n v="0"/>
    <n v="0"/>
    <n v="0"/>
    <n v="2.4381249999999999"/>
    <s v="26.03.2023"/>
    <n v="1"/>
    <e v="#N/A"/>
    <m/>
    <n v="1"/>
  </r>
  <r>
    <x v="29"/>
    <s v="F"/>
    <n v="11"/>
    <n v="21.34"/>
    <d v="1899-12-30T01:46:52"/>
    <d v="1899-12-30T01:46:52"/>
    <d v="1899-12-30T01:46:52"/>
    <m/>
    <d v="1899-12-30T00:05:00"/>
    <n v="5"/>
    <n v="4"/>
    <n v="2"/>
    <x v="1"/>
    <n v="0.25"/>
    <n v="0.5"/>
    <n v="0.25"/>
    <n v="0"/>
    <n v="0"/>
    <n v="0"/>
    <n v="0"/>
    <n v="3.75"/>
    <s v="26.03.2023"/>
    <n v="1"/>
    <e v="#N/A"/>
    <m/>
    <n v="1"/>
  </r>
  <r>
    <x v="9"/>
    <s v="M"/>
    <n v="11"/>
    <n v="10.02"/>
    <d v="1899-12-30T00:38:20"/>
    <d v="1899-12-30T00:38:20"/>
    <d v="1899-12-30T00:38:20"/>
    <m/>
    <d v="1899-12-30T00:03:50"/>
    <n v="2.3857142857142857"/>
    <n v="5"/>
    <n v="1.75"/>
    <x v="1"/>
    <n v="0.25"/>
    <n v="0.5"/>
    <n v="0.25"/>
    <n v="0"/>
    <n v="0"/>
    <n v="0.89999999999999991"/>
    <n v="0"/>
    <n v="4.4339285714285719"/>
    <s v="26.03.2023"/>
    <n v="1"/>
    <s v="The GOATs"/>
    <m/>
    <n v="1"/>
  </r>
  <r>
    <x v="11"/>
    <s v="M"/>
    <n v="11"/>
    <n v="5"/>
    <d v="1899-12-30T00:24:46"/>
    <d v="1899-12-30T00:24:46"/>
    <d v="1899-12-30T00:24:46"/>
    <m/>
    <d v="1899-12-30T00:04:57"/>
    <n v="1.1904761904761905"/>
    <n v="3"/>
    <n v="1"/>
    <x v="1"/>
    <n v="0.25"/>
    <n v="0.5"/>
    <n v="0.25"/>
    <n v="0"/>
    <n v="0"/>
    <n v="0"/>
    <n v="0.4"/>
    <n v="2.4476190476190474"/>
    <s v="26.03.2023"/>
    <n v="1"/>
    <e v="#N/A"/>
    <m/>
    <n v="1"/>
  </r>
  <r>
    <x v="47"/>
    <s v="M"/>
    <n v="11"/>
    <n v="10.17"/>
    <d v="1899-12-30T00:45:32"/>
    <d v="1899-12-30T00:45:32"/>
    <d v="1899-12-30T00:45:32"/>
    <m/>
    <d v="1899-12-30T00:04:29"/>
    <n v="2.4214285714285713"/>
    <n v="4"/>
    <n v="2.25"/>
    <x v="1"/>
    <n v="0.25"/>
    <n v="0.5"/>
    <n v="0.25"/>
    <n v="0"/>
    <n v="0"/>
    <n v="0"/>
    <n v="0"/>
    <n v="3.1678571428571427"/>
    <s v="26.03.2023"/>
    <n v="1"/>
    <e v="#N/A"/>
    <m/>
    <n v="1"/>
  </r>
  <r>
    <x v="24"/>
    <s v="M"/>
    <n v="11"/>
    <n v="10.71"/>
    <d v="1899-12-30T00:41:17"/>
    <d v="1899-12-30T00:42:18"/>
    <d v="1899-12-30T00:41:47"/>
    <m/>
    <d v="1899-12-30T00:03:54"/>
    <n v="2.5500000000000003"/>
    <n v="5"/>
    <n v="2.25"/>
    <x v="1"/>
    <n v="0.25"/>
    <n v="0.5"/>
    <n v="0.25"/>
    <n v="0"/>
    <n v="0"/>
    <n v="0.45000000000000007"/>
    <n v="0"/>
    <n v="4.1500000000000004"/>
    <s v="26.03.2023"/>
    <n v="1"/>
    <e v="#N/A"/>
    <m/>
    <n v="1"/>
  </r>
  <r>
    <x v="67"/>
    <s v="M"/>
    <n v="11"/>
    <n v="3.53"/>
    <d v="1899-12-30T00:13:56"/>
    <d v="1899-12-30T00:14:00"/>
    <d v="1899-12-30T00:13:58"/>
    <m/>
    <d v="1899-12-30T00:03:57"/>
    <n v="0.84047619047619038"/>
    <n v="5"/>
    <n v="2"/>
    <x v="1"/>
    <n v="0.25"/>
    <n v="0.5"/>
    <n v="0.25"/>
    <n v="0"/>
    <n v="0"/>
    <n v="0.15000000000000002"/>
    <n v="0"/>
    <n v="3.3601190476190474"/>
    <s v="26.03.2023"/>
    <n v="1"/>
    <s v="Almost Kenyan Runners"/>
    <m/>
    <n v="1"/>
  </r>
  <r>
    <x v="37"/>
    <s v="M"/>
    <n v="11"/>
    <n v="3.01"/>
    <d v="1899-12-30T00:12:52"/>
    <d v="1899-12-30T00:12:52"/>
    <d v="1899-12-30T00:12:52"/>
    <m/>
    <d v="1899-12-30T00:04:16"/>
    <n v="0.71666666666666656"/>
    <n v="4"/>
    <n v="2"/>
    <x v="1"/>
    <n v="0.25"/>
    <n v="0.5"/>
    <n v="0.25"/>
    <n v="0"/>
    <n v="0"/>
    <n v="0"/>
    <n v="0"/>
    <n v="2.6791666666666667"/>
    <s v="26.03.2023"/>
    <n v="1"/>
    <e v="#N/A"/>
    <m/>
    <n v="1"/>
  </r>
  <r>
    <x v="3"/>
    <s v="M"/>
    <n v="11"/>
    <n v="8.01"/>
    <d v="1899-12-30T00:38:26"/>
    <d v="1899-12-30T00:40:44"/>
    <d v="1899-12-30T00:39:35"/>
    <m/>
    <d v="1899-12-30T00:04:57"/>
    <n v="1.907142857142857"/>
    <n v="3"/>
    <n v="2.75"/>
    <x v="1"/>
    <n v="0.25"/>
    <n v="0.5"/>
    <n v="0.25"/>
    <n v="0"/>
    <n v="0"/>
    <n v="0"/>
    <n v="0.4"/>
    <n v="3.0642857142857141"/>
    <s v="26.03.2023"/>
    <n v="1"/>
    <s v="MedgidiaRunning"/>
    <m/>
    <n v="1"/>
  </r>
  <r>
    <x v="0"/>
    <s v="M"/>
    <n v="11"/>
    <n v="21.1"/>
    <d v="1899-12-30T01:50:23"/>
    <d v="1899-12-30T01:50:23"/>
    <d v="1899-12-30T01:50:23"/>
    <m/>
    <d v="1899-12-30T00:05:14"/>
    <n v="5"/>
    <n v="2.5"/>
    <n v="2.25"/>
    <x v="1"/>
    <n v="0.25"/>
    <n v="0.5"/>
    <n v="0.25"/>
    <n v="0"/>
    <n v="0"/>
    <n v="0"/>
    <n v="0"/>
    <n v="3.0625"/>
    <s v="26.03.2023"/>
    <n v="1"/>
    <s v="UltraHaita lu' Borcan"/>
    <m/>
    <n v="1"/>
  </r>
  <r>
    <x v="40"/>
    <s v="M"/>
    <n v="11"/>
    <n v="0"/>
    <d v="1899-12-30T00:00:00"/>
    <d v="1899-12-30T00:00:00"/>
    <d v="1899-12-30T00:00:00"/>
    <m/>
    <d v="1899-12-30T00:00:00"/>
    <n v="0"/>
    <n v="0"/>
    <m/>
    <x v="3"/>
    <n v="0.25"/>
    <n v="0.25"/>
    <n v="0.25"/>
    <n v="0"/>
    <n v="0"/>
    <n v="0"/>
    <n v="0"/>
    <n v="1.5"/>
    <s v="26.03.2023"/>
    <n v="1"/>
    <s v="Almost Kenyan Runners"/>
    <m/>
    <n v="0"/>
  </r>
  <r>
    <x v="114"/>
    <s v="M"/>
    <n v="11"/>
    <n v="21.06"/>
    <d v="1899-12-30T01:41:16"/>
    <d v="1899-12-30T01:41:27"/>
    <d v="1899-12-30T01:41:22"/>
    <m/>
    <d v="1899-12-30T00:04:49"/>
    <n v="5"/>
    <n v="3"/>
    <n v="1.25"/>
    <x v="1"/>
    <n v="0.25"/>
    <n v="0.5"/>
    <n v="0.25"/>
    <n v="0"/>
    <n v="0"/>
    <n v="0"/>
    <n v="0"/>
    <n v="3.0625"/>
    <s v="26.03.2023"/>
    <n v="1"/>
    <e v="#N/A"/>
    <m/>
    <n v="1"/>
  </r>
  <r>
    <x v="32"/>
    <s v="M"/>
    <n v="11"/>
    <n v="21.48"/>
    <d v="1899-12-30T01:36:50"/>
    <d v="1899-12-30T01:36:38"/>
    <d v="1899-12-30T01:36:44"/>
    <m/>
    <d v="1899-12-30T00:04:30"/>
    <n v="5"/>
    <n v="4"/>
    <n v="2.75"/>
    <x v="1"/>
    <n v="0.25"/>
    <n v="0.5"/>
    <n v="0.25"/>
    <n v="0"/>
    <n v="0"/>
    <n v="0"/>
    <n v="0"/>
    <n v="3.9375"/>
    <s v="26.03.2023"/>
    <n v="1"/>
    <e v="#N/A"/>
    <m/>
    <n v="1"/>
  </r>
  <r>
    <x v="45"/>
    <s v="F"/>
    <n v="11"/>
    <n v="10.02"/>
    <d v="1899-12-30T01:14:59"/>
    <d v="1899-12-30T01:20:18"/>
    <d v="1899-12-30T01:17:39"/>
    <n v="427"/>
    <d v="1899-12-30T00:07:45"/>
    <n v="2.5049999999999999"/>
    <n v="0.25"/>
    <n v="1.75"/>
    <x v="1"/>
    <n v="0.25"/>
    <n v="0.5"/>
    <n v="0.25"/>
    <n v="0.28466666666666668"/>
    <n v="0"/>
    <n v="0"/>
    <n v="0"/>
    <n v="1.4734166666666666"/>
    <s v="26.03.2023"/>
    <n v="1"/>
    <e v="#N/A"/>
    <m/>
    <n v="1"/>
  </r>
  <r>
    <x v="113"/>
    <s v="M"/>
    <n v="11"/>
    <n v="16.010000000000002"/>
    <d v="1899-12-30T01:15:19"/>
    <d v="1899-12-30T01:15:19"/>
    <d v="1899-12-30T01:15:19"/>
    <n v="186"/>
    <d v="1899-12-30T00:04:42"/>
    <n v="3.8119047619047621"/>
    <n v="3.5"/>
    <n v="1.5"/>
    <x v="1"/>
    <n v="0.25"/>
    <n v="0.5"/>
    <n v="0.25"/>
    <n v="0.124"/>
    <n v="0"/>
    <n v="0"/>
    <n v="0"/>
    <n v="3.2019761904761905"/>
    <s v="26.03.2023"/>
    <n v="1"/>
    <e v="#N/A"/>
    <m/>
    <n v="1"/>
  </r>
  <r>
    <x v="119"/>
    <s v="F"/>
    <n v="11"/>
    <n v="5"/>
    <d v="1899-12-30T00:33:18"/>
    <d v="1899-12-30T00:33:18"/>
    <d v="1899-12-30T00:33:18"/>
    <m/>
    <d v="1899-12-30T00:06:40"/>
    <n v="1.25"/>
    <n v="1.25"/>
    <n v="1.5"/>
    <x v="1"/>
    <n v="0.25"/>
    <n v="0.5"/>
    <n v="0.25"/>
    <n v="0"/>
    <n v="0"/>
    <n v="0"/>
    <n v="0"/>
    <n v="1.3125"/>
    <s v="26.03.2023"/>
    <n v="1"/>
    <e v="#N/A"/>
    <m/>
    <n v="1"/>
  </r>
  <r>
    <x v="72"/>
    <s v="F"/>
    <n v="11"/>
    <n v="13.09"/>
    <d v="1899-12-30T01:21:56"/>
    <d v="1899-12-30T01:21:56"/>
    <d v="1899-12-30T01:21:56"/>
    <m/>
    <d v="1899-12-30T00:06:16"/>
    <n v="3.2725"/>
    <n v="1.75"/>
    <n v="1.5"/>
    <x v="1"/>
    <n v="0.25"/>
    <n v="0.5"/>
    <n v="0.25"/>
    <n v="0"/>
    <n v="0"/>
    <n v="0"/>
    <n v="0"/>
    <n v="2.0681250000000002"/>
    <s v="26.03.2023"/>
    <n v="1"/>
    <e v="#N/A"/>
    <m/>
    <n v="1"/>
  </r>
  <r>
    <x v="80"/>
    <s v="M"/>
    <n v="11"/>
    <n v="13"/>
    <d v="1899-12-30T01:00:11"/>
    <d v="1899-12-30T01:01:00"/>
    <d v="1899-12-30T01:00:36"/>
    <n v="86"/>
    <d v="1899-12-30T00:04:40"/>
    <n v="3.0952380952380949"/>
    <n v="3.5"/>
    <n v="4"/>
    <x v="2"/>
    <n v="0.25"/>
    <n v="0.25"/>
    <n v="0.5"/>
    <n v="5.7333333333333333E-2"/>
    <n v="0"/>
    <n v="0"/>
    <n v="0"/>
    <n v="3.706142857142857"/>
    <s v="26.03.2023"/>
    <n v="1"/>
    <s v="Almost Kenyan Runners"/>
    <m/>
    <n v="1"/>
  </r>
  <r>
    <x v="71"/>
    <s v="M"/>
    <n v="11"/>
    <n v="5.05"/>
    <d v="1899-12-30T00:29:07"/>
    <d v="1899-12-30T00:29:19"/>
    <d v="1899-12-30T00:29:13"/>
    <m/>
    <d v="1899-12-30T00:05:47"/>
    <n v="1.2023809523809523"/>
    <n v="1.5"/>
    <n v="1.5"/>
    <x v="1"/>
    <n v="0.25"/>
    <n v="0.5"/>
    <n v="0.25"/>
    <n v="0"/>
    <n v="0"/>
    <n v="0"/>
    <n v="0"/>
    <n v="1.4255952380952381"/>
    <s v="26.03.2023"/>
    <n v="1"/>
    <s v="MedgidiaRunning"/>
    <m/>
    <n v="1"/>
  </r>
  <r>
    <x v="43"/>
    <s v="M"/>
    <n v="11"/>
    <n v="10.17"/>
    <d v="1899-12-30T00:41:06"/>
    <d v="1899-12-30T00:41:06"/>
    <d v="1899-12-30T00:41:06"/>
    <m/>
    <d v="1899-12-30T00:04:02"/>
    <n v="2.4214285714285713"/>
    <n v="4.5"/>
    <n v="3"/>
    <x v="1"/>
    <n v="0.25"/>
    <n v="0.5"/>
    <n v="0.25"/>
    <n v="0"/>
    <n v="0"/>
    <n v="0"/>
    <n v="0"/>
    <n v="3.6053571428571427"/>
    <s v="26.03.2023"/>
    <n v="1"/>
    <s v="Almost Kenyan Runners"/>
    <m/>
    <n v="1"/>
  </r>
  <r>
    <x v="23"/>
    <s v="M"/>
    <n v="11"/>
    <n v="10.25"/>
    <d v="1899-12-30T00:48:34"/>
    <d v="1899-12-30T00:48:45"/>
    <d v="1899-12-30T00:48:40"/>
    <m/>
    <d v="1899-12-30T00:04:45"/>
    <n v="2.4404761904761902"/>
    <n v="3.5"/>
    <n v="3.5"/>
    <x v="1"/>
    <n v="0.25"/>
    <n v="0.5"/>
    <n v="0.25"/>
    <n v="0"/>
    <n v="0"/>
    <n v="0"/>
    <n v="0"/>
    <n v="3.2351190476190474"/>
    <s v="26.03.2023"/>
    <n v="1"/>
    <s v="Almost Kenyan Runners"/>
    <m/>
    <n v="1"/>
  </r>
  <r>
    <x v="51"/>
    <s v="F"/>
    <n v="11"/>
    <n v="10"/>
    <d v="1899-12-30T00:56:59"/>
    <d v="1899-12-30T01:02:23"/>
    <d v="1899-12-30T00:59:41"/>
    <m/>
    <d v="1899-12-30T00:05:58"/>
    <n v="2.5"/>
    <n v="2"/>
    <n v="1.25"/>
    <x v="1"/>
    <n v="0.25"/>
    <n v="0.5"/>
    <n v="0.25"/>
    <n v="0"/>
    <n v="0"/>
    <n v="0"/>
    <n v="0"/>
    <n v="1.9375"/>
    <s v="26.03.2023"/>
    <n v="1"/>
    <s v="#notSYRious"/>
    <m/>
    <n v="1"/>
  </r>
  <r>
    <x v="46"/>
    <s v="M"/>
    <n v="11"/>
    <n v="21.41"/>
    <d v="1899-12-30T01:40:30"/>
    <d v="1899-12-30T01:40:30"/>
    <d v="1899-12-30T01:40:30"/>
    <m/>
    <d v="1899-12-30T00:04:42"/>
    <n v="5"/>
    <n v="3.5"/>
    <n v="3"/>
    <x v="1"/>
    <n v="0.25"/>
    <n v="0.5"/>
    <n v="0.25"/>
    <n v="0"/>
    <n v="0"/>
    <n v="0"/>
    <n v="0"/>
    <n v="3.75"/>
    <s v="26.03.2023"/>
    <n v="1"/>
    <s v="#notSYRious"/>
    <m/>
    <n v="1"/>
  </r>
  <r>
    <x v="30"/>
    <s v="M"/>
    <n v="11"/>
    <n v="61.6"/>
    <d v="1899-12-30T07:34:53"/>
    <d v="1899-12-30T07:54:09"/>
    <d v="1899-12-30T07:44:31"/>
    <n v="2876"/>
    <d v="1899-12-30T00:07:32"/>
    <n v="5"/>
    <n v="0.25"/>
    <n v="4.5"/>
    <x v="0"/>
    <n v="0.5"/>
    <n v="0.25"/>
    <n v="0.25"/>
    <n v="1.9173333333333333"/>
    <n v="2"/>
    <n v="0"/>
    <n v="0"/>
    <n v="7.6048333333333336"/>
    <s v="26.03.2023"/>
    <n v="1"/>
    <s v="The GOATs"/>
    <m/>
    <n v="1"/>
  </r>
  <r>
    <x v="92"/>
    <s v="F"/>
    <n v="11"/>
    <n v="14.04"/>
    <d v="1899-12-30T01:22:16"/>
    <d v="1899-12-30T01:46:43"/>
    <d v="1899-12-30T01:34:30"/>
    <m/>
    <d v="1899-12-30T00:06:44"/>
    <n v="3.51"/>
    <n v="1.25"/>
    <n v="3"/>
    <x v="2"/>
    <n v="0.25"/>
    <n v="0.25"/>
    <n v="0.5"/>
    <n v="0"/>
    <n v="0"/>
    <n v="0"/>
    <n v="0"/>
    <n v="2.69"/>
    <s v="26.03.2023"/>
    <n v="1"/>
    <s v="The GOATs"/>
    <m/>
    <n v="1"/>
  </r>
  <r>
    <x v="96"/>
    <s v="F"/>
    <n v="11"/>
    <n v="10.220000000000001"/>
    <d v="1899-12-30T00:57:54"/>
    <d v="1899-12-30T00:58:13"/>
    <d v="1899-12-30T00:58:04"/>
    <m/>
    <d v="1899-12-30T00:05:41"/>
    <n v="2.5550000000000002"/>
    <n v="2.5"/>
    <n v="3.5"/>
    <x v="1"/>
    <n v="0.25"/>
    <n v="0.5"/>
    <n v="0.25"/>
    <n v="0"/>
    <n v="0"/>
    <n v="0"/>
    <n v="0"/>
    <n v="2.7637499999999999"/>
    <s v="26.03.2023"/>
    <n v="1"/>
    <e v="#N/A"/>
    <m/>
    <n v="1"/>
  </r>
  <r>
    <x v="50"/>
    <s v="M"/>
    <n v="11"/>
    <n v="42.88"/>
    <d v="1899-12-30T05:30:00"/>
    <d v="1899-12-30T05:31:11"/>
    <d v="1899-12-30T05:30:35"/>
    <n v="252"/>
    <d v="1899-12-30T00:07:43"/>
    <n v="5"/>
    <n v="0.25"/>
    <n v="4.75"/>
    <x v="2"/>
    <n v="0.25"/>
    <n v="0.25"/>
    <n v="0.5"/>
    <n v="0.16800000000000001"/>
    <n v="1"/>
    <n v="0"/>
    <n v="0"/>
    <n v="4.8555000000000001"/>
    <s v="26.03.2023"/>
    <n v="1"/>
    <s v="The GOATs"/>
    <m/>
    <n v="1"/>
  </r>
  <r>
    <x v="103"/>
    <s v="M"/>
    <n v="11"/>
    <n v="0"/>
    <d v="1899-12-30T00:00:00"/>
    <d v="1899-12-30T00:00:00"/>
    <d v="1899-12-30T00:00:00"/>
    <m/>
    <d v="1899-12-30T00:00:00"/>
    <n v="0"/>
    <n v="0"/>
    <m/>
    <x v="3"/>
    <n v="0.25"/>
    <n v="0.25"/>
    <n v="0.25"/>
    <n v="0"/>
    <n v="0"/>
    <n v="0"/>
    <n v="0"/>
    <n v="1.5"/>
    <s v="26.03.2023"/>
    <n v="1"/>
    <e v="#N/A"/>
    <m/>
    <n v="0"/>
  </r>
  <r>
    <x v="85"/>
    <s v="M"/>
    <n v="11"/>
    <n v="21.4"/>
    <d v="1899-12-30T01:29:01"/>
    <d v="1899-12-30T01:29:01"/>
    <d v="1899-12-30T01:29:01"/>
    <m/>
    <d v="1899-12-30T00:04:10"/>
    <n v="5"/>
    <n v="4.5"/>
    <n v="4.25"/>
    <x v="1"/>
    <n v="0.25"/>
    <n v="0.5"/>
    <n v="0.25"/>
    <n v="0"/>
    <n v="0"/>
    <n v="0"/>
    <n v="0"/>
    <n v="4.5625"/>
    <s v="26.03.2023"/>
    <n v="1"/>
    <s v="The GOATs"/>
    <m/>
    <n v="1"/>
  </r>
  <r>
    <x v="39"/>
    <s v="M"/>
    <n v="11"/>
    <n v="10.17"/>
    <d v="1899-12-30T00:48:51"/>
    <d v="1899-12-30T00:48:51"/>
    <d v="1899-12-30T00:48:51"/>
    <m/>
    <d v="1899-12-30T00:04:48"/>
    <n v="2.4214285714285713"/>
    <n v="3"/>
    <n v="3.75"/>
    <x v="1"/>
    <n v="0.25"/>
    <n v="0.5"/>
    <n v="0.25"/>
    <n v="0"/>
    <n v="0"/>
    <n v="0"/>
    <n v="0"/>
    <n v="3.0428571428571427"/>
    <s v="26.03.2023"/>
    <n v="1"/>
    <s v="#notSYRious"/>
    <m/>
    <n v="1"/>
  </r>
  <r>
    <x v="81"/>
    <s v="M"/>
    <n v="11"/>
    <n v="10.26"/>
    <d v="1899-12-30T00:34:04"/>
    <d v="1899-12-30T00:34:04"/>
    <d v="1899-12-30T00:34:04"/>
    <m/>
    <d v="1899-12-30T00:03:19"/>
    <n v="2.4428571428571426"/>
    <n v="5"/>
    <n v="2.5"/>
    <x v="1"/>
    <n v="0.25"/>
    <n v="0.5"/>
    <n v="0.25"/>
    <n v="0"/>
    <n v="0"/>
    <n v="6.75"/>
    <n v="0"/>
    <n v="10.485714285714286"/>
    <s v="26.03.2023"/>
    <n v="1"/>
    <e v="#N/A"/>
    <m/>
    <n v="1"/>
  </r>
  <r>
    <x v="106"/>
    <s v="F"/>
    <n v="11"/>
    <n v="10.48"/>
    <d v="1899-12-30T01:09:52"/>
    <d v="1899-12-30T01:15:19"/>
    <d v="1899-12-30T01:12:36"/>
    <m/>
    <d v="1899-12-30T00:06:56"/>
    <n v="2.62"/>
    <n v="1"/>
    <n v="1.75"/>
    <x v="1"/>
    <n v="0.25"/>
    <n v="0.5"/>
    <n v="0.25"/>
    <n v="0"/>
    <n v="0"/>
    <n v="0"/>
    <n v="0"/>
    <n v="1.5925"/>
    <s v="26.03.2023"/>
    <n v="1"/>
    <s v="MedgidiaRunning"/>
    <m/>
    <n v="1"/>
  </r>
  <r>
    <x v="95"/>
    <s v="M"/>
    <n v="11"/>
    <n v="10.050000000000001"/>
    <d v="1899-12-30T01:07:36"/>
    <d v="1899-12-30T01:07:36"/>
    <d v="1899-12-30T01:07:36"/>
    <m/>
    <d v="1899-12-30T00:06:44"/>
    <n v="2.3928571428571428"/>
    <n v="0.75"/>
    <n v="2"/>
    <x v="1"/>
    <n v="0.25"/>
    <n v="0.5"/>
    <n v="0.25"/>
    <n v="0"/>
    <n v="0"/>
    <n v="0"/>
    <n v="0"/>
    <n v="1.4732142857142856"/>
    <s v="26.03.2023"/>
    <n v="1"/>
    <e v="#N/A"/>
    <m/>
    <n v="1"/>
  </r>
  <r>
    <x v="87"/>
    <s v="M"/>
    <n v="11"/>
    <n v="30.02"/>
    <d v="1899-12-30T02:05:00"/>
    <d v="1899-12-30T02:07:22"/>
    <d v="1899-12-30T02:06:11"/>
    <m/>
    <d v="1899-12-30T00:04:12"/>
    <n v="5"/>
    <n v="4.5"/>
    <n v="1.5"/>
    <x v="0"/>
    <n v="0.5"/>
    <n v="0.25"/>
    <n v="0.25"/>
    <n v="0"/>
    <n v="0.4"/>
    <n v="0"/>
    <n v="0"/>
    <n v="4.4000000000000004"/>
    <s v="26.03.2023"/>
    <n v="1"/>
    <e v="#N/A"/>
    <m/>
    <n v="1"/>
  </r>
  <r>
    <x v="84"/>
    <s v="M"/>
    <n v="11"/>
    <n v="10.24"/>
    <d v="1899-12-30T00:41:50"/>
    <d v="1899-12-30T00:42:02"/>
    <d v="1899-12-30T00:41:56"/>
    <m/>
    <d v="1899-12-30T00:04:06"/>
    <n v="2.4380952380952379"/>
    <n v="4.5"/>
    <n v="4"/>
    <x v="1"/>
    <n v="0.25"/>
    <n v="0.5"/>
    <n v="0.25"/>
    <n v="0"/>
    <n v="0"/>
    <n v="0"/>
    <n v="0"/>
    <n v="3.8595238095238096"/>
    <s v="26.03.2023"/>
    <n v="1"/>
    <s v="The GOATs"/>
    <m/>
    <n v="1"/>
  </r>
  <r>
    <x v="78"/>
    <s v="M"/>
    <n v="11"/>
    <n v="26.13"/>
    <d v="1899-12-30T05:29:16"/>
    <d v="1899-12-30T06:06:59"/>
    <d v="1899-12-30T05:48:08"/>
    <n v="1502"/>
    <d v="1899-12-30T00:13:19"/>
    <n v="5"/>
    <n v="0"/>
    <n v="3.25"/>
    <x v="0"/>
    <n v="0.5"/>
    <n v="0.25"/>
    <n v="0.25"/>
    <n v="1.0013333333333334"/>
    <n v="0.2"/>
    <n v="0"/>
    <n v="0.4"/>
    <n v="4.9138333333333337"/>
    <s v="26.03.2023"/>
    <n v="1"/>
    <s v="Almost Kenyan Runners"/>
    <m/>
    <n v="0"/>
  </r>
  <r>
    <x v="1"/>
    <s v="M"/>
    <n v="12"/>
    <n v="28.09"/>
    <d v="1899-12-30T02:50:29"/>
    <d v="1899-12-30T02:50:29"/>
    <d v="1899-12-30T02:50:29"/>
    <m/>
    <d v="1899-12-30T00:06:04"/>
    <n v="5"/>
    <n v="1.25"/>
    <n v="1"/>
    <x v="2"/>
    <n v="0.25"/>
    <n v="0.25"/>
    <n v="0.5"/>
    <n v="0"/>
    <n v="0.3"/>
    <n v="0"/>
    <n v="0"/>
    <n v="2.3624999999999998"/>
    <s v="28.03.2023"/>
    <n v="1"/>
    <e v="#N/A"/>
    <m/>
    <n v="1"/>
  </r>
  <r>
    <x v="42"/>
    <s v="M"/>
    <n v="12"/>
    <n v="10"/>
    <d v="1899-12-30T00:43:09"/>
    <d v="1899-12-30T00:43:09"/>
    <d v="1899-12-30T00:43:09"/>
    <m/>
    <d v="1899-12-30T00:04:19"/>
    <n v="2.3809523809523809"/>
    <n v="4"/>
    <n v="3.25"/>
    <x v="1"/>
    <n v="0.25"/>
    <n v="0.5"/>
    <n v="0.25"/>
    <n v="0"/>
    <n v="0"/>
    <n v="0"/>
    <n v="0"/>
    <n v="3.4077380952380953"/>
    <s v="28.03.2023"/>
    <n v="1"/>
    <s v="The GOATs"/>
    <m/>
    <n v="1"/>
  </r>
  <r>
    <x v="16"/>
    <s v="F"/>
    <n v="12"/>
    <n v="10.01"/>
    <d v="1899-12-30T00:55:30"/>
    <d v="1899-12-30T00:56:56"/>
    <d v="1899-12-30T00:56:13"/>
    <m/>
    <d v="1899-12-30T00:05:37"/>
    <n v="2.5024999999999999"/>
    <n v="2.5"/>
    <n v="3"/>
    <x v="2"/>
    <n v="0.25"/>
    <n v="0.25"/>
    <n v="0.5"/>
    <n v="0"/>
    <n v="0"/>
    <n v="0"/>
    <n v="0"/>
    <n v="2.7506249999999999"/>
    <s v="29.03.2023"/>
    <n v="1"/>
    <s v="MedgidiaRunning"/>
    <m/>
    <n v="1"/>
  </r>
  <r>
    <x v="65"/>
    <s v="F"/>
    <n v="12"/>
    <n v="11.78"/>
    <d v="1899-12-30T01:13:55"/>
    <d v="1899-12-30T01:46:46"/>
    <d v="1899-12-30T01:30:21"/>
    <m/>
    <d v="1899-12-30T00:07:40"/>
    <n v="2.9449999999999998"/>
    <n v="0.25"/>
    <n v="1.25"/>
    <x v="2"/>
    <n v="0.25"/>
    <n v="0.25"/>
    <n v="0.5"/>
    <n v="0"/>
    <n v="0"/>
    <n v="0"/>
    <n v="0"/>
    <n v="1.4237500000000001"/>
    <s v="29.03.2023"/>
    <n v="1"/>
    <e v="#N/A"/>
    <m/>
    <n v="1"/>
  </r>
  <r>
    <x v="7"/>
    <s v="M"/>
    <n v="12"/>
    <n v="23.04"/>
    <d v="1899-12-30T02:05:49"/>
    <d v="1899-12-30T02:05:53"/>
    <d v="1899-12-30T02:05:51"/>
    <n v="207"/>
    <d v="1899-12-30T00:05:28"/>
    <n v="5"/>
    <n v="2"/>
    <n v="2.75"/>
    <x v="2"/>
    <n v="0.25"/>
    <n v="0.25"/>
    <n v="0.5"/>
    <n v="0.13800000000000001"/>
    <n v="0.1"/>
    <n v="0"/>
    <n v="0"/>
    <n v="3.363"/>
    <s v="29.03.2023"/>
    <n v="1"/>
    <s v="MedgidiaRunning"/>
    <m/>
    <n v="1"/>
  </r>
  <r>
    <x v="24"/>
    <s v="M"/>
    <n v="12"/>
    <n v="10.01"/>
    <d v="1899-12-30T00:50:27"/>
    <d v="1899-12-30T01:04:09"/>
    <d v="1899-12-30T00:57:18"/>
    <m/>
    <d v="1899-12-30T00:05:43"/>
    <n v="2.3833333333333333"/>
    <n v="1.75"/>
    <n v="2.25"/>
    <x v="2"/>
    <n v="0.25"/>
    <n v="0.25"/>
    <n v="0.5"/>
    <n v="0"/>
    <n v="0"/>
    <n v="0"/>
    <n v="0"/>
    <n v="2.1583333333333332"/>
    <s v="29.03.2023"/>
    <n v="1"/>
    <e v="#N/A"/>
    <m/>
    <n v="1"/>
  </r>
  <r>
    <x v="51"/>
    <s v="F"/>
    <n v="12"/>
    <n v="16.7"/>
    <d v="1899-12-30T01:35:28"/>
    <d v="1899-12-30T01:56:10"/>
    <d v="1899-12-30T01:45:49"/>
    <m/>
    <d v="1899-12-30T00:06:20"/>
    <n v="4.1749999999999998"/>
    <n v="1.5"/>
    <n v="2"/>
    <x v="2"/>
    <n v="0.25"/>
    <n v="0.25"/>
    <n v="0.5"/>
    <n v="0"/>
    <n v="0"/>
    <n v="0"/>
    <n v="0"/>
    <n v="2.4187500000000002"/>
    <s v="29.03.2023"/>
    <n v="1"/>
    <s v="#notSYRious"/>
    <m/>
    <n v="1"/>
  </r>
  <r>
    <x v="114"/>
    <s v="M"/>
    <n v="12"/>
    <n v="25.08"/>
    <d v="1899-12-30T02:30:51"/>
    <d v="1899-12-30T02:43:19"/>
    <d v="1899-12-30T02:37:05"/>
    <m/>
    <d v="1899-12-30T00:06:16"/>
    <n v="5"/>
    <n v="1.25"/>
    <n v="0.75"/>
    <x v="2"/>
    <n v="0.25"/>
    <n v="0.25"/>
    <n v="0.5"/>
    <n v="0"/>
    <n v="0.2"/>
    <n v="0"/>
    <n v="0"/>
    <n v="2.1375000000000002"/>
    <s v="01.04.2023"/>
    <n v="1"/>
    <e v="#N/A"/>
    <m/>
    <n v="1"/>
  </r>
  <r>
    <x v="113"/>
    <s v="M"/>
    <n v="12"/>
    <n v="12"/>
    <d v="1899-12-30T00:59:50"/>
    <d v="1899-12-30T00:59:50"/>
    <d v="1899-12-30T00:59:50"/>
    <n v="132"/>
    <d v="1899-12-30T00:04:59"/>
    <n v="2.8571428571428572"/>
    <n v="3"/>
    <n v="1.5"/>
    <x v="2"/>
    <n v="0.25"/>
    <n v="0.25"/>
    <n v="0.5"/>
    <n v="8.7999999999999995E-2"/>
    <n v="0"/>
    <n v="0"/>
    <n v="0"/>
    <n v="2.3022857142857145"/>
    <s v="01.04.2023"/>
    <n v="1"/>
    <e v="#N/A"/>
    <m/>
    <n v="1"/>
  </r>
  <r>
    <x v="28"/>
    <s v="M"/>
    <n v="12"/>
    <n v="12.53"/>
    <d v="1899-12-30T01:07:24"/>
    <d v="1899-12-30T01:07:36"/>
    <d v="1899-12-30T01:07:30"/>
    <n v="118"/>
    <d v="1899-12-30T00:05:23"/>
    <n v="2.9833333333333329"/>
    <n v="2"/>
    <n v="2"/>
    <x v="0"/>
    <n v="0.5"/>
    <n v="0.25"/>
    <n v="0.25"/>
    <n v="7.8666666666666663E-2"/>
    <n v="0"/>
    <n v="0"/>
    <n v="0"/>
    <n v="2.5703333333333331"/>
    <s v="01.04.2023"/>
    <n v="1"/>
    <s v="UltraHaita lu' Borcan"/>
    <m/>
    <n v="1"/>
  </r>
  <r>
    <x v="29"/>
    <s v="F"/>
    <n v="12"/>
    <n v="3.01"/>
    <d v="1899-12-30T00:13:58"/>
    <d v="1899-12-30T00:14:01"/>
    <d v="1899-12-30T00:14:00"/>
    <m/>
    <d v="1899-12-30T00:04:39"/>
    <n v="0.75249999999999995"/>
    <n v="4.5"/>
    <n v="1.5"/>
    <x v="2"/>
    <n v="0.25"/>
    <n v="0.25"/>
    <n v="0.5"/>
    <n v="0"/>
    <n v="0"/>
    <n v="0"/>
    <n v="0"/>
    <n v="2.0631249999999999"/>
    <s v="01.04.2023"/>
    <n v="1"/>
    <e v="#N/A"/>
    <m/>
    <n v="1"/>
  </r>
  <r>
    <x v="21"/>
    <s v="M"/>
    <n v="12"/>
    <n v="8.1300000000000008"/>
    <d v="1899-12-30T00:53:16"/>
    <d v="1899-12-30T01:04:33"/>
    <d v="1899-12-30T00:58:55"/>
    <n v="146"/>
    <d v="1899-12-30T00:07:15"/>
    <n v="1.9357142857142857"/>
    <n v="0.25"/>
    <n v="2.5"/>
    <x v="0"/>
    <n v="0.5"/>
    <n v="0.25"/>
    <n v="0.25"/>
    <n v="9.7333333333333327E-2"/>
    <n v="0"/>
    <n v="0"/>
    <n v="0.4"/>
    <n v="2.1526904761904762"/>
    <s v="01.04.2023"/>
    <n v="1"/>
    <s v="#notSYRious"/>
    <m/>
    <n v="1"/>
  </r>
  <r>
    <x v="17"/>
    <s v="M"/>
    <n v="12"/>
    <n v="12.12"/>
    <d v="1899-12-30T01:04:00"/>
    <d v="1899-12-30T01:07:41"/>
    <d v="1899-12-30T01:05:51"/>
    <m/>
    <d v="1899-12-30T00:05:26"/>
    <n v="2.8857142857142852"/>
    <n v="2"/>
    <n v="2.75"/>
    <x v="2"/>
    <n v="0.25"/>
    <n v="0.25"/>
    <n v="0.5"/>
    <n v="0"/>
    <n v="0"/>
    <n v="0"/>
    <n v="0"/>
    <n v="2.5964285714285715"/>
    <s v="01.04.2023"/>
    <n v="1"/>
    <e v="#N/A"/>
    <m/>
    <n v="1"/>
  </r>
  <r>
    <x v="32"/>
    <s v="M"/>
    <n v="12"/>
    <n v="37.07"/>
    <d v="1899-12-30T03:25:38"/>
    <d v="1899-12-30T03:26:02"/>
    <d v="1899-12-30T03:25:50"/>
    <n v="59"/>
    <d v="1899-12-30T00:05:33"/>
    <n v="5"/>
    <n v="1.75"/>
    <n v="3"/>
    <x v="2"/>
    <n v="0.25"/>
    <n v="0.25"/>
    <n v="0.5"/>
    <n v="3.9333333333333331E-2"/>
    <n v="0.8"/>
    <n v="0"/>
    <n v="0"/>
    <n v="4.0268333333333333"/>
    <s v="01.04.2023"/>
    <n v="1"/>
    <e v="#N/A"/>
    <m/>
    <n v="1"/>
  </r>
  <r>
    <x v="70"/>
    <s v="F"/>
    <n v="12"/>
    <n v="16.010000000000002"/>
    <d v="1899-12-30T02:16:59"/>
    <d v="1899-12-30T02:24:40"/>
    <d v="1899-12-30T02:20:49"/>
    <n v="564"/>
    <d v="1899-12-30T00:08:48"/>
    <n v="4.0025000000000004"/>
    <n v="0.25"/>
    <n v="3.5"/>
    <x v="2"/>
    <n v="0.25"/>
    <n v="0.25"/>
    <n v="0.5"/>
    <n v="0.376"/>
    <n v="0"/>
    <n v="0"/>
    <n v="0"/>
    <n v="3.1891250000000002"/>
    <s v="02.04.2023"/>
    <n v="1"/>
    <e v="#N/A"/>
    <m/>
    <n v="1"/>
  </r>
  <r>
    <x v="0"/>
    <s v="M"/>
    <n v="12"/>
    <n v="20.72"/>
    <d v="1899-12-30T02:01:11"/>
    <d v="1899-12-30T02:02:30"/>
    <d v="1899-12-30T02:01:50"/>
    <m/>
    <d v="1899-12-30T00:05:53"/>
    <n v="4.9333333333333327"/>
    <n v="1.5"/>
    <n v="2.25"/>
    <x v="2"/>
    <n v="0.25"/>
    <n v="0.25"/>
    <n v="0.5"/>
    <n v="0"/>
    <n v="0"/>
    <n v="0"/>
    <n v="0"/>
    <n v="2.7333333333333334"/>
    <s v="02.04.2023"/>
    <n v="1"/>
    <s v="UltraHaita lu' Borcan"/>
    <m/>
    <n v="1"/>
  </r>
  <r>
    <x v="18"/>
    <s v="M"/>
    <n v="12"/>
    <n v="3.22"/>
    <d v="1899-12-30T00:12:24"/>
    <d v="1899-12-30T00:12:24"/>
    <d v="1899-12-30T00:12:24"/>
    <m/>
    <d v="1899-12-30T00:03:51"/>
    <n v="0.76666666666666672"/>
    <n v="5"/>
    <n v="1.75"/>
    <x v="1"/>
    <n v="0.25"/>
    <n v="0.5"/>
    <n v="0.25"/>
    <n v="0"/>
    <n v="0"/>
    <n v="0.45000000000000007"/>
    <n v="0"/>
    <n v="3.5791666666666671"/>
    <s v="02.04.2023"/>
    <n v="1"/>
    <s v="UltraHaita lu' Borcan"/>
    <m/>
    <n v="1"/>
  </r>
  <r>
    <x v="82"/>
    <s v="M"/>
    <n v="12"/>
    <n v="30.01"/>
    <d v="1899-12-30T02:08:45"/>
    <d v="1899-12-30T02:09:22"/>
    <d v="1899-12-30T02:09:04"/>
    <n v="307"/>
    <d v="1899-12-30T00:04:18"/>
    <n v="5"/>
    <n v="4"/>
    <n v="3.5"/>
    <x v="2"/>
    <n v="0.25"/>
    <n v="0.25"/>
    <n v="0.5"/>
    <n v="0.20466666666666666"/>
    <n v="0.4"/>
    <n v="0"/>
    <n v="0"/>
    <n v="4.6046666666666667"/>
    <s v="02.04.2023"/>
    <n v="1"/>
    <s v="Almost Kenyan Runners"/>
    <m/>
    <n v="1"/>
  </r>
  <r>
    <x v="15"/>
    <s v="F"/>
    <n v="12"/>
    <n v="21.14"/>
    <d v="1899-12-30T01:54:53"/>
    <d v="1899-12-30T01:54:53"/>
    <d v="1899-12-30T01:54:53"/>
    <m/>
    <d v="1899-12-30T00:05:26"/>
    <n v="5"/>
    <n v="3"/>
    <n v="3.75"/>
    <x v="1"/>
    <n v="0.25"/>
    <n v="0.5"/>
    <n v="0.25"/>
    <n v="0"/>
    <n v="0"/>
    <n v="0"/>
    <n v="0"/>
    <n v="3.6875"/>
    <s v="02.04.2023"/>
    <n v="1"/>
    <e v="#N/A"/>
    <m/>
    <n v="1"/>
  </r>
  <r>
    <x v="36"/>
    <s v="M"/>
    <n v="12"/>
    <n v="21"/>
    <d v="1899-12-30T01:56:02"/>
    <d v="1899-12-30T02:02:42"/>
    <d v="1899-12-30T01:59:22"/>
    <m/>
    <d v="1899-12-30T00:05:41"/>
    <n v="5"/>
    <n v="1.75"/>
    <n v="3"/>
    <x v="2"/>
    <n v="0.25"/>
    <n v="0.25"/>
    <n v="0.5"/>
    <n v="0"/>
    <n v="0"/>
    <n v="0"/>
    <n v="0"/>
    <n v="3.1875"/>
    <s v="02.04.2023"/>
    <n v="1"/>
    <s v="MedgidiaRunning"/>
    <m/>
    <n v="1"/>
  </r>
  <r>
    <x v="13"/>
    <s v="M"/>
    <n v="12"/>
    <n v="15.11"/>
    <d v="1899-12-30T02:13:49"/>
    <d v="1899-12-30T02:14:26"/>
    <d v="1899-12-30T02:14:07"/>
    <n v="431"/>
    <d v="1899-12-30T00:08:53"/>
    <n v="3.5976190476190473"/>
    <n v="0"/>
    <n v="3.25"/>
    <x v="2"/>
    <n v="0.25"/>
    <n v="0.25"/>
    <n v="0.5"/>
    <n v="0.28733333333333333"/>
    <n v="0"/>
    <n v="0"/>
    <n v="0"/>
    <n v="2.8117380952380953"/>
    <s v="02.04.2023"/>
    <n v="1"/>
    <s v="MedgidiaRunning"/>
    <m/>
    <n v="0"/>
  </r>
  <r>
    <x v="86"/>
    <s v="F"/>
    <n v="12"/>
    <n v="21.36"/>
    <d v="1899-12-30T02:13:10"/>
    <d v="1899-12-30T02:14:24"/>
    <d v="1899-12-30T02:13:47"/>
    <n v="52"/>
    <d v="1899-12-30T00:06:16"/>
    <n v="5"/>
    <n v="1.75"/>
    <n v="3"/>
    <x v="0"/>
    <n v="0.5"/>
    <n v="0.25"/>
    <n v="0.25"/>
    <n v="3.4666666666666665E-2"/>
    <n v="0"/>
    <n v="0"/>
    <n v="0"/>
    <n v="3.7221666666666668"/>
    <s v="02.04.2023"/>
    <n v="1"/>
    <s v="Almost Kenyan Runners"/>
    <m/>
    <n v="1"/>
  </r>
  <r>
    <x v="47"/>
    <s v="M"/>
    <n v="12"/>
    <n v="11.14"/>
    <d v="1899-12-30T00:53:54"/>
    <d v="1899-12-30T00:53:54"/>
    <d v="1899-12-30T00:53:54"/>
    <m/>
    <d v="1899-12-30T00:04:50"/>
    <n v="2.6523809523809523"/>
    <n v="3"/>
    <n v="3.25"/>
    <x v="2"/>
    <n v="0.25"/>
    <n v="0.25"/>
    <n v="0.5"/>
    <n v="0"/>
    <n v="0"/>
    <n v="0"/>
    <n v="0"/>
    <n v="3.038095238095238"/>
    <s v="02.04.2023"/>
    <n v="1"/>
    <e v="#N/A"/>
    <m/>
    <n v="1"/>
  </r>
  <r>
    <x v="83"/>
    <s v="M"/>
    <n v="12"/>
    <n v="10.94"/>
    <d v="1899-12-30T00:52:58"/>
    <d v="1899-12-30T00:52:31"/>
    <d v="1899-12-30T00:52:45"/>
    <m/>
    <d v="1899-12-30T00:04:49"/>
    <n v="2.6047619047619044"/>
    <n v="3"/>
    <n v="2.25"/>
    <x v="1"/>
    <n v="0.25"/>
    <n v="0.5"/>
    <n v="0.25"/>
    <n v="0"/>
    <n v="0"/>
    <n v="0"/>
    <n v="0"/>
    <n v="2.7136904761904761"/>
    <s v="02.04.2023"/>
    <n v="1"/>
    <e v="#N/A"/>
    <m/>
    <n v="1"/>
  </r>
  <r>
    <x v="35"/>
    <s v="F"/>
    <n v="12"/>
    <n v="4.96"/>
    <d v="1899-12-30T00:34:54"/>
    <d v="1899-12-30T00:34:54"/>
    <d v="1899-12-30T00:34:54"/>
    <m/>
    <d v="1899-12-30T00:07:02"/>
    <n v="1.24"/>
    <n v="0.75"/>
    <n v="3.25"/>
    <x v="2"/>
    <n v="0.25"/>
    <n v="0.25"/>
    <n v="0.5"/>
    <n v="0"/>
    <n v="0"/>
    <n v="0"/>
    <n v="0"/>
    <n v="2.1225000000000001"/>
    <s v="02.04.2023"/>
    <n v="1"/>
    <s v="#notSYRious"/>
    <m/>
    <n v="1"/>
  </r>
  <r>
    <x v="120"/>
    <s v="M"/>
    <n v="12"/>
    <n v="34.799999999999997"/>
    <d v="1899-12-30T02:25:05"/>
    <d v="1899-12-30T02:25:05"/>
    <d v="1899-12-30T02:25:05"/>
    <n v="60"/>
    <d v="1899-12-30T00:04:10"/>
    <n v="5"/>
    <n v="4.5"/>
    <n v="0.75"/>
    <x v="2"/>
    <n v="0.25"/>
    <n v="0.25"/>
    <n v="0.5"/>
    <n v="0.04"/>
    <n v="0.6"/>
    <n v="0"/>
    <n v="0"/>
    <n v="3.39"/>
    <s v="02.04.2023"/>
    <n v="1"/>
    <e v="#N/A"/>
    <m/>
    <n v="1"/>
  </r>
  <r>
    <x v="37"/>
    <s v="M"/>
    <n v="12"/>
    <n v="42.67"/>
    <d v="1899-12-30T03:54:15"/>
    <d v="1899-12-30T03:55:02"/>
    <d v="1899-12-30T03:54:39"/>
    <n v="83"/>
    <d v="1899-12-30T00:05:30"/>
    <n v="5"/>
    <n v="2"/>
    <n v="1.5"/>
    <x v="0"/>
    <n v="0.5"/>
    <n v="0.25"/>
    <n v="0.25"/>
    <n v="5.5333333333333332E-2"/>
    <n v="1"/>
    <n v="0"/>
    <n v="0"/>
    <n v="4.4303333333333335"/>
    <s v="02.04.2023"/>
    <n v="1"/>
    <e v="#N/A"/>
    <m/>
    <n v="1"/>
  </r>
  <r>
    <x v="45"/>
    <s v="F"/>
    <n v="12"/>
    <n v="8.7799999999999994"/>
    <d v="1899-12-30T00:52:44"/>
    <d v="1899-12-30T00:52:47"/>
    <d v="1899-12-30T00:52:46"/>
    <m/>
    <d v="1899-12-30T00:06:01"/>
    <n v="2.1949999999999998"/>
    <n v="2"/>
    <n v="1.5"/>
    <x v="2"/>
    <n v="0.25"/>
    <n v="0.25"/>
    <n v="0.5"/>
    <n v="0"/>
    <n v="0"/>
    <n v="0"/>
    <n v="0"/>
    <n v="1.7987500000000001"/>
    <s v="02.04.2023"/>
    <n v="1"/>
    <e v="#N/A"/>
    <m/>
    <n v="1"/>
  </r>
  <r>
    <x v="60"/>
    <s v="M"/>
    <n v="12"/>
    <n v="43.01"/>
    <d v="1899-12-30T02:38:32"/>
    <d v="1899-12-30T02:38:32"/>
    <d v="1899-12-30T02:38:32"/>
    <n v="91"/>
    <d v="1899-12-30T00:03:41"/>
    <n v="5"/>
    <n v="5"/>
    <n v="4"/>
    <x v="2"/>
    <n v="0.25"/>
    <n v="0.25"/>
    <n v="0.5"/>
    <n v="6.0666666666666667E-2"/>
    <n v="1.1000000000000001"/>
    <n v="1.4999999999999998"/>
    <n v="0"/>
    <n v="7.1606666666666676"/>
    <s v="02.04.2023"/>
    <n v="1"/>
    <s v="#notSYRious"/>
    <m/>
    <n v="1"/>
  </r>
  <r>
    <x v="9"/>
    <s v="M"/>
    <n v="12"/>
    <n v="42.85"/>
    <d v="1899-12-30T03:11:14"/>
    <d v="1899-12-30T03:11:24"/>
    <d v="1899-12-30T03:11:19"/>
    <n v="83"/>
    <d v="1899-12-30T00:04:28"/>
    <n v="5"/>
    <n v="4"/>
    <n v="2"/>
    <x v="1"/>
    <n v="0.25"/>
    <n v="0.5"/>
    <n v="0.25"/>
    <n v="5.5333333333333332E-2"/>
    <n v="1"/>
    <n v="0"/>
    <n v="0"/>
    <n v="4.8053333333333335"/>
    <s v="02.04.2023"/>
    <n v="1"/>
    <s v="The GOATs"/>
    <m/>
    <n v="1"/>
  </r>
  <r>
    <x v="92"/>
    <s v="F"/>
    <n v="12"/>
    <n v="0"/>
    <d v="1899-12-30T00:00:00"/>
    <d v="1899-12-30T00:00:00"/>
    <d v="1899-12-30T00:00:00"/>
    <m/>
    <d v="1899-12-30T00:00:00"/>
    <n v="0"/>
    <n v="0"/>
    <n v="0"/>
    <x v="3"/>
    <n v="0.25"/>
    <n v="0.25"/>
    <n v="0.25"/>
    <n v="0"/>
    <n v="0"/>
    <n v="0"/>
    <n v="0"/>
    <n v="1.5"/>
    <s v="02.04.2023"/>
    <n v="1"/>
    <s v="The GOATs"/>
    <m/>
    <n v="0"/>
  </r>
  <r>
    <x v="98"/>
    <s v="F"/>
    <n v="12"/>
    <n v="18.010000000000002"/>
    <d v="1899-12-30T01:41:12"/>
    <d v="1899-12-30T01:41:16"/>
    <d v="1899-12-30T01:41:14"/>
    <m/>
    <d v="1899-12-30T00:05:37"/>
    <n v="4.5025000000000004"/>
    <n v="2.5"/>
    <n v="3"/>
    <x v="2"/>
    <n v="0.25"/>
    <n v="0.25"/>
    <n v="0.5"/>
    <n v="0"/>
    <n v="0"/>
    <n v="0"/>
    <n v="0"/>
    <n v="3.2506250000000003"/>
    <s v="02.04.2023"/>
    <n v="1"/>
    <s v="#notSYRious"/>
    <m/>
    <n v="1"/>
  </r>
  <r>
    <x v="44"/>
    <s v="M"/>
    <n v="12"/>
    <n v="174.52"/>
    <d v="1899-12-30T21:46:44"/>
    <d v="1899-12-30T23:44:55"/>
    <d v="1899-12-30T22:45:50"/>
    <n v="1255"/>
    <d v="1899-12-30T00:07:50"/>
    <n v="5"/>
    <n v="0.25"/>
    <n v="4"/>
    <x v="2"/>
    <n v="0.25"/>
    <n v="0.25"/>
    <n v="0.5"/>
    <n v="0.83666666666666667"/>
    <n v="5.7"/>
    <n v="0"/>
    <n v="0"/>
    <n v="9.8491666666666671"/>
    <s v="02.04.2023"/>
    <n v="1"/>
    <s v="UltraHaita lu' Borcan"/>
    <m/>
    <n v="1"/>
  </r>
  <r>
    <x v="111"/>
    <s v="F"/>
    <n v="12"/>
    <n v="10.9"/>
    <d v="1899-12-30T01:20:17"/>
    <d v="1899-12-30T01:27:21"/>
    <d v="1899-12-30T01:23:49"/>
    <m/>
    <d v="1899-12-30T00:07:41"/>
    <n v="2.7250000000000001"/>
    <n v="0.25"/>
    <n v="3.75"/>
    <x v="2"/>
    <n v="0.25"/>
    <n v="0.25"/>
    <n v="0.5"/>
    <n v="0"/>
    <n v="0"/>
    <n v="0"/>
    <n v="0.4"/>
    <n v="3.0187499999999998"/>
    <s v="02.04.2023"/>
    <n v="1"/>
    <e v="#N/A"/>
    <m/>
    <n v="1"/>
  </r>
  <r>
    <x v="22"/>
    <s v="F"/>
    <n v="12"/>
    <n v="3.03"/>
    <d v="1899-12-30T00:16:01"/>
    <d v="1899-12-30T00:16:01"/>
    <d v="1899-12-30T00:16:01"/>
    <m/>
    <d v="1899-12-30T00:05:17"/>
    <n v="0.75749999999999995"/>
    <n v="3"/>
    <n v="3.25"/>
    <x v="1"/>
    <n v="0.25"/>
    <n v="0.5"/>
    <n v="0.25"/>
    <n v="0"/>
    <n v="0"/>
    <n v="0"/>
    <n v="0"/>
    <n v="2.5018750000000001"/>
    <s v="02.04.2023"/>
    <n v="1"/>
    <s v="MedgidiaRunning"/>
    <m/>
    <n v="1"/>
  </r>
  <r>
    <x v="52"/>
    <s v="M"/>
    <n v="12"/>
    <n v="21.58"/>
    <d v="1899-12-30T02:54:19"/>
    <d v="1899-12-30T03:03:14"/>
    <d v="1899-12-30T02:58:46"/>
    <n v="1088"/>
    <d v="1899-12-30T00:08:17"/>
    <n v="5"/>
    <n v="0"/>
    <n v="2.75"/>
    <x v="2"/>
    <n v="0.25"/>
    <n v="0.25"/>
    <n v="0.5"/>
    <n v="0.72533333333333339"/>
    <n v="0"/>
    <n v="0"/>
    <n v="0"/>
    <n v="3.3503333333333334"/>
    <s v="02.04.2023"/>
    <n v="1"/>
    <e v="#N/A"/>
    <m/>
    <n v="0"/>
  </r>
  <r>
    <x v="85"/>
    <s v="M"/>
    <n v="12"/>
    <n v="21.74"/>
    <d v="1899-12-30T02:56:49"/>
    <d v="1899-12-30T03:04:17"/>
    <d v="1899-12-30T03:00:33"/>
    <n v="1002"/>
    <d v="1899-12-30T00:08:18"/>
    <n v="5"/>
    <n v="0"/>
    <n v="3.75"/>
    <x v="2"/>
    <n v="0.25"/>
    <n v="0.25"/>
    <n v="0.5"/>
    <n v="0.66800000000000004"/>
    <n v="0"/>
    <n v="0"/>
    <n v="0"/>
    <n v="3.7930000000000001"/>
    <s v="02.04.2023"/>
    <n v="1"/>
    <s v="The GOATs"/>
    <m/>
    <n v="0"/>
  </r>
  <r>
    <x v="20"/>
    <s v="F"/>
    <n v="12"/>
    <n v="16.05"/>
    <d v="1899-12-30T01:25:59"/>
    <d v="1899-12-30T01:25:59"/>
    <d v="1899-12-30T01:25:59"/>
    <m/>
    <d v="1899-12-30T00:05:21"/>
    <n v="4.0125000000000002"/>
    <n v="3"/>
    <n v="3"/>
    <x v="2"/>
    <n v="0.25"/>
    <n v="0.25"/>
    <n v="0.5"/>
    <n v="0"/>
    <n v="0"/>
    <n v="0"/>
    <n v="0"/>
    <n v="3.2531249999999998"/>
    <s v="02.04.2023"/>
    <n v="1"/>
    <s v="MedgidiaRunning"/>
    <m/>
    <n v="1"/>
  </r>
  <r>
    <x v="54"/>
    <s v="F"/>
    <n v="12"/>
    <n v="7.1"/>
    <d v="1899-12-30T00:52:30"/>
    <d v="1899-12-30T01:06:12"/>
    <d v="1899-12-30T00:59:21"/>
    <m/>
    <d v="1899-12-30T00:08:22"/>
    <n v="1.7749999999999999"/>
    <n v="0.25"/>
    <n v="2.5"/>
    <x v="2"/>
    <n v="0.25"/>
    <n v="0.25"/>
    <n v="0.5"/>
    <n v="0"/>
    <n v="0"/>
    <n v="0"/>
    <n v="0.7"/>
    <n v="2.4562499999999998"/>
    <s v="02.04.2023"/>
    <n v="1"/>
    <s v="UltraHaita lu' Borcan"/>
    <m/>
    <n v="1"/>
  </r>
  <r>
    <x v="19"/>
    <s v="M"/>
    <n v="12"/>
    <n v="21.49"/>
    <d v="1899-12-30T01:29:59"/>
    <d v="1899-12-30T01:29:59"/>
    <d v="1899-12-30T01:29:59"/>
    <m/>
    <d v="1899-12-30T00:04:11"/>
    <n v="5"/>
    <n v="4.5"/>
    <n v="1.5"/>
    <x v="2"/>
    <n v="0.25"/>
    <n v="0.25"/>
    <n v="0.5"/>
    <n v="0"/>
    <n v="0"/>
    <n v="0"/>
    <n v="0"/>
    <n v="3.125"/>
    <s v="02.04.2023"/>
    <n v="1"/>
    <e v="#N/A"/>
    <m/>
    <n v="1"/>
  </r>
  <r>
    <x v="75"/>
    <s v="F"/>
    <n v="12"/>
    <n v="5.04"/>
    <d v="1899-12-30T00:28:22"/>
    <d v="1899-12-30T00:28:22"/>
    <d v="1899-12-30T00:28:22"/>
    <m/>
    <d v="1899-12-30T00:05:38"/>
    <n v="1.26"/>
    <n v="2.5"/>
    <n v="2.5"/>
    <x v="1"/>
    <n v="0.25"/>
    <n v="0.5"/>
    <n v="0.25"/>
    <n v="0"/>
    <n v="0"/>
    <n v="0"/>
    <n v="0"/>
    <n v="2.19"/>
    <s v="02.04.2023"/>
    <n v="1"/>
    <s v="#notSYRious"/>
    <m/>
    <n v="1"/>
  </r>
  <r>
    <x v="3"/>
    <s v="M"/>
    <n v="12"/>
    <n v="19.420000000000002"/>
    <d v="1899-12-30T02:06:22"/>
    <d v="1899-12-30T02:11:19"/>
    <d v="1899-12-30T02:08:51"/>
    <n v="266"/>
    <d v="1899-12-30T00:06:38"/>
    <n v="4.6238095238095243"/>
    <n v="0.75"/>
    <n v="3.5"/>
    <x v="2"/>
    <n v="0.25"/>
    <n v="0.25"/>
    <n v="0.5"/>
    <n v="0.17733333333333334"/>
    <n v="0"/>
    <n v="0"/>
    <n v="0.4"/>
    <n v="3.6707857142857141"/>
    <s v="02.04.2023"/>
    <n v="1"/>
    <s v="MedgidiaRunning"/>
    <m/>
    <n v="1"/>
  </r>
  <r>
    <x v="71"/>
    <s v="M"/>
    <n v="12"/>
    <n v="42.8"/>
    <d v="1899-12-30T04:47:47"/>
    <d v="1899-12-30T04:51:36"/>
    <d v="1899-12-30T04:49:41"/>
    <n v="100"/>
    <d v="1899-12-30T00:06:46"/>
    <n v="5"/>
    <n v="0.5"/>
    <n v="2.75"/>
    <x v="2"/>
    <n v="0.25"/>
    <n v="0.25"/>
    <n v="0.5"/>
    <n v="6.6666666666666666E-2"/>
    <n v="1"/>
    <n v="0"/>
    <n v="0"/>
    <n v="3.8166666666666669"/>
    <s v="02.04.2023"/>
    <n v="1"/>
    <s v="MedgidiaRunning"/>
    <m/>
    <n v="1"/>
  </r>
  <r>
    <x v="96"/>
    <s v="F"/>
    <n v="12"/>
    <n v="21.11"/>
    <d v="1899-12-30T02:15:28"/>
    <d v="1899-12-30T02:19:08"/>
    <d v="1899-12-30T02:17:18"/>
    <m/>
    <d v="1899-12-30T00:06:30"/>
    <n v="5"/>
    <n v="1.5"/>
    <n v="3.25"/>
    <x v="0"/>
    <n v="0.5"/>
    <n v="0.25"/>
    <n v="0.25"/>
    <n v="0"/>
    <n v="0"/>
    <n v="0"/>
    <n v="0"/>
    <n v="3.6875"/>
    <s v="02.04.2023"/>
    <n v="1"/>
    <e v="#N/A"/>
    <m/>
    <n v="1"/>
  </r>
  <r>
    <x v="58"/>
    <s v="M"/>
    <n v="12"/>
    <n v="19.190000000000001"/>
    <d v="1899-12-30T01:28:06"/>
    <d v="1899-12-30T01:29:58"/>
    <d v="1899-12-30T01:29:02"/>
    <n v="182"/>
    <d v="1899-12-30T00:04:38"/>
    <n v="4.5690476190476188"/>
    <n v="3.5"/>
    <n v="3.5"/>
    <x v="2"/>
    <n v="0.25"/>
    <n v="0.25"/>
    <n v="0.5"/>
    <n v="0.12133333333333333"/>
    <n v="0"/>
    <n v="0"/>
    <n v="0"/>
    <n v="3.8885952380952382"/>
    <s v="02.04.2023"/>
    <n v="1"/>
    <s v="Almost Kenyan Runners"/>
    <m/>
    <n v="1"/>
  </r>
  <r>
    <x v="59"/>
    <s v="M"/>
    <n v="12"/>
    <n v="17.02"/>
    <d v="1899-12-30T01:26:56"/>
    <d v="1899-12-30T01:33:55"/>
    <d v="1899-12-30T01:30:26"/>
    <m/>
    <d v="1899-12-30T00:05:19"/>
    <n v="4.0523809523809522"/>
    <n v="2"/>
    <n v="1.25"/>
    <x v="1"/>
    <n v="0.25"/>
    <n v="0.5"/>
    <n v="0.25"/>
    <n v="0"/>
    <n v="0"/>
    <n v="0"/>
    <n v="0"/>
    <n v="2.325595238095238"/>
    <s v="02.04.2023"/>
    <n v="1"/>
    <s v="UltraHaita lu' Borcan"/>
    <m/>
    <n v="1"/>
  </r>
  <r>
    <x v="74"/>
    <s v="F"/>
    <n v="12"/>
    <n v="10.02"/>
    <d v="1899-12-30T01:02:49"/>
    <d v="1899-12-30T01:04:19"/>
    <d v="1899-12-30T01:03:34"/>
    <m/>
    <d v="1899-12-30T00:06:21"/>
    <n v="2.5049999999999999"/>
    <n v="1.5"/>
    <n v="3"/>
    <x v="1"/>
    <n v="0.25"/>
    <n v="0.5"/>
    <n v="0.25"/>
    <n v="0"/>
    <n v="0"/>
    <n v="0"/>
    <n v="0"/>
    <n v="2.1262499999999998"/>
    <s v="02.04.2023"/>
    <n v="1"/>
    <s v="UltraHaita lu' Borcan"/>
    <m/>
    <n v="1"/>
  </r>
  <r>
    <x v="72"/>
    <s v="F"/>
    <n v="12"/>
    <n v="5.05"/>
    <d v="1899-12-30T00:28:07"/>
    <d v="1899-12-30T00:28:07"/>
    <d v="1899-12-30T00:28:07"/>
    <m/>
    <d v="1899-12-30T00:05:34"/>
    <n v="1.2625"/>
    <n v="2.5"/>
    <n v="3.25"/>
    <x v="1"/>
    <n v="0.25"/>
    <n v="0.5"/>
    <n v="0.25"/>
    <n v="0"/>
    <n v="0"/>
    <n v="0"/>
    <n v="0"/>
    <n v="2.3781249999999998"/>
    <s v="02.04.2023"/>
    <n v="1"/>
    <e v="#N/A"/>
    <m/>
    <n v="1"/>
  </r>
  <r>
    <x v="69"/>
    <s v="M"/>
    <n v="12"/>
    <n v="21.1"/>
    <d v="1899-12-30T01:45:09"/>
    <d v="1899-12-30T01:45:21"/>
    <d v="1899-12-30T01:45:15"/>
    <m/>
    <d v="1899-12-30T00:04:59"/>
    <n v="5"/>
    <n v="3"/>
    <n v="1.5"/>
    <x v="1"/>
    <n v="0.25"/>
    <n v="0.5"/>
    <n v="0.25"/>
    <n v="0"/>
    <n v="0"/>
    <n v="0"/>
    <n v="0"/>
    <n v="3.125"/>
    <s v="02.04.2023"/>
    <n v="1"/>
    <s v="Almost Kenyan Runners"/>
    <m/>
    <n v="1"/>
  </r>
  <r>
    <x v="117"/>
    <s v="M"/>
    <n v="12"/>
    <n v="16.21"/>
    <d v="1899-12-30T01:25:29"/>
    <d v="1899-12-30T01:25:36"/>
    <d v="1899-12-30T01:25:32"/>
    <n v="309"/>
    <d v="1899-12-30T00:05:17"/>
    <n v="3.8595238095238096"/>
    <n v="2"/>
    <n v="0.75"/>
    <x v="2"/>
    <n v="0.25"/>
    <n v="0.25"/>
    <n v="0.5"/>
    <n v="0.20599999999999999"/>
    <n v="0"/>
    <n v="0"/>
    <n v="0"/>
    <n v="2.0458809523809522"/>
    <s v="02.04.2023"/>
    <n v="1"/>
    <e v="#N/A"/>
    <m/>
    <n v="1"/>
  </r>
  <r>
    <x v="23"/>
    <s v="M"/>
    <n v="12"/>
    <n v="18.02"/>
    <d v="1899-12-30T01:33:54"/>
    <d v="1899-12-30T01:34:04"/>
    <d v="1899-12-30T01:33:59"/>
    <m/>
    <d v="1899-12-30T00:05:13"/>
    <n v="4.2904761904761903"/>
    <n v="2.5"/>
    <n v="2.75"/>
    <x v="2"/>
    <n v="0.25"/>
    <n v="0.25"/>
    <n v="0.5"/>
    <n v="0"/>
    <n v="0"/>
    <n v="0"/>
    <n v="0"/>
    <n v="3.0726190476190478"/>
    <s v="02.04.2023"/>
    <n v="1"/>
    <s v="Almost Kenyan Runners"/>
    <m/>
    <n v="1"/>
  </r>
  <r>
    <x v="67"/>
    <s v="M"/>
    <n v="12"/>
    <n v="4.01"/>
    <d v="1899-12-30T00:17:54"/>
    <d v="1899-12-30T00:18:14"/>
    <d v="1899-12-30T00:18:04"/>
    <m/>
    <d v="1899-12-30T00:04:30"/>
    <n v="0.9547619047619047"/>
    <n v="4"/>
    <n v="3"/>
    <x v="2"/>
    <n v="0.25"/>
    <n v="0.25"/>
    <n v="0.5"/>
    <n v="0"/>
    <n v="0"/>
    <n v="0"/>
    <n v="0"/>
    <n v="2.7386904761904765"/>
    <s v="02.04.2023"/>
    <n v="1"/>
    <s v="Almost Kenyan Runners"/>
    <m/>
    <n v="1"/>
  </r>
  <r>
    <x v="46"/>
    <s v="M"/>
    <n v="12"/>
    <n v="16.7"/>
    <d v="1899-12-30T01:31:38"/>
    <d v="1899-12-30T01:49:39"/>
    <d v="1899-12-30T01:40:39"/>
    <n v="62"/>
    <d v="1899-12-30T00:06:02"/>
    <n v="3.9761904761904758"/>
    <n v="1.25"/>
    <n v="2.25"/>
    <x v="0"/>
    <n v="0.5"/>
    <n v="0.25"/>
    <n v="0.25"/>
    <n v="4.1333333333333333E-2"/>
    <n v="0"/>
    <n v="0"/>
    <n v="0"/>
    <n v="2.9044285714285714"/>
    <s v="02.04.2023"/>
    <n v="1"/>
    <s v="#notSYRious"/>
    <m/>
    <n v="1"/>
  </r>
  <r>
    <x v="40"/>
    <s v="M"/>
    <n v="12"/>
    <n v="11.01"/>
    <d v="1899-12-30T01:01:19"/>
    <d v="1899-12-30T01:03:05"/>
    <d v="1899-12-30T01:02:12"/>
    <m/>
    <d v="1899-12-30T00:05:39"/>
    <n v="2.6214285714285714"/>
    <n v="1.75"/>
    <n v="1.25"/>
    <x v="1"/>
    <n v="0.25"/>
    <n v="0.5"/>
    <n v="0.25"/>
    <n v="0"/>
    <n v="0"/>
    <n v="0"/>
    <n v="0"/>
    <n v="1.842857142857143"/>
    <s v="02.04.2023"/>
    <n v="1"/>
    <s v="Almost Kenyan Runners"/>
    <m/>
    <n v="1"/>
  </r>
  <r>
    <x v="76"/>
    <s v="F"/>
    <n v="12"/>
    <n v="10.029999999999999"/>
    <d v="1899-12-30T00:56:04"/>
    <d v="1899-12-30T00:59:14"/>
    <d v="1899-12-30T00:57:39"/>
    <m/>
    <d v="1899-12-30T00:05:45"/>
    <n v="2.5074999999999998"/>
    <n v="2.5"/>
    <n v="2.25"/>
    <x v="2"/>
    <n v="0.25"/>
    <n v="0.25"/>
    <n v="0.5"/>
    <n v="0"/>
    <n v="0"/>
    <n v="0"/>
    <n v="0"/>
    <n v="2.3768750000000001"/>
    <s v="02.04.2023"/>
    <n v="1"/>
    <e v="#N/A"/>
    <m/>
    <n v="1"/>
  </r>
  <r>
    <x v="43"/>
    <s v="M"/>
    <n v="12"/>
    <n v="21.15"/>
    <d v="1899-12-30T01:35:34"/>
    <d v="1899-12-30T01:35:34"/>
    <d v="1899-12-30T01:35:34"/>
    <m/>
    <d v="1899-12-30T00:04:31"/>
    <n v="5"/>
    <n v="3.5"/>
    <n v="2"/>
    <x v="0"/>
    <n v="0.5"/>
    <n v="0.25"/>
    <n v="0.25"/>
    <n v="0"/>
    <n v="0"/>
    <n v="0"/>
    <n v="0"/>
    <n v="3.875"/>
    <s v="02.04.2023"/>
    <n v="1"/>
    <s v="Almost Kenyan Runners"/>
    <m/>
    <n v="1"/>
  </r>
  <r>
    <x v="68"/>
    <s v="F"/>
    <n v="12"/>
    <n v="5.5"/>
    <d v="1899-12-30T00:34:45"/>
    <d v="1899-12-30T00:34:45"/>
    <d v="1899-12-30T00:34:45"/>
    <m/>
    <d v="1899-12-30T00:06:19"/>
    <n v="1.375"/>
    <n v="1.5"/>
    <n v="2.75"/>
    <x v="2"/>
    <n v="0.25"/>
    <n v="0.25"/>
    <n v="0.5"/>
    <n v="0"/>
    <n v="0"/>
    <n v="0"/>
    <n v="0"/>
    <n v="2.09375"/>
    <s v="02.04.2023"/>
    <n v="1"/>
    <s v="Almost Kenyan Runners"/>
    <m/>
    <n v="1"/>
  </r>
  <r>
    <x v="88"/>
    <s v="M"/>
    <n v="12"/>
    <n v="18"/>
    <d v="1899-12-30T01:09:03"/>
    <d v="1899-12-30T01:13:04"/>
    <d v="1899-12-30T01:11:04"/>
    <m/>
    <d v="1899-12-30T00:03:57"/>
    <n v="4.2857142857142856"/>
    <n v="5"/>
    <n v="2.75"/>
    <x v="1"/>
    <n v="0.25"/>
    <n v="0.5"/>
    <n v="0.25"/>
    <n v="0"/>
    <n v="0"/>
    <n v="0.15000000000000002"/>
    <n v="0"/>
    <n v="4.4089285714285715"/>
    <s v="02.04.2023"/>
    <n v="1"/>
    <s v="Almost Kenyan Runners"/>
    <m/>
    <n v="1"/>
  </r>
  <r>
    <x v="53"/>
    <s v="M"/>
    <n v="12"/>
    <n v="6"/>
    <d v="1899-12-30T00:27:50"/>
    <d v="1899-12-30T00:27:50"/>
    <d v="1899-12-30T00:27:50"/>
    <m/>
    <d v="1899-12-30T00:04:38"/>
    <n v="1.4285714285714286"/>
    <n v="3.5"/>
    <n v="0.75"/>
    <x v="2"/>
    <n v="0.25"/>
    <n v="0.25"/>
    <n v="0.5"/>
    <n v="0"/>
    <n v="0"/>
    <n v="0"/>
    <n v="0"/>
    <n v="1.6071428571428572"/>
    <s v="02.04.2023"/>
    <n v="1"/>
    <s v="#notSYRious"/>
    <m/>
    <n v="1"/>
  </r>
  <r>
    <x v="89"/>
    <s v="M"/>
    <n v="12"/>
    <n v="21.04"/>
    <d v="1899-12-30T01:49:33"/>
    <d v="1899-12-30T01:50:14"/>
    <d v="1899-12-30T01:49:53"/>
    <m/>
    <d v="1899-12-30T00:05:13"/>
    <n v="5"/>
    <n v="2.5"/>
    <n v="3"/>
    <x v="2"/>
    <n v="0.25"/>
    <n v="0.25"/>
    <n v="0.5"/>
    <n v="0"/>
    <n v="0"/>
    <n v="0"/>
    <n v="0"/>
    <n v="3.375"/>
    <s v="02.04.2023"/>
    <n v="1"/>
    <e v="#N/A"/>
    <m/>
    <n v="1"/>
  </r>
  <r>
    <x v="50"/>
    <s v="M"/>
    <n v="12"/>
    <n v="42.2"/>
    <d v="1899-12-30T03:56:35"/>
    <d v="1899-12-30T03:57:05"/>
    <d v="1899-12-30T03:56:50"/>
    <m/>
    <d v="1899-12-30T00:05:37"/>
    <n v="5"/>
    <n v="1.75"/>
    <n v="3.5"/>
    <x v="1"/>
    <n v="0.25"/>
    <n v="0.5"/>
    <n v="0.25"/>
    <n v="0"/>
    <n v="1"/>
    <n v="0"/>
    <n v="0"/>
    <n v="4"/>
    <s v="02.04.2023"/>
    <n v="1"/>
    <s v="The GOATs"/>
    <m/>
    <n v="1"/>
  </r>
  <r>
    <x v="64"/>
    <s v="M"/>
    <n v="12"/>
    <n v="42.88"/>
    <d v="1899-12-30T03:27:25"/>
    <d v="1899-12-30T03:27:25"/>
    <d v="1899-12-30T03:27:25"/>
    <n v="80"/>
    <d v="1899-12-30T00:04:50"/>
    <n v="5"/>
    <n v="3"/>
    <n v="3.75"/>
    <x v="0"/>
    <n v="0.5"/>
    <n v="0.25"/>
    <n v="0.25"/>
    <n v="5.3333333333333337E-2"/>
    <n v="1"/>
    <n v="0"/>
    <n v="0"/>
    <n v="5.2408333333333337"/>
    <s v="02.04.2023"/>
    <n v="1"/>
    <s v="The GOATs"/>
    <m/>
    <n v="1"/>
  </r>
  <r>
    <x v="106"/>
    <s v="F"/>
    <n v="12"/>
    <n v="6.25"/>
    <d v="1899-12-30T00:43:13"/>
    <d v="1899-12-30T00:43:13"/>
    <d v="1899-12-30T00:43:13"/>
    <m/>
    <d v="1899-12-30T00:06:55"/>
    <n v="1.5625"/>
    <n v="1"/>
    <n v="3"/>
    <x v="2"/>
    <n v="0.25"/>
    <n v="0.25"/>
    <n v="0.5"/>
    <n v="0"/>
    <n v="0"/>
    <n v="0"/>
    <n v="0"/>
    <n v="2.140625"/>
    <s v="02.04.2023"/>
    <n v="1"/>
    <s v="MedgidiaRunning"/>
    <m/>
    <n v="1"/>
  </r>
  <r>
    <x v="11"/>
    <s v="M"/>
    <n v="12"/>
    <n v="5.1100000000000003"/>
    <d v="1899-12-30T00:25:38"/>
    <d v="1899-12-30T00:25:46"/>
    <d v="1899-12-30T00:25:42"/>
    <m/>
    <d v="1899-12-30T00:05:02"/>
    <n v="1.2166666666666668"/>
    <n v="2.5"/>
    <n v="3"/>
    <x v="2"/>
    <n v="0.25"/>
    <n v="0.25"/>
    <n v="0.5"/>
    <n v="0"/>
    <n v="0"/>
    <n v="0"/>
    <n v="0.4"/>
    <n v="2.8291666666666666"/>
    <s v="02.04.2023"/>
    <n v="1"/>
    <e v="#N/A"/>
    <m/>
    <n v="1"/>
  </r>
  <r>
    <x v="77"/>
    <s v="F"/>
    <n v="12"/>
    <n v="19.73"/>
    <d v="1899-12-30T02:14:14"/>
    <d v="1899-12-30T02:19:13"/>
    <d v="1899-12-30T02:16:43"/>
    <n v="804"/>
    <d v="1899-12-30T00:06:56"/>
    <n v="4.9325000000000001"/>
    <n v="1"/>
    <n v="3.75"/>
    <x v="0"/>
    <n v="0.5"/>
    <n v="0.25"/>
    <n v="0.25"/>
    <n v="0.53600000000000003"/>
    <n v="0"/>
    <n v="0"/>
    <n v="0"/>
    <n v="4.1897500000000001"/>
    <s v="02.04.2023"/>
    <n v="1"/>
    <s v="The GOATs"/>
    <m/>
    <n v="1"/>
  </r>
  <r>
    <x v="57"/>
    <s v="M"/>
    <n v="12"/>
    <n v="10.210000000000001"/>
    <d v="1899-12-30T00:50:41"/>
    <d v="1899-12-30T00:54:16"/>
    <d v="1899-12-30T00:52:29"/>
    <m/>
    <d v="1899-12-30T00:05:08"/>
    <n v="2.4309523809523812"/>
    <n v="2.5"/>
    <n v="2.5"/>
    <x v="1"/>
    <n v="0.25"/>
    <n v="0.5"/>
    <n v="0.25"/>
    <n v="0"/>
    <n v="0"/>
    <n v="0"/>
    <n v="0"/>
    <n v="2.4827380952380951"/>
    <s v="02.04.2023"/>
    <n v="1"/>
    <s v="The GOATs"/>
    <m/>
    <n v="1"/>
  </r>
  <r>
    <x v="105"/>
    <s v="M"/>
    <n v="12"/>
    <n v="7.11"/>
    <d v="1899-12-30T00:27:37"/>
    <d v="1899-12-30T00:27:37"/>
    <d v="1899-12-30T00:27:37"/>
    <m/>
    <d v="1899-12-30T00:03:53"/>
    <n v="1.6928571428571428"/>
    <n v="5"/>
    <n v="1.75"/>
    <x v="2"/>
    <n v="0.25"/>
    <n v="0.25"/>
    <n v="0.5"/>
    <n v="0"/>
    <n v="0"/>
    <n v="0.45000000000000007"/>
    <n v="0"/>
    <n v="2.9982142857142859"/>
    <s v="02.04.2023"/>
    <n v="1"/>
    <s v="The GOATs"/>
    <m/>
    <n v="1"/>
  </r>
  <r>
    <x v="84"/>
    <s v="M"/>
    <n v="12"/>
    <n v="8.01"/>
    <d v="1899-12-30T00:35:49"/>
    <d v="1899-12-30T00:35:59"/>
    <d v="1899-12-30T00:35:54"/>
    <m/>
    <d v="1899-12-30T00:04:29"/>
    <n v="1.907142857142857"/>
    <n v="4"/>
    <n v="3.5"/>
    <x v="1"/>
    <n v="0.25"/>
    <n v="0.5"/>
    <n v="0.25"/>
    <n v="0"/>
    <n v="0"/>
    <n v="0"/>
    <n v="0"/>
    <n v="3.3517857142857141"/>
    <s v="02.04.2023"/>
    <n v="1"/>
    <s v="The GOATs"/>
    <m/>
    <n v="1"/>
  </r>
  <r>
    <x v="41"/>
    <s v="M"/>
    <n v="12"/>
    <n v="21.32"/>
    <d v="1899-12-30T01:28:43"/>
    <d v="1899-12-30T01:28:43"/>
    <d v="1899-12-30T01:28:43"/>
    <m/>
    <d v="1899-12-30T00:04:10"/>
    <n v="5"/>
    <n v="4.5"/>
    <n v="4.25"/>
    <x v="1"/>
    <n v="0.25"/>
    <n v="0.5"/>
    <n v="0.25"/>
    <n v="0"/>
    <n v="0"/>
    <n v="0"/>
    <n v="0"/>
    <n v="4.5625"/>
    <s v="02.04.2023"/>
    <n v="1"/>
    <s v="UltraHaita lu' Borcan"/>
    <m/>
    <n v="1"/>
  </r>
  <r>
    <x v="2"/>
    <s v="F"/>
    <n v="12"/>
    <n v="15.01"/>
    <d v="1899-12-30T01:33:04"/>
    <d v="1899-12-30T01:37:54"/>
    <d v="1899-12-30T01:35:29"/>
    <n v="83"/>
    <d v="1899-12-30T00:06:22"/>
    <n v="3.7524999999999999"/>
    <n v="1.5"/>
    <n v="3.25"/>
    <x v="2"/>
    <n v="0.25"/>
    <n v="0.25"/>
    <n v="0.5"/>
    <n v="5.5333333333333332E-2"/>
    <n v="0"/>
    <n v="0"/>
    <n v="0"/>
    <n v="2.9934583333333333"/>
    <s v="02.04.2023"/>
    <n v="1"/>
    <s v="MedgidiaRunning"/>
    <m/>
    <n v="1"/>
  </r>
  <r>
    <x v="39"/>
    <s v="M"/>
    <n v="12"/>
    <n v="3.68"/>
    <d v="1899-12-30T00:16:53"/>
    <d v="1899-12-30T00:17:49"/>
    <d v="1899-12-30T00:17:21"/>
    <m/>
    <d v="1899-12-30T00:04:43"/>
    <n v="0.87619047619047619"/>
    <n v="3.5"/>
    <n v="2.75"/>
    <x v="1"/>
    <n v="0.25"/>
    <n v="0.5"/>
    <n v="0.25"/>
    <n v="0"/>
    <n v="0"/>
    <n v="0"/>
    <n v="0"/>
    <n v="2.6565476190476192"/>
    <s v="02.04.2023"/>
    <n v="1"/>
    <s v="#notSYRious"/>
    <m/>
    <n v="1"/>
  </r>
  <r>
    <x v="80"/>
    <s v="M"/>
    <n v="12"/>
    <n v="152.35"/>
    <d v="1899-12-30T19:48:24"/>
    <d v="1899-12-30T23:01:33"/>
    <d v="1899-12-30T21:24:59"/>
    <n v="1079"/>
    <d v="1899-12-30T00:08:26"/>
    <n v="5"/>
    <n v="0"/>
    <n v="4"/>
    <x v="0"/>
    <n v="0.5"/>
    <n v="0.25"/>
    <n v="0.25"/>
    <n v="0.71933333333333338"/>
    <n v="5.2"/>
    <n v="0"/>
    <n v="0"/>
    <n v="9.4193333333333342"/>
    <s v="02.04.2023"/>
    <n v="1"/>
    <s v="Almost Kenyan Runners"/>
    <m/>
    <n v="0"/>
  </r>
  <r>
    <x v="14"/>
    <s v="F"/>
    <n v="12"/>
    <n v="18.010000000000002"/>
    <d v="1899-12-30T01:39:08"/>
    <d v="1899-12-30T01:39:22"/>
    <d v="1899-12-30T01:39:15"/>
    <n v="71"/>
    <d v="1899-12-30T00:05:31"/>
    <n v="4.5025000000000004"/>
    <n v="3"/>
    <n v="3"/>
    <x v="2"/>
    <n v="0.25"/>
    <n v="0.25"/>
    <n v="0.5"/>
    <n v="4.7333333333333331E-2"/>
    <n v="0"/>
    <n v="0"/>
    <n v="0"/>
    <n v="3.4229583333333338"/>
    <s v="02.04.2023"/>
    <n v="1"/>
    <s v="MedgidiaRunning"/>
    <m/>
    <n v="1"/>
  </r>
  <r>
    <x v="78"/>
    <s v="M"/>
    <n v="12"/>
    <n v="108"/>
    <d v="1899-12-30T19:59:00"/>
    <d v="1899-12-30T23:42:44"/>
    <d v="1899-12-30T21:50:52"/>
    <n v="937"/>
    <d v="1899-12-30T00:12:08"/>
    <n v="5"/>
    <n v="0"/>
    <n v="3.5"/>
    <x v="0"/>
    <n v="0.5"/>
    <n v="0.25"/>
    <n v="0.25"/>
    <n v="0.6246666666666667"/>
    <n v="4.0999999999999996"/>
    <n v="0"/>
    <n v="0.4"/>
    <n v="8.4996666666666663"/>
    <s v="02.04.2023"/>
    <n v="1"/>
    <s v="Almost Kenyan Runners"/>
    <m/>
    <n v="0"/>
  </r>
  <r>
    <x v="30"/>
    <s v="M"/>
    <n v="12"/>
    <n v="11.01"/>
    <d v="1899-12-30T00:42:21"/>
    <d v="1899-12-30T00:42:21"/>
    <d v="1899-12-30T00:42:21"/>
    <m/>
    <d v="1899-12-30T00:03:51"/>
    <n v="2.6214285714285714"/>
    <n v="5"/>
    <n v="3.25"/>
    <x v="1"/>
    <n v="0.25"/>
    <n v="0.5"/>
    <n v="0.25"/>
    <n v="0"/>
    <n v="0"/>
    <n v="0.89999999999999991"/>
    <n v="0"/>
    <n v="4.8678571428571429"/>
    <s v="02.04.2023"/>
    <n v="1"/>
    <s v="The GOATs"/>
    <m/>
    <n v="1"/>
  </r>
  <r>
    <x v="87"/>
    <s v="M"/>
    <n v="12"/>
    <n v="41.15"/>
    <d v="1899-12-30T03:30:00"/>
    <d v="1899-12-30T03:38:13"/>
    <d v="1899-12-30T03:34:07"/>
    <n v="1356"/>
    <d v="1899-12-30T00:05:12"/>
    <n v="5"/>
    <n v="2.5"/>
    <n v="2.5"/>
    <x v="2"/>
    <n v="0.25"/>
    <n v="0.25"/>
    <n v="0.5"/>
    <n v="0.90400000000000003"/>
    <n v="1"/>
    <n v="0"/>
    <n v="0"/>
    <n v="5.0289999999999999"/>
    <s v="02.04.2023"/>
    <n v="1"/>
    <e v="#N/A"/>
    <m/>
    <n v="1"/>
  </r>
  <r>
    <x v="107"/>
    <s v="M"/>
    <n v="12"/>
    <n v="20.22"/>
    <d v="1899-12-30T02:01:34"/>
    <d v="1899-12-30T02:02:38"/>
    <d v="1899-12-30T02:02:06"/>
    <m/>
    <d v="1899-12-30T00:06:02"/>
    <n v="4.8142857142857141"/>
    <n v="1.25"/>
    <n v="1.25"/>
    <x v="2"/>
    <n v="0.25"/>
    <n v="0.25"/>
    <n v="0.5"/>
    <n v="0"/>
    <n v="0"/>
    <n v="0"/>
    <n v="0"/>
    <n v="2.1410714285714283"/>
    <s v="02.04.2023"/>
    <n v="1"/>
    <s v="The GOATs"/>
    <m/>
    <n v="1"/>
  </r>
  <r>
    <x v="34"/>
    <s v="M"/>
    <n v="12"/>
    <n v="11.23"/>
    <d v="1899-12-30T01:37:34"/>
    <d v="1899-12-30T01:44:05"/>
    <d v="1899-12-30T01:40:50"/>
    <n v="647"/>
    <d v="1899-12-30T00:08:59"/>
    <n v="2.6738095238095236"/>
    <n v="0"/>
    <n v="0"/>
    <x v="2"/>
    <n v="0.25"/>
    <n v="0.25"/>
    <n v="0.5"/>
    <n v="0.43133333333333335"/>
    <n v="0"/>
    <n v="0"/>
    <n v="0"/>
    <n v="1.0997857142857144"/>
    <s v="02.04.2023"/>
    <n v="1"/>
    <e v="#N/A"/>
    <m/>
    <n v="0"/>
  </r>
  <r>
    <x v="109"/>
    <s v="M"/>
    <n v="13"/>
    <n v="10.01"/>
    <d v="1899-12-30T01:19:28"/>
    <d v="1899-12-30T01:27:59"/>
    <d v="1899-12-30T01:23:44"/>
    <n v="388"/>
    <d v="1899-12-30T00:08:22"/>
    <n v="2.3833333333333333"/>
    <n v="0"/>
    <n v="2.75"/>
    <x v="0"/>
    <n v="0.5"/>
    <n v="0.25"/>
    <n v="0.25"/>
    <n v="0.25866666666666666"/>
    <n v="0"/>
    <n v="0"/>
    <n v="0"/>
    <n v="2.1378333333333335"/>
    <s v="04.04.2023"/>
    <n v="1"/>
    <e v="#N/A"/>
    <m/>
    <n v="0"/>
  </r>
  <r>
    <x v="48"/>
    <s v="M"/>
    <n v="12"/>
    <n v="245.61"/>
    <d v="1899-12-30T23:38:02"/>
    <d v="1899-12-31T00:00:00"/>
    <d v="1899-12-30T23:49:01"/>
    <n v="566"/>
    <d v="1899-12-30T00:05:49"/>
    <n v="5"/>
    <n v="1.5"/>
    <n v="4.5"/>
    <x v="2"/>
    <n v="0.25"/>
    <n v="0.25"/>
    <n v="0.5"/>
    <n v="0.37733333333333335"/>
    <n v="6.9"/>
    <n v="0"/>
    <n v="0"/>
    <n v="11.152333333333335"/>
    <s v="04.04.2023"/>
    <n v="1"/>
    <s v="UltraHaita lu' Borcan"/>
    <m/>
    <n v="1"/>
  </r>
  <r>
    <x v="24"/>
    <s v="M"/>
    <n v="13"/>
    <n v="12.31"/>
    <d v="1899-12-30T00:59:54"/>
    <d v="1899-12-30T01:05:38"/>
    <d v="1899-12-30T01:02:46"/>
    <m/>
    <d v="1899-12-30T00:05:06"/>
    <n v="2.9309523809523808"/>
    <n v="2.5"/>
    <n v="2.5"/>
    <x v="2"/>
    <n v="0.25"/>
    <n v="0.25"/>
    <n v="0.5"/>
    <n v="0"/>
    <n v="0"/>
    <n v="0"/>
    <n v="0"/>
    <n v="2.6077380952380951"/>
    <s v="07.04.2023"/>
    <n v="1"/>
    <e v="#N/A"/>
    <m/>
    <n v="1"/>
  </r>
  <r>
    <x v="113"/>
    <s v="M"/>
    <n v="13"/>
    <n v="18"/>
    <d v="1899-12-30T01:25:06"/>
    <d v="1899-12-30T01:25:06"/>
    <d v="1899-12-30T01:25:06"/>
    <m/>
    <d v="1899-12-30T00:04:44"/>
    <n v="4.2857142857142856"/>
    <n v="3.5"/>
    <n v="2"/>
    <x v="0"/>
    <n v="0.5"/>
    <n v="0.25"/>
    <n v="0.25"/>
    <n v="0"/>
    <n v="0"/>
    <n v="0"/>
    <n v="0"/>
    <n v="3.5178571428571428"/>
    <s v="07.04.2023"/>
    <n v="1"/>
    <e v="#N/A"/>
    <m/>
    <n v="1"/>
  </r>
  <r>
    <x v="0"/>
    <s v="M"/>
    <n v="13"/>
    <n v="11.34"/>
    <d v="1899-12-30T01:02:19"/>
    <d v="1899-12-30T01:03:05"/>
    <d v="1899-12-30T01:02:42"/>
    <m/>
    <d v="1899-12-30T00:05:32"/>
    <n v="2.6999999999999997"/>
    <n v="1.75"/>
    <n v="2"/>
    <x v="2"/>
    <n v="0.25"/>
    <n v="0.25"/>
    <n v="0.5"/>
    <n v="0"/>
    <n v="0"/>
    <n v="0"/>
    <n v="0"/>
    <n v="2.1124999999999998"/>
    <s v="07.04.2023"/>
    <n v="1"/>
    <s v="UltraHaita lu' Borcan"/>
    <m/>
    <n v="1"/>
  </r>
  <r>
    <x v="58"/>
    <s v="M"/>
    <n v="13"/>
    <n v="8.15"/>
    <d v="1899-12-30T00:39:44"/>
    <d v="1899-12-30T00:39:44"/>
    <d v="1899-12-30T00:39:44"/>
    <m/>
    <d v="1899-12-30T00:04:53"/>
    <n v="1.9404761904761905"/>
    <n v="3"/>
    <n v="1.5"/>
    <x v="1"/>
    <n v="0.25"/>
    <n v="0.5"/>
    <n v="0.25"/>
    <n v="0"/>
    <n v="0"/>
    <n v="0"/>
    <n v="0"/>
    <n v="2.3601190476190474"/>
    <s v="07.04.2023"/>
    <n v="1"/>
    <s v="Almost Kenyan Runners"/>
    <m/>
    <n v="1"/>
  </r>
  <r>
    <x v="1"/>
    <s v="M"/>
    <n v="13"/>
    <n v="22.02"/>
    <d v="1899-12-30T02:10:55"/>
    <d v="1899-12-30T02:10:55"/>
    <d v="1899-12-30T02:10:55"/>
    <m/>
    <d v="1899-12-30T00:05:57"/>
    <n v="5"/>
    <n v="1.5"/>
    <n v="1"/>
    <x v="0"/>
    <n v="0.5"/>
    <n v="0.25"/>
    <n v="0.25"/>
    <n v="0"/>
    <n v="0"/>
    <n v="0"/>
    <n v="0"/>
    <n v="3.125"/>
    <s v="07.04.2023"/>
    <n v="1"/>
    <e v="#N/A"/>
    <m/>
    <n v="1"/>
  </r>
  <r>
    <x v="82"/>
    <s v="M"/>
    <n v="13"/>
    <n v="8"/>
    <d v="1899-12-30T00:29:06"/>
    <d v="1899-12-30T00:29:06"/>
    <d v="1899-12-30T00:29:06"/>
    <m/>
    <d v="1899-12-30T00:03:38"/>
    <n v="1.9047619047619047"/>
    <n v="5"/>
    <n v="3"/>
    <x v="1"/>
    <n v="0.25"/>
    <n v="0.5"/>
    <n v="0.25"/>
    <n v="0"/>
    <n v="0"/>
    <n v="2.25"/>
    <n v="0"/>
    <n v="5.9761904761904763"/>
    <s v="09.04.2023"/>
    <n v="1"/>
    <s v="Almost Kenyan Runners"/>
    <m/>
    <n v="1"/>
  </r>
  <r>
    <x v="13"/>
    <s v="M"/>
    <n v="13"/>
    <n v="5.93"/>
    <d v="1899-12-30T00:41:24"/>
    <d v="1899-12-30T00:42:00"/>
    <d v="1899-12-30T00:41:42"/>
    <n v="61"/>
    <d v="1899-12-30T00:07:02"/>
    <n v="1.4119047619047618"/>
    <n v="0.25"/>
    <n v="3"/>
    <x v="1"/>
    <n v="0.25"/>
    <n v="0.5"/>
    <n v="0.25"/>
    <n v="4.0666666666666663E-2"/>
    <n v="0"/>
    <n v="0"/>
    <n v="0"/>
    <n v="1.268642857142857"/>
    <s v="09.04.2023"/>
    <n v="1"/>
    <s v="MedgidiaRunning"/>
    <m/>
    <n v="1"/>
  </r>
  <r>
    <x v="14"/>
    <s v="F"/>
    <n v="13"/>
    <n v="20.010000000000002"/>
    <d v="1899-12-30T01:53:41"/>
    <d v="1899-12-30T01:54:31"/>
    <d v="1899-12-30T01:54:06"/>
    <n v="80"/>
    <d v="1899-12-30T00:05:42"/>
    <n v="5"/>
    <n v="2.5"/>
    <n v="2.75"/>
    <x v="0"/>
    <n v="0.5"/>
    <n v="0.25"/>
    <n v="0.25"/>
    <n v="5.3333333333333337E-2"/>
    <n v="0"/>
    <n v="0"/>
    <n v="0"/>
    <n v="3.8658333333333332"/>
    <s v="09.04.2023"/>
    <n v="1"/>
    <s v="MedgidiaRunning"/>
    <m/>
    <n v="1"/>
  </r>
  <r>
    <x v="16"/>
    <s v="F"/>
    <n v="13"/>
    <n v="15"/>
    <d v="1899-12-30T01:27:39"/>
    <d v="1899-12-30T01:29:07"/>
    <d v="1899-12-30T01:28:23"/>
    <n v="84"/>
    <d v="1899-12-30T00:05:54"/>
    <n v="3.75"/>
    <n v="2"/>
    <n v="2.25"/>
    <x v="0"/>
    <n v="0.5"/>
    <n v="0.25"/>
    <n v="0.25"/>
    <n v="5.6000000000000001E-2"/>
    <n v="0"/>
    <n v="0"/>
    <n v="0"/>
    <n v="2.9935"/>
    <s v="09.04.2023"/>
    <n v="1"/>
    <s v="MedgidiaRunning"/>
    <m/>
    <n v="1"/>
  </r>
  <r>
    <x v="54"/>
    <s v="F"/>
    <n v="13"/>
    <n v="7.3"/>
    <d v="1899-12-30T00:54:30"/>
    <d v="1899-12-30T01:01:50"/>
    <d v="1899-12-30T00:58:10"/>
    <m/>
    <d v="1899-12-30T00:07:58"/>
    <n v="1.825"/>
    <n v="0.25"/>
    <n v="1.5"/>
    <x v="0"/>
    <n v="0.5"/>
    <n v="0.25"/>
    <n v="0.25"/>
    <n v="0"/>
    <n v="0"/>
    <n v="0"/>
    <n v="0.7"/>
    <n v="2.0499999999999998"/>
    <s v="09.04.2023"/>
    <n v="1"/>
    <s v="UltraHaita lu' Borcan"/>
    <m/>
    <n v="1"/>
  </r>
  <r>
    <x v="20"/>
    <s v="F"/>
    <n v="13"/>
    <n v="16.02"/>
    <d v="1899-12-30T01:26:23"/>
    <d v="1899-12-30T01:26:29"/>
    <d v="1899-12-30T01:26:26"/>
    <m/>
    <d v="1899-12-30T00:05:24"/>
    <n v="4.0049999999999999"/>
    <n v="3"/>
    <n v="2.5"/>
    <x v="0"/>
    <n v="0.5"/>
    <n v="0.25"/>
    <n v="0.25"/>
    <n v="0"/>
    <n v="0"/>
    <n v="0"/>
    <n v="0"/>
    <n v="3.3774999999999999"/>
    <s v="09.04.2023"/>
    <n v="1"/>
    <s v="MedgidiaRunning"/>
    <m/>
    <n v="1"/>
  </r>
  <r>
    <x v="53"/>
    <s v="M"/>
    <n v="13"/>
    <n v="19.739999999999998"/>
    <d v="1899-12-30T01:59:47"/>
    <d v="1899-12-30T02:01:32"/>
    <d v="1899-12-30T02:00:39"/>
    <m/>
    <d v="1899-12-30T00:06:07"/>
    <n v="4.6999999999999993"/>
    <n v="1.25"/>
    <n v="3"/>
    <x v="0"/>
    <n v="0.5"/>
    <n v="0.25"/>
    <n v="0.25"/>
    <n v="0"/>
    <n v="0"/>
    <n v="0"/>
    <n v="0"/>
    <n v="3.4124999999999996"/>
    <s v="09.04.2023"/>
    <n v="1"/>
    <s v="#notSYRious"/>
    <m/>
    <n v="1"/>
  </r>
  <r>
    <x v="65"/>
    <s v="F"/>
    <n v="13"/>
    <n v="20.27"/>
    <d v="1899-12-30T02:38:33"/>
    <d v="1899-12-30T02:46:55"/>
    <d v="1899-12-30T02:42:44"/>
    <m/>
    <d v="1899-12-30T00:08:02"/>
    <n v="5"/>
    <n v="0.25"/>
    <n v="1.75"/>
    <x v="0"/>
    <n v="0.5"/>
    <n v="0.25"/>
    <n v="0.25"/>
    <n v="0"/>
    <n v="0"/>
    <n v="0"/>
    <n v="0"/>
    <n v="3"/>
    <s v="09.04.2023"/>
    <n v="1"/>
    <e v="#N/A"/>
    <m/>
    <n v="1"/>
  </r>
  <r>
    <x v="32"/>
    <s v="M"/>
    <n v="13"/>
    <n v="25.53"/>
    <d v="1899-12-30T02:08:34"/>
    <d v="1899-12-30T02:08:38"/>
    <d v="1899-12-30T02:08:36"/>
    <m/>
    <d v="1899-12-30T00:05:02"/>
    <n v="5"/>
    <n v="2.5"/>
    <n v="3"/>
    <x v="2"/>
    <n v="0.25"/>
    <n v="0.25"/>
    <n v="0.5"/>
    <n v="0"/>
    <n v="0.2"/>
    <n v="0"/>
    <n v="0"/>
    <n v="3.5750000000000002"/>
    <s v="09.04.2023"/>
    <n v="1"/>
    <e v="#N/A"/>
    <m/>
    <n v="1"/>
  </r>
  <r>
    <x v="70"/>
    <s v="F"/>
    <n v="13"/>
    <n v="19.37"/>
    <d v="1899-12-30T02:27:53"/>
    <d v="1899-12-30T02:31:10"/>
    <d v="1899-12-30T02:29:31"/>
    <n v="707"/>
    <d v="1899-12-30T00:07:43"/>
    <n v="4.8425000000000002"/>
    <n v="0.25"/>
    <n v="3"/>
    <x v="2"/>
    <n v="0.25"/>
    <n v="0.25"/>
    <n v="0.5"/>
    <n v="0.47133333333333333"/>
    <n v="0"/>
    <n v="0"/>
    <n v="0"/>
    <n v="3.2444583333333337"/>
    <s v="09.04.2023"/>
    <n v="1"/>
    <e v="#N/A"/>
    <m/>
    <n v="1"/>
  </r>
  <r>
    <x v="44"/>
    <s v="M"/>
    <n v="13"/>
    <n v="30.3"/>
    <d v="1899-12-30T02:44:35"/>
    <d v="1899-12-30T02:57:46"/>
    <d v="1899-12-30T02:51:10"/>
    <n v="68"/>
    <d v="1899-12-30T00:05:39"/>
    <n v="5"/>
    <n v="1.75"/>
    <n v="3.5"/>
    <x v="2"/>
    <n v="0.25"/>
    <n v="0.25"/>
    <n v="0.5"/>
    <n v="4.5333333333333337E-2"/>
    <n v="0.4"/>
    <n v="0"/>
    <n v="0"/>
    <n v="3.8828333333333331"/>
    <s v="09.04.2023"/>
    <n v="1"/>
    <s v="UltraHaita lu' Borcan"/>
    <m/>
    <n v="1"/>
  </r>
  <r>
    <x v="45"/>
    <s v="F"/>
    <n v="13"/>
    <n v="19.57"/>
    <d v="1899-12-30T02:24:27"/>
    <d v="1899-12-30T02:29:19"/>
    <d v="1899-12-30T02:26:53"/>
    <n v="688"/>
    <d v="1899-12-30T00:07:30"/>
    <n v="4.8925000000000001"/>
    <n v="0.5"/>
    <n v="2.5"/>
    <x v="2"/>
    <n v="0.25"/>
    <n v="0.25"/>
    <n v="0.5"/>
    <n v="0.45866666666666667"/>
    <n v="0"/>
    <n v="0"/>
    <n v="0"/>
    <n v="3.0567916666666668"/>
    <s v="09.04.2023"/>
    <n v="1"/>
    <e v="#N/A"/>
    <m/>
    <n v="1"/>
  </r>
  <r>
    <x v="77"/>
    <s v="F"/>
    <n v="13"/>
    <n v="12.49"/>
    <d v="1899-12-30T01:09:11"/>
    <d v="1899-12-30T01:10:12"/>
    <d v="1899-12-30T01:09:41"/>
    <m/>
    <d v="1899-12-30T00:05:35"/>
    <n v="3.1225000000000001"/>
    <n v="2.5"/>
    <n v="3.75"/>
    <x v="1"/>
    <n v="0.25"/>
    <n v="0.5"/>
    <n v="0.25"/>
    <n v="0"/>
    <n v="0"/>
    <n v="0"/>
    <n v="0"/>
    <n v="2.9681250000000001"/>
    <s v="09.04.2023"/>
    <n v="1"/>
    <s v="The GOATs"/>
    <m/>
    <n v="1"/>
  </r>
  <r>
    <x v="7"/>
    <s v="M"/>
    <n v="13"/>
    <n v="42"/>
    <d v="1899-12-30T04:20:06"/>
    <d v="1899-12-30T04:46:50"/>
    <d v="1899-12-30T04:33:28"/>
    <n v="1550"/>
    <d v="1899-12-30T00:06:31"/>
    <n v="5"/>
    <n v="1"/>
    <n v="3.25"/>
    <x v="2"/>
    <n v="0.25"/>
    <n v="0.25"/>
    <n v="0.5"/>
    <n v="1.0333333333333334"/>
    <n v="1"/>
    <n v="0"/>
    <n v="0"/>
    <n v="5.1583333333333332"/>
    <s v="09.04.2023"/>
    <n v="1"/>
    <s v="MedgidiaRunning"/>
    <m/>
    <n v="1"/>
  </r>
  <r>
    <x v="52"/>
    <s v="M"/>
    <n v="13"/>
    <n v="42.71"/>
    <d v="1899-12-30T04:56:18"/>
    <d v="1899-12-30T05:03:11"/>
    <d v="1899-12-30T04:59:45"/>
    <n v="1550"/>
    <d v="1899-12-30T00:07:01"/>
    <n v="5"/>
    <n v="0.25"/>
    <n v="3.5"/>
    <x v="0"/>
    <n v="0.5"/>
    <n v="0.25"/>
    <n v="0.25"/>
    <n v="1.0333333333333334"/>
    <n v="1"/>
    <n v="0"/>
    <n v="0"/>
    <n v="5.4708333333333332"/>
    <s v="09.04.2023"/>
    <n v="1"/>
    <e v="#N/A"/>
    <m/>
    <n v="1"/>
  </r>
  <r>
    <x v="41"/>
    <s v="M"/>
    <n v="13"/>
    <n v="60.06"/>
    <d v="1899-12-30T05:46:32"/>
    <d v="1899-12-30T06:49:58"/>
    <d v="1899-12-30T06:18:15"/>
    <n v="1193"/>
    <d v="1899-12-30T00:06:18"/>
    <n v="5"/>
    <n v="1"/>
    <n v="3.75"/>
    <x v="2"/>
    <n v="0.25"/>
    <n v="0.25"/>
    <n v="0.5"/>
    <n v="0.79533333333333334"/>
    <n v="1.9"/>
    <n v="0"/>
    <n v="0"/>
    <n v="6.070333333333334"/>
    <s v="09.04.2023"/>
    <n v="1"/>
    <s v="UltraHaita lu' Borcan"/>
    <m/>
    <n v="1"/>
  </r>
  <r>
    <x v="60"/>
    <s v="M"/>
    <n v="13"/>
    <n v="23.03"/>
    <d v="1899-12-30T01:28:28"/>
    <d v="1899-12-30T01:28:28"/>
    <d v="1899-12-30T01:28:28"/>
    <m/>
    <d v="1899-12-30T00:03:50"/>
    <n v="5"/>
    <n v="5"/>
    <n v="3"/>
    <x v="0"/>
    <n v="0.5"/>
    <n v="0.25"/>
    <n v="0.25"/>
    <n v="0"/>
    <n v="0.1"/>
    <n v="0.89999999999999991"/>
    <n v="0"/>
    <n v="5.5"/>
    <s v="09.04.2023"/>
    <n v="1"/>
    <s v="#notSYRious"/>
    <m/>
    <n v="1"/>
  </r>
  <r>
    <x v="84"/>
    <s v="M"/>
    <n v="13"/>
    <n v="10.01"/>
    <d v="1899-12-30T00:42:27"/>
    <d v="1899-12-30T00:42:38"/>
    <d v="1899-12-30T00:42:33"/>
    <m/>
    <d v="1899-12-30T00:04:15"/>
    <n v="2.3833333333333333"/>
    <n v="4.5"/>
    <n v="4"/>
    <x v="2"/>
    <n v="0.25"/>
    <n v="0.25"/>
    <n v="0.5"/>
    <n v="0"/>
    <n v="0"/>
    <n v="0"/>
    <n v="0"/>
    <n v="3.7208333333333332"/>
    <s v="09.04.2023"/>
    <n v="1"/>
    <s v="The GOATs"/>
    <m/>
    <n v="1"/>
  </r>
  <r>
    <x v="35"/>
    <s v="F"/>
    <n v="13"/>
    <n v="8.9700000000000006"/>
    <d v="1899-12-30T00:54:22"/>
    <d v="1899-12-30T00:54:22"/>
    <d v="1899-12-30T00:54:22"/>
    <m/>
    <d v="1899-12-30T00:06:04"/>
    <n v="2.2425000000000002"/>
    <n v="1.75"/>
    <n v="3.25"/>
    <x v="0"/>
    <n v="0.5"/>
    <n v="0.25"/>
    <n v="0.25"/>
    <n v="0"/>
    <n v="0"/>
    <n v="0"/>
    <n v="0"/>
    <n v="2.3712499999999999"/>
    <s v="09.04.2023"/>
    <n v="1"/>
    <s v="#notSYRious"/>
    <m/>
    <n v="1"/>
  </r>
  <r>
    <x v="28"/>
    <s v="M"/>
    <n v="13"/>
    <n v="42.52"/>
    <d v="1899-12-30T05:45:09"/>
    <d v="1899-12-30T06:07:02"/>
    <d v="1899-12-30T05:56:05"/>
    <n v="1550"/>
    <d v="1899-12-30T00:08:22"/>
    <n v="5"/>
    <n v="0"/>
    <n v="3.75"/>
    <x v="2"/>
    <n v="0.25"/>
    <n v="0.25"/>
    <n v="0.5"/>
    <n v="1.0333333333333334"/>
    <n v="1"/>
    <n v="0"/>
    <n v="0"/>
    <n v="5.1583333333333332"/>
    <s v="09.04.2023"/>
    <n v="1"/>
    <s v="UltraHaita lu' Borcan"/>
    <m/>
    <n v="0"/>
  </r>
  <r>
    <x v="98"/>
    <s v="F"/>
    <n v="13"/>
    <n v="21.23"/>
    <d v="1899-12-30T01:58:40"/>
    <d v="1899-12-30T01:59:19"/>
    <d v="1899-12-30T01:59:00"/>
    <m/>
    <d v="1899-12-30T00:05:36"/>
    <n v="5"/>
    <n v="2.5"/>
    <n v="2.75"/>
    <x v="0"/>
    <n v="0.5"/>
    <n v="0.25"/>
    <n v="0.25"/>
    <n v="0"/>
    <n v="0"/>
    <n v="0"/>
    <n v="0"/>
    <n v="3.8125"/>
    <s v="09.04.2023"/>
    <n v="1"/>
    <s v="#notSYRious"/>
    <m/>
    <n v="1"/>
  </r>
  <r>
    <x v="51"/>
    <s v="F"/>
    <n v="13"/>
    <n v="9.9499999999999993"/>
    <d v="1899-12-30T01:16:14"/>
    <d v="1899-12-30T01:20:21"/>
    <d v="1899-12-30T01:18:18"/>
    <m/>
    <d v="1899-12-30T00:07:52"/>
    <n v="2.4874999999999998"/>
    <n v="0.25"/>
    <n v="3"/>
    <x v="0"/>
    <n v="0.5"/>
    <n v="0.25"/>
    <n v="0.25"/>
    <n v="0"/>
    <n v="0"/>
    <n v="0"/>
    <n v="0"/>
    <n v="2.0562499999999999"/>
    <s v="09.04.2023"/>
    <n v="1"/>
    <s v="#notSYRious"/>
    <m/>
    <n v="1"/>
  </r>
  <r>
    <x v="22"/>
    <s v="F"/>
    <n v="13"/>
    <n v="22.82"/>
    <d v="1899-12-30T02:59:35"/>
    <d v="1899-12-30T03:13:01"/>
    <d v="1899-12-30T03:06:18"/>
    <n v="628"/>
    <d v="1899-12-30T00:08:10"/>
    <n v="5"/>
    <n v="0.25"/>
    <n v="4"/>
    <x v="2"/>
    <n v="0.25"/>
    <n v="0.25"/>
    <n v="0.5"/>
    <n v="0.41866666666666669"/>
    <n v="0"/>
    <n v="0"/>
    <n v="0"/>
    <n v="3.7311666666666667"/>
    <s v="09.04.2023"/>
    <n v="1"/>
    <s v="MedgidiaRunning"/>
    <m/>
    <n v="1"/>
  </r>
  <r>
    <x v="15"/>
    <s v="F"/>
    <n v="13"/>
    <n v="19.899999999999999"/>
    <d v="1899-12-30T02:36:32"/>
    <d v="1899-12-30T02:41:43"/>
    <d v="1899-12-30T02:39:07"/>
    <n v="715"/>
    <d v="1899-12-30T00:08:00"/>
    <n v="4.9749999999999996"/>
    <n v="0.25"/>
    <n v="4"/>
    <x v="0"/>
    <n v="0.5"/>
    <n v="0.25"/>
    <n v="0.25"/>
    <n v="0.47666666666666668"/>
    <n v="0"/>
    <n v="0"/>
    <n v="0"/>
    <n v="4.0266666666666664"/>
    <s v="09.04.2023"/>
    <n v="1"/>
    <e v="#N/A"/>
    <m/>
    <n v="1"/>
  </r>
  <r>
    <x v="29"/>
    <s v="F"/>
    <n v="13"/>
    <n v="10.16"/>
    <d v="1899-12-30T00:45:48"/>
    <d v="1899-12-30T00:45:48"/>
    <d v="1899-12-30T00:45:48"/>
    <m/>
    <d v="1899-12-30T00:04:30"/>
    <n v="2.54"/>
    <n v="5"/>
    <n v="2.75"/>
    <x v="2"/>
    <n v="0.25"/>
    <n v="0.25"/>
    <n v="0.5"/>
    <n v="0"/>
    <n v="0"/>
    <n v="0"/>
    <n v="0"/>
    <n v="3.26"/>
    <s v="09.04.2023"/>
    <n v="1"/>
    <e v="#N/A"/>
    <m/>
    <n v="1"/>
  </r>
  <r>
    <x v="21"/>
    <s v="M"/>
    <n v="13"/>
    <n v="12.18"/>
    <d v="1899-12-30T01:20:38"/>
    <d v="1899-12-30T01:34:50"/>
    <d v="1899-12-30T01:27:44"/>
    <n v="264"/>
    <d v="1899-12-30T00:07:12"/>
    <n v="2.9"/>
    <n v="0.25"/>
    <n v="2.75"/>
    <x v="0"/>
    <n v="0.5"/>
    <n v="0.25"/>
    <n v="0.25"/>
    <n v="0.17599999999999999"/>
    <n v="0"/>
    <n v="0"/>
    <n v="0.4"/>
    <n v="2.7760000000000002"/>
    <s v="09.04.2023"/>
    <n v="1"/>
    <s v="#notSYRious"/>
    <m/>
    <n v="1"/>
  </r>
  <r>
    <x v="74"/>
    <s v="F"/>
    <n v="13"/>
    <n v="23.02"/>
    <d v="1899-12-30T02:27:38"/>
    <d v="1899-12-30T02:59:38"/>
    <d v="1899-12-30T02:43:38"/>
    <m/>
    <d v="1899-12-30T00:07:06"/>
    <n v="5"/>
    <n v="0.75"/>
    <n v="3.25"/>
    <x v="0"/>
    <n v="0.5"/>
    <n v="0.25"/>
    <n v="0.25"/>
    <n v="0"/>
    <n v="0.1"/>
    <n v="0"/>
    <n v="0"/>
    <n v="3.6"/>
    <s v="09.04.2023"/>
    <n v="1"/>
    <s v="UltraHaita lu' Borcan"/>
    <m/>
    <n v="1"/>
  </r>
  <r>
    <x v="68"/>
    <s v="F"/>
    <n v="13"/>
    <n v="10.210000000000001"/>
    <d v="1899-12-30T01:20:19"/>
    <d v="1899-12-30T01:34:27"/>
    <d v="1899-12-30T01:27:23"/>
    <n v="434"/>
    <d v="1899-12-30T00:08:34"/>
    <n v="2.5525000000000002"/>
    <n v="0.25"/>
    <n v="3.5"/>
    <x v="0"/>
    <n v="0.5"/>
    <n v="0.25"/>
    <n v="0.25"/>
    <n v="0.28933333333333333"/>
    <n v="0"/>
    <n v="0"/>
    <n v="0"/>
    <n v="2.5030833333333335"/>
    <s v="09.04.2023"/>
    <n v="1"/>
    <s v="Almost Kenyan Runners"/>
    <m/>
    <n v="1"/>
  </r>
  <r>
    <x v="111"/>
    <s v="F"/>
    <n v="13"/>
    <n v="10.119999999999999"/>
    <d v="1899-12-30T01:26:31"/>
    <d v="1899-12-30T01:36:54"/>
    <d v="1899-12-30T01:31:43"/>
    <n v="425"/>
    <d v="1899-12-30T00:09:04"/>
    <n v="2.5299999999999998"/>
    <n v="0"/>
    <n v="2.5"/>
    <x v="0"/>
    <n v="0.5"/>
    <n v="0.25"/>
    <n v="0.25"/>
    <n v="0.28333333333333333"/>
    <n v="0"/>
    <n v="0"/>
    <n v="0.4"/>
    <n v="2.5733333333333333"/>
    <s v="09.04.2023"/>
    <n v="1"/>
    <e v="#N/A"/>
    <m/>
    <n v="0"/>
  </r>
  <r>
    <x v="80"/>
    <s v="M"/>
    <n v="13"/>
    <n v="22.35"/>
    <d v="1899-12-30T01:58:45"/>
    <d v="1899-12-30T02:12:04"/>
    <d v="1899-12-30T02:05:24"/>
    <n v="71"/>
    <d v="1899-12-30T00:05:37"/>
    <n v="5"/>
    <n v="1.75"/>
    <n v="2.75"/>
    <x v="2"/>
    <n v="0.25"/>
    <n v="0.25"/>
    <n v="0.5"/>
    <n v="4.7333333333333331E-2"/>
    <n v="0"/>
    <n v="0"/>
    <n v="0"/>
    <n v="3.1098333333333334"/>
    <s v="09.04.2023"/>
    <n v="1"/>
    <s v="Almost Kenyan Runners"/>
    <m/>
    <n v="1"/>
  </r>
  <r>
    <x v="105"/>
    <s v="M"/>
    <n v="13"/>
    <n v="10.01"/>
    <d v="1899-12-30T00:43:53"/>
    <d v="1899-12-30T00:43:53"/>
    <d v="1899-12-30T00:43:53"/>
    <m/>
    <d v="1899-12-30T00:04:23"/>
    <n v="2.3833333333333333"/>
    <n v="4"/>
    <n v="0"/>
    <x v="0"/>
    <n v="0.5"/>
    <n v="0.25"/>
    <n v="0.25"/>
    <n v="0"/>
    <n v="0"/>
    <n v="0"/>
    <n v="0"/>
    <n v="2.1916666666666664"/>
    <s v="09.04.2023"/>
    <n v="1"/>
    <s v="The GOATs"/>
    <m/>
    <n v="1"/>
  </r>
  <r>
    <x v="69"/>
    <s v="M"/>
    <n v="13"/>
    <n v="11"/>
    <d v="1899-12-30T00:59:04"/>
    <d v="1899-12-30T00:59:04"/>
    <d v="1899-12-30T00:59:04"/>
    <m/>
    <d v="1899-12-30T00:05:22"/>
    <n v="2.6190476190476191"/>
    <n v="2"/>
    <n v="1"/>
    <x v="2"/>
    <n v="0.25"/>
    <n v="0.25"/>
    <n v="0.5"/>
    <n v="0"/>
    <n v="0"/>
    <n v="0"/>
    <n v="0"/>
    <n v="1.6547619047619047"/>
    <s v="09.04.2023"/>
    <n v="1"/>
    <s v="Almost Kenyan Runners"/>
    <m/>
    <n v="1"/>
  </r>
  <r>
    <x v="48"/>
    <s v="M"/>
    <n v="13"/>
    <n v="17.010000000000002"/>
    <d v="1899-12-30T01:32:02"/>
    <d v="1899-12-30T02:34:00"/>
    <d v="1899-12-30T02:03:01"/>
    <m/>
    <d v="1899-12-30T00:07:14"/>
    <n v="4.05"/>
    <n v="0.25"/>
    <n v="2.5"/>
    <x v="2"/>
    <n v="0.25"/>
    <n v="0.25"/>
    <n v="0.5"/>
    <n v="0"/>
    <n v="0"/>
    <n v="0"/>
    <n v="0"/>
    <n v="2.3250000000000002"/>
    <s v="09.04.2023"/>
    <n v="1"/>
    <s v="UltraHaita lu' Borcan"/>
    <m/>
    <n v="1"/>
  </r>
  <r>
    <x v="40"/>
    <s v="M"/>
    <n v="13"/>
    <n v="19.37"/>
    <d v="1899-12-30T02:24:18"/>
    <d v="1899-12-30T02:30:50"/>
    <d v="1899-12-30T02:27:34"/>
    <n v="718"/>
    <d v="1899-12-30T00:07:37"/>
    <n v="4.6119047619047615"/>
    <n v="0.25"/>
    <n v="2.75"/>
    <x v="2"/>
    <n v="0.25"/>
    <n v="0.25"/>
    <n v="0.5"/>
    <n v="0.47866666666666668"/>
    <n v="0"/>
    <n v="0"/>
    <n v="0"/>
    <n v="3.069142857142857"/>
    <s v="09.04.2023"/>
    <n v="1"/>
    <s v="Almost Kenyan Runners"/>
    <m/>
    <n v="1"/>
  </r>
  <r>
    <x v="72"/>
    <s v="F"/>
    <n v="13"/>
    <n v="10.1"/>
    <d v="1899-12-30T01:29:11"/>
    <d v="1899-12-30T01:30:51"/>
    <d v="1899-12-30T01:30:01"/>
    <n v="523"/>
    <d v="1899-12-30T00:08:55"/>
    <n v="2.5249999999999999"/>
    <n v="0.25"/>
    <n v="3"/>
    <x v="0"/>
    <n v="0.5"/>
    <n v="0.25"/>
    <n v="0.25"/>
    <n v="0.34866666666666668"/>
    <n v="0"/>
    <n v="0"/>
    <n v="0"/>
    <n v="2.4236666666666666"/>
    <s v="09.04.2023"/>
    <n v="1"/>
    <e v="#N/A"/>
    <m/>
    <n v="1"/>
  </r>
  <r>
    <x v="50"/>
    <s v="M"/>
    <n v="13"/>
    <n v="20.010000000000002"/>
    <d v="1899-12-30T02:38:58"/>
    <d v="1899-12-30T02:46:40"/>
    <d v="1899-12-30T02:42:49"/>
    <n v="718"/>
    <d v="1899-12-30T00:08:08"/>
    <n v="4.7642857142857142"/>
    <n v="0"/>
    <n v="4.25"/>
    <x v="1"/>
    <n v="0.25"/>
    <n v="0.5"/>
    <n v="0.25"/>
    <n v="0.47866666666666668"/>
    <n v="0"/>
    <n v="0"/>
    <n v="0"/>
    <n v="2.7322380952380954"/>
    <s v="09.04.2023"/>
    <n v="1"/>
    <s v="The GOATs"/>
    <m/>
    <n v="0"/>
  </r>
  <r>
    <x v="18"/>
    <s v="M"/>
    <n v="13"/>
    <n v="17.989999999999998"/>
    <d v="1899-12-30T02:05:15"/>
    <d v="1899-12-30T03:48:39"/>
    <d v="1899-12-30T02:56:57"/>
    <n v="138"/>
    <d v="1899-12-30T00:09:50"/>
    <n v="4.2833333333333332"/>
    <n v="0"/>
    <n v="3"/>
    <x v="2"/>
    <n v="0.25"/>
    <n v="0.25"/>
    <n v="0.5"/>
    <n v="9.1999999999999998E-2"/>
    <n v="0"/>
    <n v="0"/>
    <n v="0"/>
    <n v="2.6628333333333334"/>
    <s v="09.04.2023"/>
    <n v="1"/>
    <s v="UltraHaita lu' Borcan"/>
    <m/>
    <n v="0"/>
  </r>
  <r>
    <x v="107"/>
    <s v="M"/>
    <n v="13"/>
    <n v="13.14"/>
    <d v="1899-12-30T01:12:11"/>
    <d v="1899-12-30T01:14:05"/>
    <d v="1899-12-30T01:13:08"/>
    <n v="67"/>
    <d v="1899-12-30T00:05:34"/>
    <n v="3.1285714285714286"/>
    <n v="1.75"/>
    <n v="4"/>
    <x v="0"/>
    <n v="0.5"/>
    <n v="0.25"/>
    <n v="0.25"/>
    <n v="4.4666666666666667E-2"/>
    <n v="0"/>
    <n v="0"/>
    <n v="0"/>
    <n v="3.0464523809523807"/>
    <s v="09.04.2023"/>
    <n v="1"/>
    <s v="The GOATs"/>
    <m/>
    <n v="1"/>
  </r>
  <r>
    <x v="103"/>
    <s v="M"/>
    <n v="13"/>
    <n v="14.19"/>
    <d v="1899-12-30T01:26:57"/>
    <d v="1899-12-30T01:27:00"/>
    <d v="1899-12-30T01:26:59"/>
    <m/>
    <d v="1899-12-30T00:06:08"/>
    <n v="3.3785714285714281"/>
    <n v="1.25"/>
    <n v="2"/>
    <x v="0"/>
    <n v="0.5"/>
    <n v="0.25"/>
    <n v="0.25"/>
    <n v="0"/>
    <n v="0"/>
    <n v="0"/>
    <n v="0"/>
    <n v="2.5017857142857141"/>
    <s v="09.04.2023"/>
    <n v="1"/>
    <e v="#N/A"/>
    <m/>
    <n v="1"/>
  </r>
  <r>
    <x v="116"/>
    <s v="M"/>
    <n v="13"/>
    <n v="11.46"/>
    <d v="1899-12-30T01:09:47"/>
    <d v="1899-12-30T01:12:16"/>
    <d v="1899-12-30T01:11:02"/>
    <m/>
    <d v="1899-12-30T00:06:12"/>
    <n v="2.7285714285714286"/>
    <n v="1.25"/>
    <n v="2"/>
    <x v="0"/>
    <n v="0.5"/>
    <n v="0.25"/>
    <n v="0.25"/>
    <n v="0"/>
    <n v="0"/>
    <n v="0"/>
    <n v="0"/>
    <n v="2.1767857142857143"/>
    <s v="09.04.2023"/>
    <n v="1"/>
    <e v="#N/A"/>
    <m/>
    <n v="1"/>
  </r>
  <r>
    <x v="117"/>
    <s v="M"/>
    <n v="13"/>
    <n v="25.51"/>
    <d v="1899-12-30T02:07:56"/>
    <d v="1899-12-30T02:10:17"/>
    <d v="1899-12-30T02:09:07"/>
    <n v="742"/>
    <d v="1899-12-30T00:05:04"/>
    <n v="5"/>
    <n v="2.5"/>
    <n v="1.5"/>
    <x v="0"/>
    <n v="0.5"/>
    <n v="0.25"/>
    <n v="0.25"/>
    <n v="0.49466666666666664"/>
    <n v="0.2"/>
    <n v="0"/>
    <n v="0"/>
    <n v="4.1946666666666665"/>
    <s v="09.04.2023"/>
    <n v="1"/>
    <e v="#N/A"/>
    <m/>
    <n v="1"/>
  </r>
  <r>
    <x v="37"/>
    <s v="M"/>
    <n v="13"/>
    <n v="6"/>
    <d v="1899-12-30T00:32:00"/>
    <d v="1899-12-30T00:39:11"/>
    <d v="1899-12-30T00:35:35"/>
    <m/>
    <d v="1899-12-30T00:05:56"/>
    <n v="1.4285714285714286"/>
    <n v="1.5"/>
    <n v="3"/>
    <x v="1"/>
    <n v="0.25"/>
    <n v="0.5"/>
    <n v="0.25"/>
    <n v="0"/>
    <n v="0"/>
    <n v="0"/>
    <n v="0"/>
    <n v="1.8571428571428572"/>
    <s v="09.04.2023"/>
    <n v="1"/>
    <e v="#N/A"/>
    <m/>
    <n v="1"/>
  </r>
  <r>
    <x v="3"/>
    <s v="M"/>
    <n v="13"/>
    <n v="43.16"/>
    <d v="1899-12-30T06:45:53"/>
    <d v="1899-12-30T07:35:05"/>
    <d v="1899-12-30T07:10:29"/>
    <n v="1550"/>
    <d v="1899-12-30T00:09:58"/>
    <n v="5"/>
    <n v="0"/>
    <n v="3"/>
    <x v="1"/>
    <n v="0.25"/>
    <n v="0.5"/>
    <n v="0.25"/>
    <n v="1.0333333333333334"/>
    <n v="1.1000000000000001"/>
    <n v="0"/>
    <n v="0.4"/>
    <n v="4.5333333333333332"/>
    <s v="09.04.2023"/>
    <n v="1"/>
    <s v="MedgidiaRunning"/>
    <m/>
    <n v="0"/>
  </r>
  <r>
    <x v="11"/>
    <s v="M"/>
    <n v="13"/>
    <n v="25.13"/>
    <d v="1899-12-30T02:13:17"/>
    <d v="1899-12-30T02:13:32"/>
    <d v="1899-12-30T02:13:24"/>
    <n v="774"/>
    <d v="1899-12-30T00:05:19"/>
    <n v="5"/>
    <n v="2"/>
    <n v="2"/>
    <x v="0"/>
    <n v="0.5"/>
    <n v="0.25"/>
    <n v="0.25"/>
    <n v="0.51600000000000001"/>
    <n v="0.2"/>
    <n v="0"/>
    <n v="0.4"/>
    <n v="4.6160000000000005"/>
    <s v="09.04.2023"/>
    <n v="1"/>
    <e v="#N/A"/>
    <m/>
    <n v="1"/>
  </r>
  <r>
    <x v="57"/>
    <s v="M"/>
    <n v="13"/>
    <n v="10.01"/>
    <d v="1899-12-30T00:48:28"/>
    <d v="1899-12-30T00:48:28"/>
    <d v="1899-12-30T00:48:28"/>
    <m/>
    <d v="1899-12-30T00:04:51"/>
    <n v="2.3833333333333333"/>
    <n v="3"/>
    <n v="3.25"/>
    <x v="2"/>
    <n v="0.25"/>
    <n v="0.25"/>
    <n v="0.5"/>
    <n v="0"/>
    <n v="0"/>
    <n v="0"/>
    <n v="0"/>
    <n v="2.9708333333333332"/>
    <s v="09.04.2023"/>
    <n v="1"/>
    <s v="The GOATs"/>
    <m/>
    <n v="1"/>
  </r>
  <r>
    <x v="9"/>
    <s v="M"/>
    <n v="13"/>
    <n v="42.39"/>
    <d v="1899-12-30T03:20:57"/>
    <d v="1899-12-30T03:22:01"/>
    <d v="1899-12-30T03:21:29"/>
    <n v="60"/>
    <d v="1899-12-30T00:04:45"/>
    <n v="5"/>
    <n v="3.5"/>
    <n v="2.75"/>
    <x v="2"/>
    <n v="0.25"/>
    <n v="0.25"/>
    <n v="0.5"/>
    <n v="0.04"/>
    <n v="1"/>
    <n v="0"/>
    <n v="0"/>
    <n v="4.54"/>
    <s v="09.04.2023"/>
    <n v="1"/>
    <s v="The GOATs"/>
    <m/>
    <n v="1"/>
  </r>
  <r>
    <x v="17"/>
    <s v="M"/>
    <n v="13"/>
    <n v="10.06"/>
    <d v="1899-12-30T00:52:45"/>
    <d v="1899-12-30T00:54:56"/>
    <d v="1899-12-30T00:53:51"/>
    <m/>
    <d v="1899-12-30T00:05:21"/>
    <n v="2.3952380952380952"/>
    <n v="2"/>
    <n v="2.75"/>
    <x v="2"/>
    <n v="0.25"/>
    <n v="0.25"/>
    <n v="0.5"/>
    <n v="0"/>
    <n v="0"/>
    <n v="0"/>
    <n v="0"/>
    <n v="2.4738095238095239"/>
    <s v="09.04.2023"/>
    <n v="1"/>
    <e v="#N/A"/>
    <m/>
    <n v="1"/>
  </r>
  <r>
    <x v="67"/>
    <s v="M"/>
    <n v="13"/>
    <n v="3.02"/>
    <d v="1899-12-30T00:12:31"/>
    <d v="1899-12-30T00:12:34"/>
    <d v="1899-12-30T00:12:33"/>
    <m/>
    <d v="1899-12-30T00:04:09"/>
    <n v="0.71904761904761905"/>
    <n v="4.5"/>
    <n v="1.5"/>
    <x v="1"/>
    <n v="0.25"/>
    <n v="0.5"/>
    <n v="0.25"/>
    <n v="0"/>
    <n v="0"/>
    <n v="0"/>
    <n v="0"/>
    <n v="2.8047619047619046"/>
    <s v="09.04.2023"/>
    <n v="1"/>
    <s v="Almost Kenyan Runners"/>
    <m/>
    <n v="1"/>
  </r>
  <r>
    <x v="101"/>
    <s v="M"/>
    <n v="13"/>
    <n v="12.18"/>
    <d v="1899-12-30T01:49:34"/>
    <d v="1899-12-30T02:02:12"/>
    <d v="1899-12-30T01:55:53"/>
    <n v="556"/>
    <d v="1899-12-30T00:09:31"/>
    <n v="2.9"/>
    <n v="0"/>
    <n v="1.5"/>
    <x v="0"/>
    <n v="0.5"/>
    <n v="0.25"/>
    <n v="0.25"/>
    <n v="0.37066666666666664"/>
    <n v="0"/>
    <n v="0"/>
    <n v="0"/>
    <n v="2.1956666666666664"/>
    <s v="09.04.2023"/>
    <n v="1"/>
    <e v="#N/A"/>
    <m/>
    <n v="0"/>
  </r>
  <r>
    <x v="83"/>
    <s v="M"/>
    <n v="13"/>
    <n v="6"/>
    <d v="1899-12-30T00:28:03"/>
    <d v="1899-12-30T00:28:03"/>
    <d v="1899-12-30T00:28:03"/>
    <m/>
    <d v="1899-12-30T00:04:41"/>
    <n v="1.4285714285714286"/>
    <n v="3.5"/>
    <n v="2.25"/>
    <x v="2"/>
    <n v="0.25"/>
    <n v="0.25"/>
    <n v="0.5"/>
    <n v="0"/>
    <n v="0"/>
    <n v="0"/>
    <n v="0"/>
    <n v="2.3571428571428572"/>
    <s v="09.04.2023"/>
    <n v="1"/>
    <e v="#N/A"/>
    <m/>
    <n v="1"/>
  </r>
  <r>
    <x v="99"/>
    <s v="F"/>
    <n v="13"/>
    <n v="12.47"/>
    <d v="1899-12-30T01:18:15"/>
    <d v="1899-12-30T01:36:14"/>
    <d v="1899-12-30T01:27:15"/>
    <n v="497"/>
    <d v="1899-12-30T00:07:00"/>
    <n v="3.1175000000000002"/>
    <n v="1"/>
    <n v="3.25"/>
    <x v="0"/>
    <n v="0.5"/>
    <n v="0.25"/>
    <n v="0.25"/>
    <n v="0.33133333333333331"/>
    <n v="0"/>
    <n v="0"/>
    <n v="0"/>
    <n v="2.9525833333333331"/>
    <s v="09.04.2023"/>
    <n v="1"/>
    <s v="#notSYRious"/>
    <m/>
    <n v="1"/>
  </r>
  <r>
    <x v="47"/>
    <s v="M"/>
    <n v="13"/>
    <n v="7.06"/>
    <d v="1899-12-30T00:36:33"/>
    <d v="1899-12-30T00:42:37"/>
    <d v="1899-12-30T00:39:35"/>
    <m/>
    <d v="1899-12-30T00:05:36"/>
    <n v="1.6809523809523808"/>
    <n v="1.75"/>
    <n v="2"/>
    <x v="2"/>
    <n v="0.25"/>
    <n v="0.25"/>
    <n v="0.5"/>
    <n v="0"/>
    <n v="0"/>
    <n v="0"/>
    <n v="0"/>
    <n v="1.8577380952380951"/>
    <s v="09.04.2023"/>
    <n v="1"/>
    <e v="#N/A"/>
    <m/>
    <n v="1"/>
  </r>
  <r>
    <x v="42"/>
    <s v="M"/>
    <n v="13"/>
    <n v="15.16"/>
    <d v="1899-12-30T01:14:57"/>
    <d v="1899-12-30T01:15:31"/>
    <d v="1899-12-30T01:15:14"/>
    <m/>
    <d v="1899-12-30T00:04:58"/>
    <n v="3.6095238095238096"/>
    <n v="3"/>
    <n v="3.5"/>
    <x v="2"/>
    <n v="0.25"/>
    <n v="0.25"/>
    <n v="0.5"/>
    <n v="0"/>
    <n v="0"/>
    <n v="0"/>
    <n v="0"/>
    <n v="3.4023809523809523"/>
    <s v="09.04.2023"/>
    <n v="1"/>
    <s v="The GOATs"/>
    <m/>
    <n v="1"/>
  </r>
  <r>
    <x v="86"/>
    <s v="F"/>
    <n v="13"/>
    <n v="16.690000000000001"/>
    <d v="1899-12-30T01:40:40"/>
    <d v="1899-12-30T01:42:55"/>
    <d v="1899-12-30T01:41:47"/>
    <m/>
    <d v="1899-12-30T00:06:06"/>
    <n v="4.1725000000000003"/>
    <n v="1.75"/>
    <n v="4"/>
    <x v="2"/>
    <n v="0.25"/>
    <n v="0.25"/>
    <n v="0.5"/>
    <n v="0"/>
    <n v="0"/>
    <n v="0"/>
    <n v="0"/>
    <n v="3.4806249999999999"/>
    <s v="10.04.2023"/>
    <n v="1"/>
    <s v="Almost Kenyan Runners"/>
    <m/>
    <n v="1"/>
  </r>
  <r>
    <x v="23"/>
    <s v="M"/>
    <n v="13"/>
    <n v="5.15"/>
    <d v="1899-12-30T00:21:12"/>
    <d v="1899-12-30T00:21:12"/>
    <d v="1899-12-30T00:21:12"/>
    <m/>
    <d v="1899-12-30T00:04:07"/>
    <n v="1.2261904761904763"/>
    <n v="4.5"/>
    <n v="3.25"/>
    <x v="1"/>
    <n v="0.25"/>
    <n v="0.5"/>
    <n v="0.25"/>
    <n v="0"/>
    <n v="0"/>
    <n v="0"/>
    <n v="0"/>
    <n v="3.3690476190476191"/>
    <s v="10.04.2023"/>
    <n v="1"/>
    <s v="Almost Kenyan Runners"/>
    <m/>
    <n v="1"/>
  </r>
  <r>
    <x v="85"/>
    <s v="M"/>
    <n v="13"/>
    <n v="19.690000000000001"/>
    <d v="1899-12-30T01:52:13"/>
    <d v="1899-12-30T01:53:48"/>
    <d v="1899-12-30T01:53:00"/>
    <n v="674"/>
    <d v="1899-12-30T00:05:44"/>
    <n v="4.6880952380952383"/>
    <n v="1.75"/>
    <n v="4"/>
    <x v="1"/>
    <n v="0.25"/>
    <n v="0.5"/>
    <n v="0.25"/>
    <n v="0.44933333333333331"/>
    <n v="0"/>
    <n v="0"/>
    <n v="0"/>
    <n v="3.4963571428571427"/>
    <s v="10.04.2023"/>
    <n v="1"/>
    <s v="The GOATs"/>
    <m/>
    <n v="1"/>
  </r>
  <r>
    <x v="75"/>
    <s v="F"/>
    <n v="13"/>
    <n v="19.93"/>
    <d v="1899-12-30T02:33:15"/>
    <d v="1899-12-30T02:42:41"/>
    <d v="1899-12-30T02:37:58"/>
    <n v="686"/>
    <d v="1899-12-30T00:07:56"/>
    <n v="4.9824999999999999"/>
    <n v="0.25"/>
    <n v="3.5"/>
    <x v="0"/>
    <n v="0.5"/>
    <n v="0.25"/>
    <n v="0.25"/>
    <n v="0.45733333333333331"/>
    <n v="0"/>
    <n v="0"/>
    <n v="0"/>
    <n v="3.8860833333333331"/>
    <s v="10.04.2023"/>
    <n v="1"/>
    <s v="#notSYRious"/>
    <m/>
    <n v="1"/>
  </r>
  <r>
    <x v="49"/>
    <s v="M"/>
    <n v="13"/>
    <n v="2.67"/>
    <d v="1899-12-30T00:13:21"/>
    <d v="1899-12-30T00:13:49"/>
    <d v="1899-12-30T00:13:35"/>
    <m/>
    <d v="1899-12-30T00:05:05"/>
    <n v="0"/>
    <n v="0"/>
    <n v="1.25"/>
    <x v="1"/>
    <n v="0.25"/>
    <n v="0.5"/>
    <n v="0.25"/>
    <n v="0"/>
    <n v="0"/>
    <n v="0"/>
    <n v="0"/>
    <n v="0.3125"/>
    <s v="10.04.2023"/>
    <n v="1"/>
    <s v="The GOATs"/>
    <m/>
    <n v="0"/>
  </r>
  <r>
    <x v="36"/>
    <s v="M"/>
    <n v="13"/>
    <n v="22.61"/>
    <d v="1899-12-30T02:51:49"/>
    <d v="1899-12-30T02:57:03"/>
    <d v="1899-12-30T02:54:26"/>
    <n v="732"/>
    <d v="1899-12-30T00:07:43"/>
    <n v="5"/>
    <n v="0.25"/>
    <n v="3.5"/>
    <x v="2"/>
    <n v="0.25"/>
    <n v="0.25"/>
    <n v="0.5"/>
    <n v="0.48799999999999999"/>
    <n v="0"/>
    <n v="0"/>
    <n v="0"/>
    <n v="3.5505"/>
    <s v="10.04.2023"/>
    <n v="1"/>
    <s v="MedgidiaRunning"/>
    <m/>
    <n v="1"/>
  </r>
  <r>
    <x v="39"/>
    <s v="M"/>
    <n v="13"/>
    <n v="19.78"/>
    <d v="1899-12-30T02:22:38"/>
    <d v="1899-12-30T02:22:50"/>
    <d v="1899-12-30T02:22:44"/>
    <n v="685"/>
    <d v="1899-12-30T00:07:13"/>
    <n v="4.7095238095238097"/>
    <n v="0.25"/>
    <n v="3"/>
    <x v="2"/>
    <n v="0.25"/>
    <n v="0.25"/>
    <n v="0.5"/>
    <n v="0.45666666666666667"/>
    <n v="0"/>
    <n v="0"/>
    <n v="0"/>
    <n v="3.1965476190476187"/>
    <s v="10.04.2023"/>
    <n v="1"/>
    <s v="#notSYRious"/>
    <m/>
    <n v="1"/>
  </r>
  <r>
    <x v="2"/>
    <s v="F"/>
    <n v="13"/>
    <n v="22.62"/>
    <d v="1899-12-30T02:57:04"/>
    <d v="1899-12-30T03:02:50"/>
    <d v="1899-12-30T02:59:57"/>
    <n v="722"/>
    <d v="1899-12-30T00:07:57"/>
    <n v="5"/>
    <n v="0.25"/>
    <n v="4.25"/>
    <x v="2"/>
    <n v="0.25"/>
    <n v="0.25"/>
    <n v="0.5"/>
    <n v="0.48133333333333334"/>
    <n v="0"/>
    <n v="0"/>
    <n v="0"/>
    <n v="3.9188333333333332"/>
    <s v="10.04.2023"/>
    <n v="1"/>
    <s v="MedgidiaRunning"/>
    <m/>
    <n v="1"/>
  </r>
  <r>
    <x v="78"/>
    <s v="M"/>
    <n v="13"/>
    <n v="34.549999999999997"/>
    <d v="1899-12-30T07:34:14"/>
    <d v="1899-12-30T08:28:10"/>
    <d v="1899-12-30T08:01:12"/>
    <n v="1996"/>
    <d v="1899-12-30T00:13:56"/>
    <n v="5"/>
    <n v="0"/>
    <n v="3.25"/>
    <x v="0"/>
    <n v="0.5"/>
    <n v="0.25"/>
    <n v="0.25"/>
    <n v="1.3306666666666667"/>
    <n v="0.6"/>
    <n v="0"/>
    <n v="0.4"/>
    <n v="5.6431666666666667"/>
    <s v="10.04.2023"/>
    <n v="1"/>
    <s v="Almost Kenyan Runners"/>
    <m/>
    <n v="0"/>
  </r>
  <r>
    <x v="64"/>
    <s v="M"/>
    <n v="13"/>
    <n v="19.89"/>
    <d v="1899-12-30T02:01:35"/>
    <d v="1899-12-30T02:03:19"/>
    <d v="1899-12-30T02:02:27"/>
    <n v="713"/>
    <d v="1899-12-30T00:06:09"/>
    <n v="4.7357142857142858"/>
    <n v="1.25"/>
    <n v="3.75"/>
    <x v="2"/>
    <n v="0.25"/>
    <n v="0.25"/>
    <n v="0.5"/>
    <n v="0.47533333333333333"/>
    <n v="0"/>
    <n v="0"/>
    <n v="0"/>
    <n v="3.8467619047619048"/>
    <s v="10.04.2023"/>
    <n v="1"/>
    <s v="The GOATs"/>
    <m/>
    <n v="1"/>
  </r>
  <r>
    <x v="87"/>
    <s v="M"/>
    <n v="13"/>
    <n v="19.489999999999998"/>
    <d v="1899-12-30T01:28:38"/>
    <d v="1899-12-30T01:28:54"/>
    <d v="1899-12-30T01:28:46"/>
    <n v="720"/>
    <d v="1899-12-30T00:04:33"/>
    <n v="4.64047619047619"/>
    <n v="3.5"/>
    <n v="1.5"/>
    <x v="1"/>
    <n v="0.25"/>
    <n v="0.5"/>
    <n v="0.25"/>
    <n v="0.48"/>
    <n v="0"/>
    <n v="0"/>
    <n v="0"/>
    <n v="3.7651190476190473"/>
    <s v="10.04.2023"/>
    <n v="1"/>
    <e v="#N/A"/>
    <m/>
    <n v="1"/>
  </r>
  <r>
    <x v="30"/>
    <s v="M"/>
    <n v="13"/>
    <n v="25.44"/>
    <d v="1899-12-30T02:15:07"/>
    <d v="1899-12-30T02:18:16"/>
    <d v="1899-12-30T02:16:41"/>
    <n v="636"/>
    <d v="1899-12-30T00:05:22"/>
    <n v="5"/>
    <n v="2"/>
    <n v="3.25"/>
    <x v="0"/>
    <n v="0.5"/>
    <n v="0.25"/>
    <n v="0.25"/>
    <n v="0.42399999999999999"/>
    <n v="0.2"/>
    <n v="0"/>
    <n v="0"/>
    <n v="4.4365000000000006"/>
    <s v="10.04.2023"/>
    <n v="1"/>
    <s v="The GOATs"/>
    <m/>
    <n v="1"/>
  </r>
  <r>
    <x v="59"/>
    <s v="M"/>
    <n v="13"/>
    <n v="41.46"/>
    <d v="1899-12-30T07:13:24"/>
    <d v="1899-12-30T07:36:08"/>
    <d v="1899-12-30T07:24:46"/>
    <n v="1802"/>
    <d v="1899-12-30T00:10:44"/>
    <n v="5"/>
    <n v="0"/>
    <n v="2.5"/>
    <x v="2"/>
    <n v="0.25"/>
    <n v="0.25"/>
    <n v="0.5"/>
    <n v="1.2013333333333334"/>
    <n v="1"/>
    <n v="0"/>
    <n v="0"/>
    <n v="4.7013333333333334"/>
    <s v="10.04.2023"/>
    <n v="1"/>
    <s v="UltraHaita lu' Borcan"/>
    <m/>
    <n v="0"/>
  </r>
  <r>
    <x v="114"/>
    <s v="M"/>
    <n v="13"/>
    <n v="29.98"/>
    <d v="1899-12-30T03:07:40"/>
    <d v="1899-12-30T03:11:24"/>
    <d v="1899-12-30T03:09:32"/>
    <m/>
    <d v="1899-12-30T00:06:19"/>
    <n v="5"/>
    <n v="1"/>
    <n v="1"/>
    <x v="0"/>
    <n v="0.5"/>
    <n v="0.25"/>
    <n v="0.25"/>
    <n v="0"/>
    <n v="0.4"/>
    <n v="0"/>
    <n v="0"/>
    <n v="3.4"/>
    <s v="10.04.2023"/>
    <n v="1"/>
    <e v="#N/A"/>
    <m/>
    <n v="1"/>
  </r>
  <r>
    <x v="118"/>
    <s v="M"/>
    <n v="13"/>
    <n v="0.83819444444444446"/>
    <d v="1899-12-30T02:32:28"/>
    <d v="1899-12-30T02:32:28"/>
    <d v="1899-12-30T02:32:28"/>
    <n v="686"/>
    <d v="1899-12-30T03:01:54"/>
    <n v="0"/>
    <n v="0"/>
    <n v="0.25"/>
    <x v="0"/>
    <n v="0.5"/>
    <n v="0.25"/>
    <n v="0.25"/>
    <n v="0.45733333333333331"/>
    <n v="0"/>
    <n v="0"/>
    <n v="0"/>
    <n v="0.51983333333333337"/>
    <s v="10.04.2023"/>
    <n v="1"/>
    <e v="#N/A"/>
    <s v="da"/>
    <n v="0"/>
  </r>
  <r>
    <x v="91"/>
    <s v="M"/>
    <n v="13"/>
    <n v="1.778472222222222"/>
    <d v="1899-12-30T07:12:31"/>
    <d v="1899-12-30T07:53:31"/>
    <d v="1899-12-30T07:33:01"/>
    <n v="1557"/>
    <d v="1899-12-30T04:14:43"/>
    <n v="0"/>
    <n v="0"/>
    <n v="4.25"/>
    <x v="2"/>
    <n v="0.25"/>
    <n v="0.25"/>
    <n v="0.5"/>
    <n v="1.038"/>
    <n v="0"/>
    <n v="0"/>
    <n v="0"/>
    <n v="3.1630000000000003"/>
    <s v="10.04.2023"/>
    <n v="1"/>
    <s v="#notSYRious"/>
    <s v="da"/>
    <n v="0"/>
  </r>
  <r>
    <x v="46"/>
    <s v="M"/>
    <n v="13"/>
    <n v="14.12"/>
    <d v="1899-12-30T01:42:02"/>
    <d v="1899-12-30T01:46:20"/>
    <d v="1899-12-30T01:44:11"/>
    <n v="246"/>
    <d v="1899-12-30T00:07:23"/>
    <n v="3.3619047619047615"/>
    <n v="0.25"/>
    <n v="1"/>
    <x v="1"/>
    <n v="0.25"/>
    <n v="0.5"/>
    <n v="0.25"/>
    <n v="0.16400000000000001"/>
    <n v="0"/>
    <n v="0"/>
    <n v="0"/>
    <n v="1.3794761904761903"/>
    <s v="10.04.2023"/>
    <n v="1"/>
    <s v="#notSYRious"/>
    <s v="da"/>
    <n v="1"/>
  </r>
  <r>
    <x v="43"/>
    <s v="M"/>
    <n v="13"/>
    <n v="8.7100000000000009"/>
    <d v="1899-12-30T00:39:26"/>
    <d v="1899-12-30T00:39:44"/>
    <d v="1899-12-30T00:39:35"/>
    <m/>
    <d v="1899-12-30T00:04:33"/>
    <n v="2.073809523809524"/>
    <n v="3.5"/>
    <n v="0.75"/>
    <x v="1"/>
    <n v="0.25"/>
    <n v="0.5"/>
    <n v="0.25"/>
    <n v="0"/>
    <n v="0"/>
    <n v="0"/>
    <n v="0"/>
    <n v="2.4559523809523811"/>
    <s v="10.04.2023"/>
    <n v="1"/>
    <s v="Almost Kenyan Runners"/>
    <s v="da"/>
    <n v="1"/>
  </r>
  <r>
    <x v="41"/>
    <s v="M"/>
    <n v="14"/>
    <n v="50.05"/>
    <d v="1899-12-30T04:20:50"/>
    <d v="1899-12-30T04:52:57"/>
    <d v="1899-12-30T04:36:54"/>
    <n v="317"/>
    <d v="1899-12-30T00:05:32"/>
    <n v="5"/>
    <n v="1.75"/>
    <n v="3"/>
    <x v="1"/>
    <n v="0.25"/>
    <n v="0.5"/>
    <n v="0.25"/>
    <n v="0.21133333333333335"/>
    <n v="1.4"/>
    <n v="0"/>
    <n v="0"/>
    <n v="4.4863333333333326"/>
    <s v="12.04.2023"/>
    <n v="1"/>
    <s v="UltraHaita lu' Borcan"/>
    <m/>
    <n v="1"/>
  </r>
  <r>
    <x v="52"/>
    <s v="M"/>
    <n v="14"/>
    <n v="14.7"/>
    <d v="1899-12-30T01:12:31"/>
    <d v="1899-12-30T01:22:57"/>
    <d v="1899-12-30T01:17:44"/>
    <n v="161"/>
    <d v="1899-12-30T00:05:17"/>
    <n v="3.4999999999999996"/>
    <n v="2"/>
    <n v="2"/>
    <x v="0"/>
    <n v="0.5"/>
    <n v="0.25"/>
    <n v="0.25"/>
    <n v="0.10733333333333334"/>
    <n v="0"/>
    <n v="0"/>
    <n v="0"/>
    <n v="2.8573333333333335"/>
    <s v="15.04.2023"/>
    <n v="1"/>
    <e v="#N/A"/>
    <m/>
    <n v="1"/>
  </r>
  <r>
    <x v="22"/>
    <s v="F"/>
    <n v="14"/>
    <n v="5.08"/>
    <d v="1899-12-30T00:31:35"/>
    <d v="1899-12-30T00:31:36"/>
    <d v="1899-12-30T00:31:35"/>
    <m/>
    <d v="1899-12-30T00:06:13"/>
    <n v="1.27"/>
    <n v="1.75"/>
    <n v="4"/>
    <x v="1"/>
    <n v="0.25"/>
    <n v="0.5"/>
    <n v="0.25"/>
    <n v="0"/>
    <n v="0"/>
    <n v="0"/>
    <n v="0"/>
    <n v="2.1924999999999999"/>
    <s v="11.04.2023"/>
    <n v="1"/>
    <s v="MedgidiaRunning"/>
    <m/>
    <n v="1"/>
  </r>
  <r>
    <x v="67"/>
    <s v="M"/>
    <n v="14"/>
    <n v="3"/>
    <d v="1899-12-30T00:12:43"/>
    <d v="1899-12-30T00:12:43"/>
    <d v="1899-12-30T00:12:43"/>
    <n v="20"/>
    <d v="1899-12-30T00:04:14"/>
    <n v="0.7142857142857143"/>
    <n v="4.5"/>
    <n v="0.25"/>
    <x v="1"/>
    <n v="0.25"/>
    <n v="0.5"/>
    <n v="0.25"/>
    <n v="0"/>
    <n v="0"/>
    <n v="0"/>
    <n v="0"/>
    <n v="2.4910714285714284"/>
    <s v="13.04.2023"/>
    <n v="1"/>
    <s v="Almost Kenyan Runners"/>
    <m/>
    <n v="1"/>
  </r>
  <r>
    <x v="99"/>
    <s v="F"/>
    <n v="14"/>
    <n v="10.02"/>
    <d v="1899-12-30T01:28:14"/>
    <d v="1899-12-30T02:10:41"/>
    <d v="1899-12-30T01:49:27"/>
    <n v="394"/>
    <d v="1899-12-30T00:10:55"/>
    <n v="2.5049999999999999"/>
    <n v="0"/>
    <n v="4.5"/>
    <x v="2"/>
    <n v="0.25"/>
    <n v="0.25"/>
    <n v="0.5"/>
    <n v="0.26266666666666666"/>
    <n v="0"/>
    <n v="0"/>
    <n v="0"/>
    <n v="3.1389166666666664"/>
    <s v="13.04.2023"/>
    <n v="1"/>
    <s v="#notSYRious"/>
    <m/>
    <n v="0"/>
  </r>
  <r>
    <x v="83"/>
    <s v="M"/>
    <n v="14"/>
    <n v="24.13"/>
    <d v="1899-12-30T02:55:00"/>
    <d v="1899-12-30T02:58:31"/>
    <d v="1899-12-30T02:56:45"/>
    <n v="1016"/>
    <d v="1899-12-30T00:07:20"/>
    <n v="5"/>
    <n v="0.25"/>
    <n v="0"/>
    <x v="1"/>
    <n v="0.25"/>
    <n v="0.5"/>
    <n v="0.25"/>
    <n v="0.67733333333333334"/>
    <n v="0.1"/>
    <n v="0"/>
    <n v="0"/>
    <n v="2.1523333333333334"/>
    <s v="15.04.2023"/>
    <n v="1"/>
    <e v="#N/A"/>
    <m/>
    <n v="1"/>
  </r>
  <r>
    <x v="106"/>
    <s v="F"/>
    <n v="14"/>
    <n v="7.46"/>
    <d v="1899-12-30T00:55:05"/>
    <d v="1899-12-30T00:55:05"/>
    <d v="1899-12-30T00:55:05"/>
    <m/>
    <d v="1899-12-30T00:07:23"/>
    <n v="1.865"/>
    <n v="0.5"/>
    <n v="3"/>
    <x v="2"/>
    <n v="0.25"/>
    <n v="0.25"/>
    <n v="0.5"/>
    <n v="0"/>
    <n v="0"/>
    <n v="0"/>
    <n v="0"/>
    <n v="2.0912500000000001"/>
    <s v="10.04.2023"/>
    <n v="1"/>
    <s v="MedgidiaRunning"/>
    <m/>
    <n v="1"/>
  </r>
  <r>
    <x v="77"/>
    <s v="F"/>
    <n v="14"/>
    <n v="10.34"/>
    <d v="1899-12-30T00:59:30"/>
    <d v="1899-12-30T00:59:37"/>
    <d v="1899-12-30T00:59:34"/>
    <m/>
    <d v="1899-12-30T00:05:46"/>
    <n v="2.585"/>
    <n v="2.5"/>
    <n v="4"/>
    <x v="2"/>
    <n v="0.25"/>
    <n v="0.25"/>
    <n v="0.5"/>
    <n v="0"/>
    <n v="0"/>
    <n v="0"/>
    <n v="0"/>
    <n v="3.2712500000000002"/>
    <s v="11.04.2023"/>
    <n v="1"/>
    <s v="The GOATs"/>
    <m/>
    <n v="1"/>
  </r>
  <r>
    <x v="98"/>
    <s v="F"/>
    <n v="14"/>
    <n v="10"/>
    <d v="1899-12-30T00:52:49"/>
    <d v="1899-12-30T00:53:53"/>
    <d v="1899-12-30T00:53:21"/>
    <m/>
    <d v="1899-12-30T00:05:20"/>
    <n v="2.5"/>
    <n v="3"/>
    <n v="0"/>
    <x v="1"/>
    <n v="0.25"/>
    <n v="0.5"/>
    <n v="0.25"/>
    <n v="0"/>
    <n v="0"/>
    <n v="0"/>
    <n v="0"/>
    <n v="2.125"/>
    <s v="10.04.2023"/>
    <n v="1"/>
    <s v="#notSYRious"/>
    <m/>
    <n v="1"/>
  </r>
  <r>
    <x v="16"/>
    <s v="F"/>
    <n v="14"/>
    <n v="10.02"/>
    <d v="1899-12-30T00:53:11"/>
    <d v="1899-12-30T00:53:11"/>
    <d v="1899-12-30T00:53:11"/>
    <m/>
    <d v="1899-12-30T00:05:18"/>
    <n v="2.5049999999999999"/>
    <n v="3"/>
    <n v="0.25"/>
    <x v="0"/>
    <n v="0.5"/>
    <n v="0.25"/>
    <n v="0.25"/>
    <n v="0"/>
    <n v="0"/>
    <n v="0"/>
    <n v="0"/>
    <n v="2.0649999999999999"/>
    <s v="16.04.2023"/>
    <n v="1"/>
    <s v="MedgidiaRunning"/>
    <m/>
    <n v="1"/>
  </r>
  <r>
    <x v="37"/>
    <s v="M"/>
    <n v="14"/>
    <n v="7.77"/>
    <d v="1899-12-30T00:47:55"/>
    <d v="1899-12-30T00:47:55"/>
    <d v="1899-12-30T00:47:55"/>
    <n v="294"/>
    <d v="1899-12-30T00:06:10"/>
    <n v="1.8499999999999999"/>
    <n v="1.25"/>
    <n v="3"/>
    <x v="2"/>
    <n v="0.25"/>
    <n v="0.25"/>
    <n v="0.5"/>
    <n v="0.19600000000000001"/>
    <n v="0"/>
    <n v="0"/>
    <n v="0"/>
    <n v="2.4710000000000001"/>
    <s v="11.04.2023"/>
    <n v="1"/>
    <e v="#N/A"/>
    <m/>
    <n v="1"/>
  </r>
  <r>
    <x v="32"/>
    <s v="M"/>
    <n v="14"/>
    <n v="21.51"/>
    <d v="1899-12-30T01:45:54"/>
    <d v="1899-12-30T01:45:54"/>
    <d v="1899-12-30T01:45:54"/>
    <n v="21"/>
    <d v="1899-12-30T00:04:55"/>
    <n v="5"/>
    <n v="3"/>
    <n v="0.5"/>
    <x v="1"/>
    <n v="0.25"/>
    <n v="0.5"/>
    <n v="0.25"/>
    <n v="0"/>
    <n v="0"/>
    <n v="0"/>
    <n v="0"/>
    <n v="2.875"/>
    <s v="14.04.2023"/>
    <n v="1"/>
    <e v="#N/A"/>
    <m/>
    <n v="1"/>
  </r>
  <r>
    <x v="105"/>
    <s v="M"/>
    <n v="14"/>
    <n v="12.95"/>
    <d v="1899-12-30T01:02:02"/>
    <d v="1899-12-30T01:02:02"/>
    <d v="1899-12-30T01:02:02"/>
    <m/>
    <d v="1899-12-30T00:04:47"/>
    <n v="3.083333333333333"/>
    <n v="3"/>
    <n v="0"/>
    <x v="1"/>
    <n v="0.25"/>
    <n v="0.5"/>
    <n v="0.25"/>
    <n v="0"/>
    <n v="0"/>
    <n v="0"/>
    <n v="0"/>
    <n v="2.270833333333333"/>
    <s v="13.04.2023"/>
    <n v="1"/>
    <s v="The GOATs"/>
    <m/>
    <n v="1"/>
  </r>
  <r>
    <x v="80"/>
    <s v="M"/>
    <n v="14"/>
    <n v="3"/>
    <d v="1899-12-30T00:12:37"/>
    <d v="1899-12-30T00:12:37"/>
    <d v="1899-12-30T00:12:37"/>
    <m/>
    <d v="1899-12-30T00:04:12"/>
    <n v="0.7142857142857143"/>
    <n v="4.5"/>
    <n v="0.25"/>
    <x v="2"/>
    <n v="0.25"/>
    <n v="0.25"/>
    <n v="0.5"/>
    <n v="0"/>
    <n v="0"/>
    <n v="0"/>
    <n v="0"/>
    <n v="1.4285714285714286"/>
    <s v="11.04.2023"/>
    <n v="1"/>
    <s v="Almost Kenyan Runners"/>
    <m/>
    <n v="1"/>
  </r>
  <r>
    <x v="19"/>
    <s v="M"/>
    <n v="14"/>
    <n v="9.02"/>
    <d v="1899-12-30T00:42:07"/>
    <d v="1899-12-30T00:51:17"/>
    <d v="1899-12-30T00:46:42"/>
    <n v="15"/>
    <d v="1899-12-30T00:05:11"/>
    <n v="2.1476190476190475"/>
    <n v="2.5"/>
    <n v="0.25"/>
    <x v="2"/>
    <n v="0.25"/>
    <n v="0.25"/>
    <n v="0.5"/>
    <n v="0"/>
    <n v="0"/>
    <n v="0"/>
    <n v="0"/>
    <n v="1.2869047619047618"/>
    <s v="10.04.2023"/>
    <n v="1"/>
    <e v="#N/A"/>
    <m/>
    <n v="1"/>
  </r>
  <r>
    <x v="88"/>
    <s v="M"/>
    <n v="14"/>
    <n v="27.02"/>
    <d v="1899-12-30T01:56:21"/>
    <d v="1899-12-30T02:01:39"/>
    <d v="1899-12-30T01:59:00"/>
    <n v="179"/>
    <d v="1899-12-30T00:04:24"/>
    <n v="5"/>
    <n v="4"/>
    <n v="1"/>
    <x v="2"/>
    <n v="0.25"/>
    <n v="0.25"/>
    <n v="0.5"/>
    <n v="0.11933333333333333"/>
    <n v="0.3"/>
    <n v="0"/>
    <n v="0"/>
    <n v="3.1693333333333333"/>
    <s v="15.04.2023"/>
    <n v="1"/>
    <s v="Almost Kenyan Runners"/>
    <m/>
    <n v="1"/>
  </r>
  <r>
    <x v="9"/>
    <s v="M"/>
    <n v="14"/>
    <n v="42.49"/>
    <d v="1899-12-30T05:45:59"/>
    <d v="1899-12-30T06:09:59"/>
    <d v="1899-12-30T05:57:59"/>
    <n v="1927"/>
    <d v="1899-12-30T00:08:26"/>
    <n v="5"/>
    <n v="0"/>
    <n v="0.5"/>
    <x v="0"/>
    <n v="0.5"/>
    <n v="0.25"/>
    <n v="0.25"/>
    <n v="1.2846666666666666"/>
    <n v="1"/>
    <n v="0"/>
    <n v="0"/>
    <n v="4.9096666666666664"/>
    <s v="14.04.2023"/>
    <n v="1"/>
    <s v="The GOATs"/>
    <m/>
    <n v="0"/>
  </r>
  <r>
    <x v="30"/>
    <s v="M"/>
    <n v="14"/>
    <n v="26.43"/>
    <d v="1899-12-30T02:32:03"/>
    <d v="1899-12-30T02:32:37"/>
    <d v="1899-12-30T02:32:20"/>
    <n v="954"/>
    <d v="1899-12-30T00:05:46"/>
    <n v="5"/>
    <n v="1.75"/>
    <n v="2.5"/>
    <x v="1"/>
    <n v="0.25"/>
    <n v="0.5"/>
    <n v="0.25"/>
    <n v="0.63600000000000001"/>
    <n v="0.2"/>
    <n v="0"/>
    <n v="0"/>
    <n v="3.5860000000000003"/>
    <s v="15.04.2023"/>
    <n v="1"/>
    <s v="The GOATs"/>
    <m/>
    <n v="1"/>
  </r>
  <r>
    <x v="23"/>
    <s v="M"/>
    <n v="14"/>
    <n v="10.39"/>
    <d v="1899-12-30T00:50:04"/>
    <d v="1899-12-30T00:50:12"/>
    <d v="1899-12-30T00:50:08"/>
    <m/>
    <d v="1899-12-30T00:04:50"/>
    <n v="2.4738095238095239"/>
    <n v="3"/>
    <n v="1"/>
    <x v="0"/>
    <n v="0.5"/>
    <n v="0.25"/>
    <n v="0.25"/>
    <n v="0"/>
    <n v="0"/>
    <n v="0"/>
    <n v="0"/>
    <n v="2.236904761904762"/>
    <s v="16.04.2023"/>
    <n v="1"/>
    <s v="Almost Kenyan Runners"/>
    <m/>
    <n v="1"/>
  </r>
  <r>
    <x v="53"/>
    <s v="M"/>
    <n v="14"/>
    <n v="3.02"/>
    <d v="1899-12-30T00:11:55"/>
    <d v="1899-12-30T00:11:55"/>
    <d v="1899-12-30T00:11:55"/>
    <n v="5"/>
    <d v="1899-12-30T00:03:57"/>
    <n v="0.71904761904761905"/>
    <n v="5"/>
    <n v="2.5"/>
    <x v="1"/>
    <n v="0.25"/>
    <n v="0.5"/>
    <n v="0.25"/>
    <n v="0"/>
    <n v="0"/>
    <n v="0.15000000000000002"/>
    <n v="0"/>
    <n v="3.4547619047619045"/>
    <s v="15.04.2023"/>
    <n v="1"/>
    <s v="#notSYRious"/>
    <m/>
    <n v="1"/>
  </r>
  <r>
    <x v="113"/>
    <s v="M"/>
    <n v="14"/>
    <n v="10"/>
    <d v="1899-12-30T00:48:06"/>
    <d v="1899-12-30T00:48:06"/>
    <d v="1899-12-30T00:48:06"/>
    <n v="82"/>
    <d v="1899-12-30T00:04:49"/>
    <n v="2.3809523809523809"/>
    <n v="3"/>
    <n v="0.25"/>
    <x v="0"/>
    <n v="0.5"/>
    <n v="0.25"/>
    <n v="0.25"/>
    <n v="5.4666666666666669E-2"/>
    <n v="0"/>
    <n v="0"/>
    <n v="0"/>
    <n v="2.0576428571428576"/>
    <s v="15.04.2023"/>
    <n v="1"/>
    <e v="#N/A"/>
    <m/>
    <n v="1"/>
  </r>
  <r>
    <x v="78"/>
    <s v="M"/>
    <n v="14"/>
    <n v="27.55"/>
    <d v="1899-12-30T06:17:36"/>
    <d v="1899-12-30T07:20:15"/>
    <d v="1899-12-30T06:48:55"/>
    <n v="2081"/>
    <d v="1899-12-30T00:14:51"/>
    <n v="5"/>
    <n v="0"/>
    <n v="4"/>
    <x v="0"/>
    <n v="0.5"/>
    <n v="0.25"/>
    <n v="0.25"/>
    <n v="1.3873333333333333"/>
    <n v="0.3"/>
    <n v="0"/>
    <n v="0.4"/>
    <n v="5.5873333333333335"/>
    <s v="15.04.2023"/>
    <n v="1"/>
    <s v="Almost Kenyan Runners"/>
    <m/>
    <n v="0"/>
  </r>
  <r>
    <x v="75"/>
    <s v="F"/>
    <n v="14"/>
    <n v="4.09"/>
    <d v="1899-12-30T00:24:22"/>
    <d v="1899-12-30T00:24:58"/>
    <d v="1899-12-30T00:24:40"/>
    <n v="35"/>
    <d v="1899-12-30T00:06:02"/>
    <n v="1.0225"/>
    <n v="1.75"/>
    <n v="4"/>
    <x v="1"/>
    <n v="0.25"/>
    <n v="0.5"/>
    <n v="0.25"/>
    <n v="0"/>
    <n v="0"/>
    <n v="0"/>
    <n v="0"/>
    <n v="2.1306250000000002"/>
    <s v="16.04.2023"/>
    <n v="1"/>
    <s v="#notSYRious"/>
    <m/>
    <n v="1"/>
  </r>
  <r>
    <x v="2"/>
    <s v="F"/>
    <n v="14"/>
    <n v="2.5"/>
    <d v="1899-12-30T00:11:43"/>
    <d v="1899-12-30T00:12:05"/>
    <d v="1899-12-30T00:11:54"/>
    <m/>
    <d v="1899-12-30T00:04:46"/>
    <n v="0.625"/>
    <n v="4.5"/>
    <n v="3"/>
    <x v="1"/>
    <n v="0.25"/>
    <n v="0.5"/>
    <n v="0.25"/>
    <n v="0"/>
    <n v="0"/>
    <n v="0"/>
    <n v="0"/>
    <n v="3.15625"/>
    <s v="16.04.2023"/>
    <n v="1"/>
    <s v="MedgidiaRunning"/>
    <m/>
    <n v="1"/>
  </r>
  <r>
    <x v="7"/>
    <s v="M"/>
    <n v="14"/>
    <n v="21"/>
    <d v="1899-12-30T01:43:10"/>
    <d v="1899-12-30T01:51:53"/>
    <d v="1899-12-30T01:47:31"/>
    <n v="142"/>
    <d v="1899-12-30T00:05:07"/>
    <n v="5"/>
    <n v="2.5"/>
    <n v="2.5"/>
    <x v="2"/>
    <n v="0.25"/>
    <n v="0.25"/>
    <n v="0.5"/>
    <n v="9.4666666666666663E-2"/>
    <n v="0"/>
    <n v="0"/>
    <n v="0"/>
    <n v="3.2196666666666665"/>
    <s v="12.04.2023"/>
    <n v="1"/>
    <s v="MedgidiaRunning"/>
    <m/>
    <n v="1"/>
  </r>
  <r>
    <x v="43"/>
    <s v="M"/>
    <n v="14"/>
    <n v="20.010000000000002"/>
    <d v="1899-12-30T01:36:59"/>
    <d v="1899-12-30T01:46:02"/>
    <d v="1899-12-30T01:41:31"/>
    <m/>
    <d v="1899-12-30T00:05:04"/>
    <n v="4.7642857142857142"/>
    <n v="2.5"/>
    <n v="2"/>
    <x v="2"/>
    <n v="0.25"/>
    <n v="0.25"/>
    <n v="0.5"/>
    <n v="0"/>
    <n v="0"/>
    <n v="0"/>
    <n v="0"/>
    <n v="2.8160714285714286"/>
    <s v="10.04.2023"/>
    <n v="1"/>
    <s v="Almost Kenyan Runners"/>
    <m/>
    <n v="1"/>
  </r>
  <r>
    <x v="42"/>
    <s v="M"/>
    <n v="14"/>
    <n v="15.27"/>
    <d v="1899-12-30T01:15:04"/>
    <d v="1899-12-30T01:16:04"/>
    <d v="1899-12-30T01:15:34"/>
    <n v="17"/>
    <d v="1899-12-30T00:04:57"/>
    <n v="3.6357142857142857"/>
    <n v="3"/>
    <n v="0.5"/>
    <x v="1"/>
    <n v="0.25"/>
    <n v="0.5"/>
    <n v="0.25"/>
    <n v="0"/>
    <n v="0"/>
    <n v="0"/>
    <n v="0"/>
    <n v="2.5339285714285715"/>
    <s v="10.04.2023"/>
    <n v="1"/>
    <s v="The GOATs"/>
    <m/>
    <n v="1"/>
  </r>
  <r>
    <x v="60"/>
    <s v="M"/>
    <n v="14"/>
    <n v="15.01"/>
    <d v="1899-12-30T00:51:28"/>
    <d v="1899-12-30T00:51:28"/>
    <d v="1899-12-30T00:51:28"/>
    <n v="70"/>
    <d v="1899-12-30T00:03:26"/>
    <n v="3.5738095238095235"/>
    <n v="5"/>
    <n v="4.5"/>
    <x v="1"/>
    <n v="0.25"/>
    <n v="0.5"/>
    <n v="0.25"/>
    <n v="4.6666666666666669E-2"/>
    <n v="0"/>
    <n v="5.4"/>
    <n v="0"/>
    <n v="9.9651190476190479"/>
    <s v="11.04.2023"/>
    <n v="1"/>
    <s v="#notSYRious"/>
    <m/>
    <n v="1"/>
  </r>
  <r>
    <x v="13"/>
    <s v="M"/>
    <n v="14"/>
    <n v="12.36"/>
    <d v="1899-12-30T01:44:07"/>
    <d v="1899-12-30T02:00:12"/>
    <d v="1899-12-30T01:52:10"/>
    <n v="184"/>
    <d v="1899-12-30T00:09:04"/>
    <n v="2.9428571428571426"/>
    <n v="0"/>
    <n v="3"/>
    <x v="1"/>
    <n v="0.25"/>
    <n v="0.5"/>
    <n v="0.25"/>
    <n v="0.12266666666666666"/>
    <n v="0"/>
    <n v="0"/>
    <n v="0"/>
    <n v="1.6083809523809525"/>
    <s v="10.04.2023"/>
    <n v="1"/>
    <s v="MedgidiaRunning"/>
    <m/>
    <n v="0"/>
  </r>
  <r>
    <x v="35"/>
    <s v="F"/>
    <n v="14"/>
    <n v="4.82"/>
    <d v="1899-12-30T00:28:57"/>
    <d v="1899-12-30T00:28:57"/>
    <d v="1899-12-30T00:28:57"/>
    <n v="13"/>
    <d v="1899-12-30T00:06:00"/>
    <n v="1.2050000000000001"/>
    <n v="2"/>
    <n v="4.5"/>
    <x v="1"/>
    <n v="0.25"/>
    <n v="0.5"/>
    <n v="0.25"/>
    <n v="0"/>
    <n v="0"/>
    <n v="0"/>
    <n v="0"/>
    <n v="2.42625"/>
    <s v="15.04.2023"/>
    <n v="1"/>
    <s v="#notSYRious"/>
    <m/>
    <n v="1"/>
  </r>
  <r>
    <x v="15"/>
    <s v="F"/>
    <n v="14"/>
    <n v="20.03"/>
    <d v="1899-12-30T01:55:46"/>
    <d v="1899-12-30T01:56:09"/>
    <d v="1899-12-30T01:55:57"/>
    <n v="52"/>
    <d v="1899-12-30T00:05:47"/>
    <n v="5"/>
    <n v="2"/>
    <n v="4"/>
    <x v="1"/>
    <n v="0.25"/>
    <n v="0.5"/>
    <n v="0.25"/>
    <n v="3.4666666666666665E-2"/>
    <n v="0"/>
    <n v="0"/>
    <n v="0"/>
    <n v="3.2846666666666668"/>
    <s v="10.04.2023"/>
    <n v="1"/>
    <e v="#N/A"/>
    <m/>
    <n v="1"/>
  </r>
  <r>
    <x v="95"/>
    <s v="M"/>
    <n v="14"/>
    <n v="10.02"/>
    <d v="1899-12-30T01:05:50"/>
    <d v="1899-12-30T01:05:50"/>
    <d v="1899-12-30T01:05:50"/>
    <m/>
    <d v="1899-12-30T00:06:34"/>
    <n v="2.3857142857142857"/>
    <n v="0.75"/>
    <n v="0"/>
    <x v="0"/>
    <n v="0.5"/>
    <n v="0.25"/>
    <n v="0.25"/>
    <n v="0"/>
    <n v="0"/>
    <n v="0"/>
    <n v="0"/>
    <n v="1.3803571428571428"/>
    <s v="12.04.2023"/>
    <n v="1"/>
    <e v="#N/A"/>
    <m/>
    <n v="1"/>
  </r>
  <r>
    <x v="0"/>
    <s v="M"/>
    <n v="14"/>
    <n v="3.02"/>
    <d v="1899-12-30T00:14:56"/>
    <d v="1899-12-30T00:14:59"/>
    <d v="1899-12-30T00:14:57"/>
    <n v="0"/>
    <d v="1899-12-30T00:04:57"/>
    <n v="0.71904761904761905"/>
    <n v="3"/>
    <n v="0"/>
    <x v="1"/>
    <n v="0.25"/>
    <n v="0.5"/>
    <n v="0.25"/>
    <n v="0"/>
    <n v="0"/>
    <n v="0"/>
    <n v="0"/>
    <n v="1.6797619047619048"/>
    <s v="13.04.2023"/>
    <n v="1"/>
    <s v="UltraHaita lu' Borcan"/>
    <m/>
    <n v="1"/>
  </r>
  <r>
    <x v="47"/>
    <s v="M"/>
    <n v="14"/>
    <n v="0"/>
    <d v="1899-12-30T00:00:00"/>
    <d v="1899-12-30T00:00:00"/>
    <d v="1899-12-30T00:00:00"/>
    <m/>
    <d v="1899-12-30T00:00:00"/>
    <n v="0"/>
    <n v="0"/>
    <n v="0"/>
    <x v="3"/>
    <n v="0.25"/>
    <n v="0.25"/>
    <n v="0.25"/>
    <n v="0"/>
    <n v="0"/>
    <n v="0"/>
    <n v="0"/>
    <n v="1.5"/>
    <s v="10.04.2023"/>
    <n v="1"/>
    <e v="#N/A"/>
    <m/>
    <n v="0"/>
  </r>
  <r>
    <x v="3"/>
    <s v="M"/>
    <n v="14"/>
    <n v="10.01"/>
    <d v="1899-12-30T00:48:25"/>
    <d v="1899-12-30T00:52:34"/>
    <d v="1899-12-30T00:50:30"/>
    <n v="10"/>
    <d v="1899-12-30T00:05:03"/>
    <n v="2.3833333333333333"/>
    <n v="2.5"/>
    <n v="3"/>
    <x v="1"/>
    <n v="0.25"/>
    <n v="0.5"/>
    <n v="0.25"/>
    <n v="0"/>
    <n v="0"/>
    <n v="0"/>
    <n v="0.4"/>
    <n v="2.9958333333333331"/>
    <s v="15.04.2023"/>
    <n v="1"/>
    <s v="MedgidiaRunning"/>
    <m/>
    <n v="1"/>
  </r>
  <r>
    <x v="69"/>
    <s v="M"/>
    <n v="14"/>
    <n v="42.69"/>
    <d v="1899-12-30T03:25:17"/>
    <d v="1899-12-30T03:25:22"/>
    <d v="1899-12-30T03:25:20"/>
    <m/>
    <d v="1899-12-30T00:04:49"/>
    <n v="5"/>
    <n v="3"/>
    <n v="1"/>
    <x v="1"/>
    <n v="0.25"/>
    <n v="0.5"/>
    <n v="0.25"/>
    <n v="0"/>
    <n v="1"/>
    <n v="0"/>
    <n v="0"/>
    <n v="4"/>
    <s v="10.04.2023"/>
    <n v="1"/>
    <s v="Almost Kenyan Runners"/>
    <m/>
    <n v="1"/>
  </r>
  <r>
    <x v="70"/>
    <s v="F"/>
    <n v="14"/>
    <n v="0"/>
    <d v="1899-12-30T00:00:00"/>
    <d v="1899-12-30T00:00:00"/>
    <d v="1899-12-30T00:00:00"/>
    <n v="0"/>
    <d v="1899-12-30T00:00:00"/>
    <n v="0"/>
    <n v="0"/>
    <n v="0"/>
    <x v="3"/>
    <n v="0.25"/>
    <n v="0.25"/>
    <n v="0.25"/>
    <n v="0"/>
    <n v="0"/>
    <n v="0"/>
    <n v="0"/>
    <n v="1.5"/>
    <s v="10.04.2023"/>
    <n v="1"/>
    <e v="#N/A"/>
    <m/>
    <n v="0"/>
  </r>
  <r>
    <x v="28"/>
    <s v="M"/>
    <n v="14"/>
    <n v="12.11"/>
    <d v="1899-12-30T01:05:16"/>
    <d v="1899-12-30T01:05:16"/>
    <d v="1899-12-30T01:05:16"/>
    <n v="147"/>
    <d v="1899-12-30T00:05:23"/>
    <n v="2.8833333333333329"/>
    <n v="2"/>
    <n v="0.5"/>
    <x v="2"/>
    <n v="0.25"/>
    <n v="0.25"/>
    <n v="0.5"/>
    <n v="9.8000000000000004E-2"/>
    <n v="0"/>
    <n v="0"/>
    <n v="0"/>
    <n v="1.5688333333333333"/>
    <s v="10.04.2023"/>
    <n v="1"/>
    <s v="UltraHaita lu' Borcan"/>
    <m/>
    <n v="1"/>
  </r>
  <r>
    <x v="36"/>
    <s v="M"/>
    <n v="14"/>
    <n v="3.58"/>
    <d v="1899-12-30T00:17:31"/>
    <d v="1899-12-30T00:17:31"/>
    <d v="1899-12-30T00:17:31"/>
    <n v="1"/>
    <d v="1899-12-30T00:04:54"/>
    <n v="0.85238095238095235"/>
    <n v="3"/>
    <n v="4.5"/>
    <x v="1"/>
    <n v="0.25"/>
    <n v="0.5"/>
    <n v="0.25"/>
    <n v="0"/>
    <n v="0"/>
    <n v="0"/>
    <n v="0"/>
    <n v="2.8380952380952378"/>
    <s v="14.04.2023"/>
    <n v="1"/>
    <s v="MedgidiaRunning"/>
    <m/>
    <n v="1"/>
  </r>
  <r>
    <x v="57"/>
    <s v="M"/>
    <n v="14"/>
    <n v="15.23"/>
    <d v="1899-12-30T01:25:44"/>
    <d v="1899-12-30T01:25:47"/>
    <d v="1899-12-30T01:25:46"/>
    <n v="224"/>
    <d v="1899-12-30T00:05:38"/>
    <n v="3.6261904761904762"/>
    <n v="1.75"/>
    <n v="1"/>
    <x v="0"/>
    <n v="0.5"/>
    <n v="0.25"/>
    <n v="0.25"/>
    <n v="0.14933333333333335"/>
    <n v="0"/>
    <n v="0"/>
    <n v="0"/>
    <n v="2.6499285714285716"/>
    <s v="15.04.2023"/>
    <n v="1"/>
    <s v="The GOATs"/>
    <m/>
    <n v="1"/>
  </r>
  <r>
    <x v="11"/>
    <s v="M"/>
    <n v="14"/>
    <n v="3"/>
    <d v="1899-12-30T00:12:19"/>
    <d v="1899-12-30T00:13:09"/>
    <d v="1899-12-30T00:12:44"/>
    <m/>
    <d v="1899-12-30T00:04:15"/>
    <n v="0.7142857142857143"/>
    <n v="4.5"/>
    <n v="0"/>
    <x v="0"/>
    <n v="0.5"/>
    <n v="0.25"/>
    <n v="0.25"/>
    <n v="0"/>
    <n v="0"/>
    <n v="0"/>
    <n v="0.4"/>
    <n v="1.8821428571428571"/>
    <s v="15.04.2023"/>
    <n v="1"/>
    <e v="#N/A"/>
    <m/>
    <n v="1"/>
  </r>
  <r>
    <x v="64"/>
    <s v="M"/>
    <n v="14"/>
    <n v="3.03"/>
    <d v="1899-12-30T00:11:26"/>
    <d v="1899-12-30T00:11:34"/>
    <d v="1899-12-30T00:11:30"/>
    <n v="9"/>
    <d v="1899-12-30T00:03:48"/>
    <n v="0.72142857142857131"/>
    <n v="5"/>
    <n v="4"/>
    <x v="1"/>
    <n v="0.25"/>
    <n v="0.5"/>
    <n v="0.25"/>
    <n v="0"/>
    <n v="0"/>
    <n v="0.89999999999999991"/>
    <n v="0"/>
    <n v="4.5803571428571423"/>
    <s v="14.04.2023"/>
    <n v="1"/>
    <s v="The GOATs"/>
    <m/>
    <n v="1"/>
  </r>
  <r>
    <x v="40"/>
    <s v="M"/>
    <n v="14"/>
    <n v="15.61"/>
    <d v="1899-12-30T01:27:44"/>
    <d v="1899-12-30T01:27:48"/>
    <d v="1899-12-30T01:27:46"/>
    <m/>
    <d v="1899-12-30T00:05:37"/>
    <n v="3.7166666666666663"/>
    <n v="1.75"/>
    <n v="0.25"/>
    <x v="1"/>
    <n v="0.25"/>
    <n v="0.5"/>
    <n v="0.25"/>
    <n v="0"/>
    <n v="0"/>
    <n v="0"/>
    <n v="0"/>
    <n v="1.8666666666666667"/>
    <s v="14.04.2023"/>
    <n v="1"/>
    <s v="Almost Kenyan Runners"/>
    <m/>
    <n v="1"/>
  </r>
  <r>
    <x v="121"/>
    <s v="M"/>
    <n v="14"/>
    <n v="16"/>
    <d v="1899-12-30T01:52:00"/>
    <d v="1899-12-30T01:52:03"/>
    <d v="1899-12-30T01:52:02"/>
    <n v="24"/>
    <d v="1899-12-30T00:07:00"/>
    <n v="3.8095238095238093"/>
    <n v="0.5"/>
    <n v="0.25"/>
    <x v="0"/>
    <n v="0.5"/>
    <n v="0.25"/>
    <n v="0.25"/>
    <n v="0"/>
    <n v="0"/>
    <n v="0"/>
    <n v="0"/>
    <n v="2.0922619047619047"/>
    <s v="13.04.2023"/>
    <n v="1"/>
    <e v="#N/A"/>
    <m/>
    <n v="1"/>
  </r>
  <r>
    <x v="117"/>
    <s v="M"/>
    <n v="14"/>
    <n v="14.14"/>
    <d v="1899-12-30T01:07:53"/>
    <d v="1899-12-30T01:07:53"/>
    <d v="1899-12-30T01:07:53"/>
    <n v="336"/>
    <d v="1899-12-30T00:04:48"/>
    <n v="3.3666666666666667"/>
    <n v="3"/>
    <n v="0"/>
    <x v="0"/>
    <n v="0.5"/>
    <n v="0.25"/>
    <n v="0.25"/>
    <n v="0.224"/>
    <n v="0"/>
    <n v="0"/>
    <n v="0"/>
    <n v="2.6573333333333338"/>
    <s v="15.04.2023"/>
    <n v="1"/>
    <e v="#N/A"/>
    <m/>
    <n v="1"/>
  </r>
  <r>
    <x v="29"/>
    <s v="F"/>
    <n v="14"/>
    <n v="23.02"/>
    <d v="1899-12-30T02:16:01"/>
    <d v="1899-12-30T02:26:29"/>
    <d v="1899-12-30T02:21:15"/>
    <n v="282"/>
    <d v="1899-12-30T00:06:08"/>
    <n v="5"/>
    <n v="1.75"/>
    <n v="0.5"/>
    <x v="2"/>
    <n v="0.25"/>
    <n v="0.25"/>
    <n v="0.5"/>
    <n v="0.188"/>
    <n v="0.1"/>
    <n v="0"/>
    <n v="0"/>
    <n v="2.2255000000000003"/>
    <s v="10.04.2023"/>
    <n v="1"/>
    <e v="#N/A"/>
    <m/>
    <n v="1"/>
  </r>
  <r>
    <x v="51"/>
    <s v="F"/>
    <n v="14"/>
    <n v="10.5"/>
    <d v="1899-12-30T01:00:44"/>
    <d v="1899-12-30T01:12:19"/>
    <d v="1899-12-30T01:06:32"/>
    <n v="24"/>
    <d v="1899-12-30T00:06:20"/>
    <n v="2.625"/>
    <n v="1.5"/>
    <n v="0.75"/>
    <x v="0"/>
    <n v="0.5"/>
    <n v="0.25"/>
    <n v="0.25"/>
    <n v="0"/>
    <n v="0"/>
    <n v="0"/>
    <n v="0"/>
    <n v="1.875"/>
    <s v="10.04.2023"/>
    <n v="1"/>
    <s v="#notSYRious"/>
    <m/>
    <n v="1"/>
  </r>
  <r>
    <x v="24"/>
    <s v="M"/>
    <n v="14"/>
    <n v="10.17"/>
    <d v="1899-12-30T00:46:09"/>
    <d v="1899-12-30T00:46:09"/>
    <d v="1899-12-30T00:46:09"/>
    <n v="0"/>
    <d v="1899-12-30T00:04:32"/>
    <n v="2.4214285714285713"/>
    <n v="3.5"/>
    <n v="0.25"/>
    <x v="2"/>
    <n v="0.25"/>
    <n v="0.25"/>
    <n v="0.5"/>
    <n v="0"/>
    <n v="0"/>
    <n v="0"/>
    <n v="0"/>
    <n v="1.6053571428571427"/>
    <s v="10.04.2023"/>
    <n v="1"/>
    <e v="#N/A"/>
    <m/>
    <n v="1"/>
  </r>
  <r>
    <x v="20"/>
    <s v="F"/>
    <n v="14"/>
    <n v="2.73"/>
    <d v="1899-12-30T00:12:45"/>
    <d v="1899-12-30T00:12:45"/>
    <d v="1899-12-30T00:12:45"/>
    <m/>
    <d v="1899-12-30T00:04:40"/>
    <n v="0.6825"/>
    <n v="4.5"/>
    <n v="2"/>
    <x v="1"/>
    <n v="0.25"/>
    <n v="0.5"/>
    <n v="0.25"/>
    <n v="0"/>
    <n v="0"/>
    <n v="0"/>
    <n v="0"/>
    <n v="2.9206249999999998"/>
    <s v="15.04.2023"/>
    <n v="1"/>
    <s v="MedgidiaRunning"/>
    <m/>
    <n v="1"/>
  </r>
  <r>
    <x v="45"/>
    <s v="F"/>
    <n v="14"/>
    <n v="8.2100000000000009"/>
    <d v="1899-12-30T00:50:51"/>
    <d v="1899-12-30T00:50:51"/>
    <d v="1899-12-30T00:50:51"/>
    <n v="45"/>
    <d v="1899-12-30T00:06:12"/>
    <n v="2.0525000000000002"/>
    <n v="1.75"/>
    <n v="0.25"/>
    <x v="1"/>
    <n v="0.25"/>
    <n v="0.5"/>
    <n v="0.25"/>
    <n v="0"/>
    <n v="0"/>
    <n v="0"/>
    <n v="0"/>
    <n v="1.4506250000000001"/>
    <s v="16.04.2023"/>
    <n v="1"/>
    <e v="#N/A"/>
    <m/>
    <n v="1"/>
  </r>
  <r>
    <x v="50"/>
    <s v="M"/>
    <n v="14"/>
    <n v="50.4"/>
    <d v="1899-12-30T04:58:12"/>
    <d v="1899-12-30T05:32:53"/>
    <d v="1899-12-30T05:15:32"/>
    <n v="401"/>
    <d v="1899-12-30T00:06:16"/>
    <n v="5"/>
    <n v="1.25"/>
    <n v="5"/>
    <x v="1"/>
    <n v="0.25"/>
    <n v="0.5"/>
    <n v="0.25"/>
    <n v="0.26733333333333331"/>
    <n v="1.4"/>
    <n v="0"/>
    <n v="0"/>
    <n v="4.7923333333333336"/>
    <s v="16.04.2023"/>
    <n v="1"/>
    <s v="The GOATs"/>
    <m/>
    <n v="1"/>
  </r>
  <r>
    <x v="84"/>
    <s v="M"/>
    <n v="14"/>
    <n v="10.01"/>
    <d v="1899-12-30T00:45:02"/>
    <d v="1899-12-30T00:45:12"/>
    <d v="1899-12-30T00:45:07"/>
    <m/>
    <d v="1899-12-30T00:04:30"/>
    <n v="2.3833333333333333"/>
    <n v="4"/>
    <n v="2.5"/>
    <x v="0"/>
    <n v="0.5"/>
    <n v="0.25"/>
    <n v="0.25"/>
    <n v="0"/>
    <n v="0"/>
    <n v="0"/>
    <n v="0"/>
    <n v="2.8166666666666664"/>
    <s v="11.04.2023"/>
    <n v="1"/>
    <s v="The GOATs"/>
    <m/>
    <n v="1"/>
  </r>
  <r>
    <x v="39"/>
    <s v="M"/>
    <n v="14"/>
    <n v="14.32"/>
    <d v="1899-12-30T01:45:05"/>
    <d v="1899-12-30T01:45:17"/>
    <d v="1899-12-30T01:45:11"/>
    <n v="517"/>
    <d v="1899-12-30T00:07:21"/>
    <n v="3.4095238095238094"/>
    <n v="0.25"/>
    <n v="3"/>
    <x v="1"/>
    <n v="0.25"/>
    <n v="0.5"/>
    <n v="0.25"/>
    <n v="0.34466666666666668"/>
    <n v="0"/>
    <n v="0"/>
    <n v="0"/>
    <n v="2.0720476190476189"/>
    <s v="15.04.2023"/>
    <n v="1"/>
    <s v="#notSYRious"/>
    <m/>
    <n v="1"/>
  </r>
  <r>
    <x v="92"/>
    <s v="F"/>
    <n v="14"/>
    <n v="10.01"/>
    <d v="1899-12-30T01:00:26"/>
    <d v="1899-12-30T01:01:58"/>
    <d v="1899-12-30T01:01:12"/>
    <m/>
    <d v="1899-12-30T00:06:07"/>
    <n v="2.5024999999999999"/>
    <n v="1.75"/>
    <n v="0.25"/>
    <x v="1"/>
    <n v="0.25"/>
    <n v="0.5"/>
    <n v="0.25"/>
    <n v="0"/>
    <n v="0"/>
    <n v="0"/>
    <n v="0"/>
    <n v="1.5631249999999999"/>
    <s v="11.04.2023"/>
    <n v="1"/>
    <s v="The GOATs"/>
    <m/>
    <n v="1"/>
  </r>
  <r>
    <x v="86"/>
    <s v="F"/>
    <n v="14"/>
    <n v="12.24"/>
    <d v="1899-12-30T01:12:02"/>
    <d v="1899-12-30T01:12:02"/>
    <d v="1899-12-30T01:12:02"/>
    <m/>
    <d v="1899-12-30T00:05:53"/>
    <n v="3.06"/>
    <n v="2"/>
    <n v="1.5"/>
    <x v="1"/>
    <n v="0.25"/>
    <n v="0.5"/>
    <n v="0.25"/>
    <n v="0"/>
    <n v="0"/>
    <n v="0"/>
    <n v="0"/>
    <n v="2.14"/>
    <s v="14.04.2023"/>
    <n v="1"/>
    <s v="Almost Kenyan Runners"/>
    <m/>
    <n v="1"/>
  </r>
  <r>
    <x v="96"/>
    <s v="F"/>
    <n v="14"/>
    <n v="3.06"/>
    <d v="1899-12-30T00:19:05"/>
    <d v="1899-12-30T00:19:39"/>
    <d v="1899-12-30T00:19:22"/>
    <n v="36"/>
    <d v="1899-12-30T00:06:20"/>
    <n v="0.76500000000000001"/>
    <n v="1.5"/>
    <n v="2.5"/>
    <x v="1"/>
    <n v="0.25"/>
    <n v="0.5"/>
    <n v="0.25"/>
    <n v="0"/>
    <n v="0"/>
    <n v="0"/>
    <n v="0"/>
    <n v="1.5662500000000001"/>
    <s v="16.04.2023"/>
    <n v="1"/>
    <e v="#N/A"/>
    <m/>
    <n v="1"/>
  </r>
  <r>
    <x v="21"/>
    <s v="M"/>
    <n v="14"/>
    <n v="7.46"/>
    <d v="1899-12-30T00:55:47"/>
    <d v="1899-12-30T01:13:23"/>
    <d v="1899-12-30T01:04:35"/>
    <n v="163"/>
    <d v="1899-12-30T00:08:39"/>
    <n v="1.7761904761904761"/>
    <n v="0"/>
    <n v="0.5"/>
    <x v="2"/>
    <n v="0.25"/>
    <n v="0.25"/>
    <n v="0.5"/>
    <n v="0.10866666666666666"/>
    <n v="0"/>
    <n v="0"/>
    <n v="0.4"/>
    <n v="1.2027142857142858"/>
    <s v="16.04.2023"/>
    <n v="1"/>
    <s v="#notSYRious"/>
    <m/>
    <n v="0"/>
  </r>
  <r>
    <x v="49"/>
    <s v="M"/>
    <n v="14"/>
    <n v="2.02"/>
    <d v="1899-12-30T00:09:55"/>
    <d v="1899-12-30T00:09:57"/>
    <d v="1899-12-30T00:09:56"/>
    <n v="0"/>
    <d v="1899-12-30T00:04:55"/>
    <n v="0"/>
    <n v="0"/>
    <n v="0"/>
    <x v="1"/>
    <n v="0.25"/>
    <n v="0.5"/>
    <n v="0.25"/>
    <n v="0"/>
    <n v="0"/>
    <n v="0"/>
    <n v="0"/>
    <n v="0"/>
    <s v="16.04.2023"/>
    <n v="1"/>
    <s v="The GOATs"/>
    <m/>
    <n v="0"/>
  </r>
  <r>
    <x v="76"/>
    <s v="F"/>
    <n v="14"/>
    <n v="12.01"/>
    <d v="1899-12-30T01:09:49"/>
    <d v="1899-12-30T01:13:24"/>
    <d v="1899-12-30T01:11:37"/>
    <m/>
    <d v="1899-12-30T00:05:58"/>
    <n v="3.0024999999999999"/>
    <n v="2"/>
    <n v="0.5"/>
    <x v="0"/>
    <n v="0.5"/>
    <n v="0.25"/>
    <n v="0.25"/>
    <n v="0"/>
    <n v="0"/>
    <n v="0"/>
    <n v="0"/>
    <n v="2.1262499999999998"/>
    <s v="10.04.2023"/>
    <n v="1"/>
    <e v="#N/A"/>
    <m/>
    <n v="1"/>
  </r>
  <r>
    <x v="48"/>
    <s v="M"/>
    <n v="14"/>
    <n v="10"/>
    <d v="1899-12-30T00:49:25"/>
    <d v="1899-12-30T00:57:21"/>
    <d v="1899-12-30T00:53:23"/>
    <m/>
    <d v="1899-12-30T00:05:20"/>
    <n v="2.3809523809523809"/>
    <n v="2"/>
    <n v="0.25"/>
    <x v="1"/>
    <n v="0.25"/>
    <n v="0.5"/>
    <n v="0.25"/>
    <n v="0"/>
    <n v="0"/>
    <n v="0"/>
    <n v="0"/>
    <n v="1.6577380952380953"/>
    <s v="10.04.2023"/>
    <n v="1"/>
    <s v="UltraHaita lu' Borcan"/>
    <m/>
    <n v="1"/>
  </r>
  <r>
    <x v="111"/>
    <s v="F"/>
    <n v="14"/>
    <n v="6"/>
    <d v="1899-12-30T00:35:33"/>
    <d v="1899-12-30T00:37:03"/>
    <d v="1899-12-30T00:36:18"/>
    <m/>
    <d v="1899-12-30T00:06:03"/>
    <n v="1.5"/>
    <n v="1.75"/>
    <n v="3"/>
    <x v="1"/>
    <n v="0.25"/>
    <n v="0.5"/>
    <n v="0.25"/>
    <n v="0"/>
    <n v="0"/>
    <n v="0"/>
    <n v="0.4"/>
    <n v="2.4"/>
    <s v="14.04.2023"/>
    <n v="1"/>
    <e v="#N/A"/>
    <m/>
    <n v="1"/>
  </r>
  <r>
    <x v="87"/>
    <s v="M"/>
    <n v="14"/>
    <n v="37.020000000000003"/>
    <d v="1899-12-30T02:33:08"/>
    <d v="1899-12-30T02:38:45"/>
    <d v="1899-12-30T02:35:57"/>
    <n v="112"/>
    <d v="1899-12-30T00:04:13"/>
    <n v="5"/>
    <n v="4.5"/>
    <n v="0"/>
    <x v="1"/>
    <n v="0.25"/>
    <n v="0.5"/>
    <n v="0.25"/>
    <n v="7.4666666666666673E-2"/>
    <n v="0.8"/>
    <n v="0"/>
    <n v="0"/>
    <n v="4.3746666666666671"/>
    <s v="13.04.2023"/>
    <n v="1"/>
    <e v="#N/A"/>
    <m/>
    <n v="1"/>
  </r>
  <r>
    <x v="85"/>
    <s v="M"/>
    <n v="14"/>
    <n v="28.41"/>
    <d v="1899-12-30T03:11:36"/>
    <d v="1899-12-30T03:41:54"/>
    <d v="1899-12-30T03:26:45"/>
    <n v="1315"/>
    <d v="1899-12-30T00:07:17"/>
    <n v="5"/>
    <n v="0.25"/>
    <n v="4"/>
    <x v="2"/>
    <n v="0.25"/>
    <n v="0.25"/>
    <n v="0.5"/>
    <n v="0.87666666666666671"/>
    <n v="0.3"/>
    <n v="0"/>
    <n v="0"/>
    <n v="4.4891666666666667"/>
    <s v="15.04.2023"/>
    <n v="1"/>
    <s v="The GOATs"/>
    <m/>
    <n v="1"/>
  </r>
  <r>
    <x v="114"/>
    <s v="M"/>
    <n v="14"/>
    <n v="30.01"/>
    <d v="1899-12-30T02:59:35"/>
    <d v="1899-12-30T03:05:56"/>
    <d v="1899-12-30T03:02:46"/>
    <m/>
    <d v="1899-12-30T00:06:05"/>
    <n v="5"/>
    <n v="1.25"/>
    <n v="0"/>
    <x v="0"/>
    <n v="0.5"/>
    <n v="0.25"/>
    <n v="0.25"/>
    <n v="0"/>
    <n v="0.4"/>
    <n v="0"/>
    <n v="0"/>
    <n v="3.2124999999999999"/>
    <s v="14.04.2023"/>
    <n v="1"/>
    <e v="#N/A"/>
    <m/>
    <n v="1"/>
  </r>
  <r>
    <x v="54"/>
    <s v="F"/>
    <n v="14"/>
    <n v="8.25"/>
    <d v="1899-12-30T01:00:18"/>
    <d v="1899-12-30T01:15:32"/>
    <d v="1899-12-30T01:07:55"/>
    <m/>
    <d v="1899-12-30T00:08:14"/>
    <n v="2.0625"/>
    <n v="0.25"/>
    <n v="1.25"/>
    <x v="2"/>
    <n v="0.25"/>
    <n v="0.25"/>
    <n v="0.5"/>
    <n v="0"/>
    <n v="0"/>
    <n v="0"/>
    <n v="0.7"/>
    <n v="1.903125"/>
    <s v="14.04.2023"/>
    <n v="1"/>
    <s v="UltraHaita lu' Borcan"/>
    <m/>
    <n v="1"/>
  </r>
  <r>
    <x v="46"/>
    <s v="M"/>
    <n v="14"/>
    <n v="3.08"/>
    <d v="1899-12-30T00:13:09"/>
    <d v="1899-12-30T00:13:09"/>
    <d v="1899-12-30T00:13:09"/>
    <m/>
    <d v="1899-12-30T00:04:16"/>
    <n v="0.73333333333333328"/>
    <n v="4"/>
    <n v="2"/>
    <x v="1"/>
    <n v="0.25"/>
    <n v="0.5"/>
    <n v="0.25"/>
    <n v="0"/>
    <n v="0"/>
    <n v="0"/>
    <n v="0"/>
    <n v="2.6833333333333331"/>
    <s v="10.04.2023"/>
    <n v="1"/>
    <s v="#notSYRious"/>
    <m/>
    <n v="1"/>
  </r>
  <r>
    <x v="14"/>
    <s v="F"/>
    <n v="14"/>
    <n v="12.01"/>
    <d v="1899-12-30T00:59:56"/>
    <d v="1899-12-30T00:59:56"/>
    <d v="1899-12-30T00:59:56"/>
    <m/>
    <d v="1899-12-30T00:04:59"/>
    <n v="3.0024999999999999"/>
    <n v="4"/>
    <n v="3.5"/>
    <x v="1"/>
    <n v="0.25"/>
    <n v="0.5"/>
    <n v="0.25"/>
    <n v="0"/>
    <n v="0"/>
    <n v="0"/>
    <n v="0"/>
    <n v="3.6256249999999999"/>
    <s v="12.04.2023"/>
    <n v="1"/>
    <s v="MedgidiaRunning"/>
    <m/>
    <n v="1"/>
  </r>
  <r>
    <x v="82"/>
    <s v="M"/>
    <n v="14"/>
    <n v="11"/>
    <d v="1899-12-30T00:41:40"/>
    <d v="1899-12-30T00:41:40"/>
    <d v="1899-12-30T00:41:40"/>
    <m/>
    <d v="1899-12-30T00:03:47"/>
    <n v="2.6190476190476191"/>
    <n v="5"/>
    <n v="2"/>
    <x v="1"/>
    <n v="0.25"/>
    <n v="0.5"/>
    <n v="0.25"/>
    <n v="0"/>
    <n v="0"/>
    <n v="0.89999999999999991"/>
    <n v="0"/>
    <n v="4.5547619047619046"/>
    <s v="13.04.2023"/>
    <n v="1"/>
    <s v="Almost Kenyan Runners"/>
    <m/>
    <n v="1"/>
  </r>
  <r>
    <x v="59"/>
    <s v="M"/>
    <n v="14"/>
    <n v="15"/>
    <d v="1899-12-30T01:19:47"/>
    <d v="1899-12-30T01:20:34"/>
    <d v="1899-12-30T01:20:11"/>
    <n v="52"/>
    <d v="1899-12-30T00:05:21"/>
    <n v="3.5714285714285712"/>
    <n v="2"/>
    <n v="0.25"/>
    <x v="1"/>
    <n v="0.25"/>
    <n v="0.5"/>
    <n v="0.25"/>
    <n v="3.4666666666666665E-2"/>
    <n v="0"/>
    <n v="0"/>
    <n v="0"/>
    <n v="1.9900238095238094"/>
    <s v="11.04.2023"/>
    <n v="1"/>
    <s v="UltraHaita lu' Borcan"/>
    <m/>
    <n v="1"/>
  </r>
  <r>
    <x v="107"/>
    <s v="M"/>
    <n v="14"/>
    <n v="23.72"/>
    <d v="1899-12-30T02:49:54"/>
    <d v="1899-12-30T02:55:20"/>
    <d v="1899-12-30T02:52:37"/>
    <n v="601"/>
    <d v="1899-12-30T00:07:17"/>
    <n v="5"/>
    <n v="0.25"/>
    <n v="1.5"/>
    <x v="0"/>
    <n v="0.5"/>
    <n v="0.25"/>
    <n v="0.25"/>
    <n v="0.40066666666666667"/>
    <n v="0.1"/>
    <n v="0"/>
    <n v="0"/>
    <n v="3.4381666666666666"/>
    <s v="16.04.2023"/>
    <n v="1"/>
    <s v="The GOATs"/>
    <m/>
    <n v="1"/>
  </r>
  <r>
    <x v="44"/>
    <s v="M"/>
    <n v="14"/>
    <n v="50.51"/>
    <d v="1899-12-30T08:26:33"/>
    <d v="1899-12-30T10:10:46"/>
    <d v="1899-12-30T09:18:39"/>
    <n v="1918"/>
    <d v="1899-12-30T00:11:04"/>
    <n v="5"/>
    <n v="0"/>
    <n v="5"/>
    <x v="1"/>
    <n v="0.25"/>
    <n v="0.5"/>
    <n v="0.25"/>
    <n v="1.2786666666666666"/>
    <n v="1.4"/>
    <n v="0"/>
    <n v="0"/>
    <n v="5.1786666666666665"/>
    <s v="14.04.2023"/>
    <n v="1"/>
    <s v="UltraHaita lu' Borcan"/>
    <m/>
    <n v="0"/>
  </r>
  <r>
    <x v="1"/>
    <s v="M"/>
    <n v="15"/>
    <n v="25.16"/>
    <d v="1899-12-30T02:22:45"/>
    <d v="1899-12-30T02:22:45"/>
    <d v="1899-12-30T02:22:45"/>
    <m/>
    <d v="1899-12-30T00:05:40"/>
    <n v="5"/>
    <n v="1.75"/>
    <n v="0.75"/>
    <x v="2"/>
    <n v="0.25"/>
    <n v="0.25"/>
    <n v="0.5"/>
    <n v="0"/>
    <n v="0.2"/>
    <n v="0"/>
    <n v="0"/>
    <n v="2.2625000000000002"/>
    <s v="19.04.2023"/>
    <n v="1"/>
    <e v="#N/A"/>
    <m/>
    <n v="1"/>
  </r>
  <r>
    <x v="74"/>
    <s v="F"/>
    <n v="14"/>
    <n v="9.2100000000000009"/>
    <d v="1899-12-30T00:56:31"/>
    <d v="1899-12-30T01:00:07"/>
    <d v="1899-12-30T00:58:19"/>
    <m/>
    <d v="1899-12-30T00:06:20"/>
    <n v="2.3025000000000002"/>
    <n v="1.5"/>
    <n v="3"/>
    <x v="1"/>
    <n v="0.25"/>
    <n v="0.5"/>
    <n v="0.25"/>
    <n v="0"/>
    <n v="0"/>
    <n v="0"/>
    <n v="0"/>
    <n v="2.0756250000000001"/>
    <s v="19.04.2023"/>
    <n v="1"/>
    <s v="UltraHaita lu' Borcan"/>
    <m/>
    <n v="1"/>
  </r>
  <r>
    <x v="68"/>
    <s v="F"/>
    <n v="14"/>
    <n v="3.5"/>
    <d v="1899-12-30T00:16:10"/>
    <d v="1899-12-30T00:16:53"/>
    <d v="1899-12-30T00:16:31"/>
    <m/>
    <d v="1899-12-30T00:04:43"/>
    <n v="0.875"/>
    <n v="4.5"/>
    <n v="1"/>
    <x v="1"/>
    <n v="0.25"/>
    <n v="0.5"/>
    <n v="0.25"/>
    <n v="0"/>
    <n v="0"/>
    <n v="0"/>
    <n v="0"/>
    <n v="2.71875"/>
    <s v="19.04.2023"/>
    <n v="1"/>
    <s v="Almost Kenyan Runners"/>
    <m/>
    <n v="1"/>
  </r>
  <r>
    <x v="99"/>
    <s v="F"/>
    <n v="15"/>
    <n v="9.5"/>
    <d v="1899-12-30T00:53:02"/>
    <d v="1899-12-30T00:53:57"/>
    <d v="1899-12-30T00:53:30"/>
    <m/>
    <d v="1899-12-30T00:05:38"/>
    <n v="2.375"/>
    <n v="2.5"/>
    <n v="2.25"/>
    <x v="1"/>
    <n v="0.25"/>
    <n v="0.5"/>
    <n v="0.25"/>
    <n v="0"/>
    <n v="0"/>
    <n v="0"/>
    <n v="0"/>
    <n v="2.40625"/>
    <s v="19.04.2023"/>
    <n v="1"/>
    <s v="#notSYRious"/>
    <m/>
    <n v="1"/>
  </r>
  <r>
    <x v="7"/>
    <s v="M"/>
    <n v="15"/>
    <n v="11.39"/>
    <d v="1899-12-30T00:57:39"/>
    <d v="1899-12-30T00:58:16"/>
    <d v="1899-12-30T00:57:58"/>
    <m/>
    <d v="1899-12-30T00:05:05"/>
    <n v="2.711904761904762"/>
    <n v="2.5"/>
    <n v="2"/>
    <x v="2"/>
    <n v="0.25"/>
    <n v="0.25"/>
    <n v="0.5"/>
    <n v="0"/>
    <n v="0"/>
    <n v="0"/>
    <n v="0"/>
    <n v="2.3029761904761905"/>
    <s v="19.04.2023"/>
    <n v="1"/>
    <s v="MedgidiaRunning"/>
    <m/>
    <n v="1"/>
  </r>
  <r>
    <x v="28"/>
    <s v="M"/>
    <n v="15"/>
    <n v="5.01"/>
    <d v="1899-12-30T00:37:15"/>
    <d v="1899-12-30T00:39:57"/>
    <d v="1899-12-30T00:38:36"/>
    <m/>
    <d v="1899-12-30T00:07:42"/>
    <n v="1.1928571428571428"/>
    <n v="0.25"/>
    <n v="4"/>
    <x v="1"/>
    <n v="0.25"/>
    <n v="0.5"/>
    <n v="0.25"/>
    <n v="0"/>
    <n v="0"/>
    <n v="0"/>
    <n v="0"/>
    <n v="1.4232142857142858"/>
    <s v="20.04.2023"/>
    <n v="1"/>
    <s v="UltraHaita lu' Borcan"/>
    <m/>
    <n v="1"/>
  </r>
  <r>
    <x v="105"/>
    <s v="M"/>
    <n v="15"/>
    <n v="10.51"/>
    <d v="1899-12-30T00:42:10"/>
    <d v="1899-12-30T00:42:10"/>
    <d v="1899-12-30T00:42:10"/>
    <m/>
    <d v="1899-12-30T00:04:01"/>
    <n v="2.5023809523809524"/>
    <n v="5"/>
    <n v="1.5"/>
    <x v="1"/>
    <n v="0.25"/>
    <n v="0.5"/>
    <n v="0.25"/>
    <n v="0"/>
    <n v="0"/>
    <n v="0"/>
    <n v="0"/>
    <n v="3.5005952380952383"/>
    <s v="20.04.2023"/>
    <n v="1"/>
    <s v="The GOATs"/>
    <m/>
    <n v="1"/>
  </r>
  <r>
    <x v="53"/>
    <s v="M"/>
    <n v="15"/>
    <n v="10.220000000000001"/>
    <d v="1899-12-30T00:50:54"/>
    <d v="1899-12-30T00:50:54"/>
    <d v="1899-12-30T00:50:54"/>
    <m/>
    <d v="1899-12-30T00:04:59"/>
    <n v="2.4333333333333336"/>
    <n v="3"/>
    <n v="2"/>
    <x v="2"/>
    <n v="0.25"/>
    <n v="0.25"/>
    <n v="0.5"/>
    <n v="0"/>
    <n v="0"/>
    <n v="0"/>
    <n v="0"/>
    <n v="2.3583333333333334"/>
    <s v="20.04.2023"/>
    <n v="1"/>
    <s v="#notSYRious"/>
    <m/>
    <n v="1"/>
  </r>
  <r>
    <x v="116"/>
    <s v="M"/>
    <n v="15"/>
    <n v="15"/>
    <d v="1899-12-30T01:17:13"/>
    <d v="1899-12-30T01:23:21"/>
    <d v="1899-12-30T01:20:17"/>
    <n v="87"/>
    <d v="1899-12-30T00:05:21"/>
    <n v="3.5714285714285712"/>
    <n v="2"/>
    <n v="2"/>
    <x v="0"/>
    <n v="0.5"/>
    <n v="0.25"/>
    <n v="0.25"/>
    <n v="5.8000000000000003E-2"/>
    <n v="0"/>
    <n v="0"/>
    <n v="0"/>
    <n v="2.8437142857142854"/>
    <s v="20.04.2023"/>
    <n v="1"/>
    <e v="#N/A"/>
    <m/>
    <n v="1"/>
  </r>
  <r>
    <x v="106"/>
    <s v="F"/>
    <n v="15"/>
    <n v="7.46"/>
    <d v="1899-12-30T00:55:05"/>
    <d v="1899-12-30T00:55:05"/>
    <d v="1899-12-30T00:55:05"/>
    <m/>
    <d v="1899-12-30T00:07:23"/>
    <n v="1.865"/>
    <n v="0.5"/>
    <n v="2.5"/>
    <x v="0"/>
    <n v="0.5"/>
    <n v="0.25"/>
    <n v="0.25"/>
    <n v="0"/>
    <n v="0"/>
    <n v="0"/>
    <n v="0"/>
    <n v="1.6825000000000001"/>
    <s v="20.04.2023"/>
    <n v="1"/>
    <s v="MedgidiaRunning"/>
    <m/>
    <n v="1"/>
  </r>
  <r>
    <x v="3"/>
    <s v="M"/>
    <n v="15"/>
    <n v="10.01"/>
    <d v="1899-12-30T00:48:28"/>
    <d v="1899-12-30T00:50:48"/>
    <d v="1899-12-30T00:49:38"/>
    <m/>
    <d v="1899-12-30T00:04:58"/>
    <n v="2.3833333333333333"/>
    <n v="3"/>
    <n v="3"/>
    <x v="1"/>
    <n v="0.25"/>
    <n v="0.5"/>
    <n v="0.25"/>
    <n v="0"/>
    <n v="0"/>
    <n v="0"/>
    <n v="0.4"/>
    <n v="3.2458333333333331"/>
    <s v="22.04.2023"/>
    <n v="1"/>
    <s v="MedgidiaRunning"/>
    <m/>
    <n v="1"/>
  </r>
  <r>
    <x v="52"/>
    <s v="M"/>
    <n v="15"/>
    <n v="10"/>
    <d v="1899-12-30T00:43:11"/>
    <d v="1899-12-30T00:43:11"/>
    <d v="1899-12-30T00:43:11"/>
    <m/>
    <d v="1899-12-30T00:04:19"/>
    <n v="2.3809523809523809"/>
    <n v="4"/>
    <n v="2.25"/>
    <x v="1"/>
    <n v="0.25"/>
    <n v="0.5"/>
    <n v="0.25"/>
    <n v="0"/>
    <n v="0"/>
    <n v="0"/>
    <n v="0"/>
    <n v="3.1577380952380953"/>
    <s v="22.04.2023"/>
    <n v="1"/>
    <e v="#N/A"/>
    <m/>
    <n v="1"/>
  </r>
  <r>
    <x v="0"/>
    <s v="M"/>
    <n v="15"/>
    <n v="3.74"/>
    <d v="1899-12-30T00:18:39"/>
    <d v="1899-12-30T00:18:44"/>
    <d v="1899-12-30T00:18:41"/>
    <m/>
    <d v="1899-12-30T00:05:00"/>
    <n v="0.89047619047619053"/>
    <n v="3"/>
    <n v="3"/>
    <x v="1"/>
    <n v="0.25"/>
    <n v="0.5"/>
    <n v="0.25"/>
    <n v="0"/>
    <n v="0"/>
    <n v="0"/>
    <n v="0"/>
    <n v="2.4726190476190477"/>
    <s v="22.04.2023"/>
    <n v="1"/>
    <s v="UltraHaita lu' Borcan"/>
    <m/>
    <n v="1"/>
  </r>
  <r>
    <x v="19"/>
    <s v="M"/>
    <n v="15"/>
    <n v="21.29"/>
    <d v="1899-12-30T02:35:26"/>
    <d v="1899-12-30T02:39:36"/>
    <d v="1899-12-30T02:37:31"/>
    <n v="1064"/>
    <d v="1899-12-30T00:07:24"/>
    <n v="5"/>
    <n v="0.25"/>
    <n v="2.75"/>
    <x v="2"/>
    <n v="0.25"/>
    <n v="0.25"/>
    <n v="0.5"/>
    <n v="0.70933333333333337"/>
    <n v="0"/>
    <n v="0"/>
    <n v="0"/>
    <n v="3.3968333333333334"/>
    <s v="22.04.2023"/>
    <n v="1"/>
    <e v="#N/A"/>
    <m/>
    <n v="1"/>
  </r>
  <r>
    <x v="77"/>
    <s v="F"/>
    <n v="15"/>
    <n v="10.7"/>
    <d v="1899-12-30T01:08:55"/>
    <d v="1899-12-30T01:09:18"/>
    <d v="1899-12-30T01:09:07"/>
    <m/>
    <d v="1899-12-30T00:06:28"/>
    <n v="2.6749999999999998"/>
    <n v="1.5"/>
    <n v="4.25"/>
    <x v="1"/>
    <n v="0.25"/>
    <n v="0.5"/>
    <n v="0.25"/>
    <n v="0"/>
    <n v="0"/>
    <n v="0"/>
    <n v="0"/>
    <n v="2.4812500000000002"/>
    <s v="22.04.2023"/>
    <n v="1"/>
    <s v="The GOATs"/>
    <m/>
    <n v="1"/>
  </r>
  <r>
    <x v="15"/>
    <s v="F"/>
    <n v="15"/>
    <n v="9.43"/>
    <d v="1899-12-30T00:53:55"/>
    <d v="1899-12-30T00:53:55"/>
    <d v="1899-12-30T00:53:55"/>
    <m/>
    <d v="1899-12-30T00:05:43"/>
    <n v="2.3574999999999999"/>
    <n v="2.5"/>
    <n v="3.5"/>
    <x v="1"/>
    <n v="0.25"/>
    <n v="0.5"/>
    <n v="0.25"/>
    <n v="0"/>
    <n v="0"/>
    <n v="0"/>
    <n v="0"/>
    <n v="2.714375"/>
    <s v="23.04.2023"/>
    <n v="1"/>
    <e v="#N/A"/>
    <m/>
    <n v="1"/>
  </r>
  <r>
    <x v="22"/>
    <s v="F"/>
    <n v="15"/>
    <n v="5.0199999999999996"/>
    <d v="1899-12-30T00:29:47"/>
    <d v="1899-12-30T00:31:00"/>
    <d v="1899-12-30T00:30:24"/>
    <m/>
    <d v="1899-12-30T00:06:03"/>
    <n v="1.2549999999999999"/>
    <n v="1.75"/>
    <n v="3.25"/>
    <x v="1"/>
    <n v="0.25"/>
    <n v="0.5"/>
    <n v="0.25"/>
    <n v="0"/>
    <n v="0"/>
    <n v="0"/>
    <n v="0"/>
    <n v="2.0012499999999998"/>
    <s v="23.04.2023"/>
    <n v="1"/>
    <s v="MedgidiaRunning"/>
    <m/>
    <n v="1"/>
  </r>
  <r>
    <x v="36"/>
    <s v="M"/>
    <n v="15"/>
    <n v="4.01"/>
    <d v="1899-12-30T00:18:39"/>
    <d v="1899-12-30T00:20:27"/>
    <d v="1899-12-30T00:19:33"/>
    <m/>
    <d v="1899-12-30T00:04:53"/>
    <n v="0.9547619047619047"/>
    <n v="3"/>
    <n v="2.75"/>
    <x v="1"/>
    <n v="0.25"/>
    <n v="0.5"/>
    <n v="0.25"/>
    <n v="0"/>
    <n v="0"/>
    <n v="0"/>
    <n v="0"/>
    <n v="2.4261904761904765"/>
    <s v="23.04.2023"/>
    <n v="1"/>
    <s v="MedgidiaRunning"/>
    <m/>
    <n v="1"/>
  </r>
  <r>
    <x v="75"/>
    <s v="F"/>
    <n v="15"/>
    <n v="6"/>
    <d v="1899-12-30T00:33:35"/>
    <d v="1899-12-30T00:34:03"/>
    <d v="1899-12-30T00:33:49"/>
    <m/>
    <d v="1899-12-30T00:05:38"/>
    <n v="1.5"/>
    <n v="2.5"/>
    <n v="3.5"/>
    <x v="1"/>
    <n v="0.25"/>
    <n v="0.5"/>
    <n v="0.25"/>
    <n v="0"/>
    <n v="0"/>
    <n v="0"/>
    <n v="0"/>
    <n v="2.5"/>
    <s v="23.04.2023"/>
    <n v="1"/>
    <s v="#notSYRious"/>
    <m/>
    <n v="1"/>
  </r>
  <r>
    <x v="29"/>
    <s v="F"/>
    <n v="15"/>
    <n v="10.09"/>
    <d v="1899-12-30T00:45:35"/>
    <d v="1899-12-30T00:45:35"/>
    <d v="1899-12-30T00:45:35"/>
    <m/>
    <d v="1899-12-30T00:04:31"/>
    <n v="2.5225"/>
    <n v="4.5"/>
    <n v="1.5"/>
    <x v="2"/>
    <n v="0.25"/>
    <n v="0.25"/>
    <n v="0.5"/>
    <n v="0"/>
    <n v="0"/>
    <n v="0"/>
    <n v="0"/>
    <n v="2.5056250000000002"/>
    <s v="23.04.2023"/>
    <n v="1"/>
    <e v="#N/A"/>
    <m/>
    <n v="1"/>
  </r>
  <r>
    <x v="65"/>
    <s v="F"/>
    <n v="15"/>
    <n v="17.239999999999998"/>
    <d v="1899-12-30T02:35:31"/>
    <d v="1899-12-30T02:45:46"/>
    <d v="1899-12-30T02:40:39"/>
    <n v="605"/>
    <d v="1899-12-30T00:09:19"/>
    <n v="4.3099999999999996"/>
    <n v="0"/>
    <n v="1"/>
    <x v="2"/>
    <n v="0.25"/>
    <n v="0.25"/>
    <n v="0.5"/>
    <n v="0.40333333333333332"/>
    <n v="0"/>
    <n v="0"/>
    <n v="0"/>
    <n v="1.9808333333333332"/>
    <s v="23.04.2023"/>
    <n v="1"/>
    <e v="#N/A"/>
    <m/>
    <n v="0"/>
  </r>
  <r>
    <x v="11"/>
    <s v="M"/>
    <n v="15"/>
    <n v="11.5"/>
    <d v="1899-12-30T01:01:37"/>
    <d v="1899-12-30T01:01:46"/>
    <d v="1899-12-30T01:01:41"/>
    <n v="152"/>
    <d v="1899-12-30T00:05:22"/>
    <n v="2.7380952380952381"/>
    <n v="2"/>
    <n v="3"/>
    <x v="2"/>
    <n v="0.25"/>
    <n v="0.25"/>
    <n v="0.5"/>
    <n v="0.10133333333333333"/>
    <n v="0"/>
    <n v="0"/>
    <n v="0.4"/>
    <n v="3.1858571428571425"/>
    <s v="23.04.2023"/>
    <n v="1"/>
    <e v="#N/A"/>
    <m/>
    <n v="1"/>
  </r>
  <r>
    <x v="121"/>
    <s v="M"/>
    <n v="15"/>
    <n v="10.18"/>
    <d v="1899-12-30T01:04:55"/>
    <d v="1899-12-30T01:06:17"/>
    <d v="1899-12-30T01:05:36"/>
    <m/>
    <d v="1899-12-30T00:06:27"/>
    <n v="2.4238095238095236"/>
    <n v="1"/>
    <n v="1.5"/>
    <x v="2"/>
    <n v="0.25"/>
    <n v="0.25"/>
    <n v="0.5"/>
    <n v="0"/>
    <n v="0"/>
    <n v="0"/>
    <n v="0"/>
    <n v="1.605952380952381"/>
    <s v="23.04.2023"/>
    <n v="1"/>
    <e v="#N/A"/>
    <m/>
    <n v="1"/>
  </r>
  <r>
    <x v="16"/>
    <s v="F"/>
    <n v="15"/>
    <n v="17"/>
    <d v="1899-12-30T01:46:19"/>
    <d v="1899-12-30T01:50:20"/>
    <d v="1899-12-30T01:48:20"/>
    <n v="100"/>
    <d v="1899-12-30T00:06:22"/>
    <n v="4.25"/>
    <n v="1.5"/>
    <n v="2"/>
    <x v="2"/>
    <n v="0.25"/>
    <n v="0.25"/>
    <n v="0.5"/>
    <n v="6.6666666666666666E-2"/>
    <n v="0"/>
    <n v="0"/>
    <n v="0"/>
    <n v="2.5041666666666669"/>
    <s v="23.04.2023"/>
    <n v="1"/>
    <s v="MedgidiaRunning"/>
    <m/>
    <n v="1"/>
  </r>
  <r>
    <x v="35"/>
    <s v="F"/>
    <n v="15"/>
    <n v="10.02"/>
    <d v="1899-12-30T01:07:09"/>
    <d v="1899-12-30T01:18:10"/>
    <d v="1899-12-30T01:12:40"/>
    <m/>
    <d v="1899-12-30T00:07:15"/>
    <n v="2.5049999999999999"/>
    <n v="0.75"/>
    <n v="3.75"/>
    <x v="1"/>
    <n v="0.25"/>
    <n v="0.5"/>
    <n v="0.25"/>
    <n v="0"/>
    <n v="0"/>
    <n v="0"/>
    <n v="0"/>
    <n v="1.93875"/>
    <s v="23.04.2023"/>
    <n v="1"/>
    <s v="#notSYRious"/>
    <m/>
    <n v="1"/>
  </r>
  <r>
    <x v="18"/>
    <s v="M"/>
    <n v="15"/>
    <n v="134.36000000000001"/>
    <d v="1899-12-30T16:23:24"/>
    <d v="1899-12-30T23:59:51"/>
    <d v="1899-12-30T20:11:38"/>
    <n v="706"/>
    <d v="1899-12-30T00:09:01"/>
    <n v="5"/>
    <n v="0"/>
    <n v="2"/>
    <x v="1"/>
    <n v="0.25"/>
    <n v="0.5"/>
    <n v="0.25"/>
    <n v="0.47066666666666668"/>
    <n v="4.7"/>
    <n v="0"/>
    <n v="0"/>
    <n v="6.9206666666666674"/>
    <s v="23.04.2023"/>
    <n v="1"/>
    <s v="UltraHaita lu' Borcan"/>
    <m/>
    <n v="0"/>
  </r>
  <r>
    <x v="13"/>
    <s v="M"/>
    <n v="15"/>
    <n v="14.33"/>
    <d v="1899-12-30T01:57:37"/>
    <d v="1899-12-30T01:59:12"/>
    <d v="1899-12-30T01:58:25"/>
    <n v="193"/>
    <d v="1899-12-30T00:08:16"/>
    <n v="3.4119047619047618"/>
    <n v="0"/>
    <n v="2.25"/>
    <x v="1"/>
    <n v="0.25"/>
    <n v="0.5"/>
    <n v="0.25"/>
    <n v="0.12866666666666668"/>
    <n v="0"/>
    <n v="0"/>
    <n v="0"/>
    <n v="1.544142857142857"/>
    <s v="23.04.2023"/>
    <n v="1"/>
    <s v="MedgidiaRunning"/>
    <m/>
    <n v="0"/>
  </r>
  <r>
    <x v="21"/>
    <s v="M"/>
    <n v="15"/>
    <n v="10.43"/>
    <d v="1899-12-30T00:49:41"/>
    <d v="1899-12-30T00:49:57"/>
    <d v="1899-12-30T00:49:49"/>
    <m/>
    <d v="1899-12-30T00:04:47"/>
    <n v="2.4833333333333329"/>
    <n v="3"/>
    <n v="2.5"/>
    <x v="2"/>
    <n v="0.25"/>
    <n v="0.25"/>
    <n v="0.5"/>
    <n v="0"/>
    <n v="0"/>
    <n v="0"/>
    <n v="0.4"/>
    <n v="3.020833333333333"/>
    <s v="23.04.2023"/>
    <n v="1"/>
    <s v="#notSYRious"/>
    <m/>
    <n v="1"/>
  </r>
  <r>
    <x v="32"/>
    <s v="M"/>
    <n v="15"/>
    <n v="42.7"/>
    <d v="1899-12-30T03:33:32"/>
    <d v="1899-12-30T03:35:00"/>
    <d v="1899-12-30T03:34:16"/>
    <n v="133"/>
    <d v="1899-12-30T00:05:01"/>
    <n v="5"/>
    <n v="2.5"/>
    <n v="2.25"/>
    <x v="1"/>
    <n v="0.25"/>
    <n v="0.5"/>
    <n v="0.25"/>
    <n v="8.8666666666666671E-2"/>
    <n v="1"/>
    <n v="0"/>
    <n v="0"/>
    <n v="4.1511666666666667"/>
    <s v="23.04.2023"/>
    <n v="1"/>
    <e v="#N/A"/>
    <m/>
    <n v="1"/>
  </r>
  <r>
    <x v="58"/>
    <s v="M"/>
    <n v="15"/>
    <n v="17.62"/>
    <d v="1899-12-30T01:19:38"/>
    <d v="1899-12-30T01:19:51"/>
    <d v="1899-12-30T01:19:45"/>
    <n v="208"/>
    <d v="1899-12-30T00:04:32"/>
    <n v="4.1952380952380954"/>
    <n v="3.5"/>
    <n v="3.25"/>
    <x v="2"/>
    <n v="0.25"/>
    <n v="0.25"/>
    <n v="0.5"/>
    <n v="0.13866666666666666"/>
    <n v="0"/>
    <n v="0"/>
    <n v="0"/>
    <n v="3.6874761904761906"/>
    <s v="23.04.2023"/>
    <n v="1"/>
    <s v="Almost Kenyan Runners"/>
    <m/>
    <n v="1"/>
  </r>
  <r>
    <x v="67"/>
    <s v="M"/>
    <n v="15"/>
    <n v="3.03"/>
    <d v="1899-12-30T00:11:33"/>
    <d v="1899-12-30T00:11:39"/>
    <d v="1899-12-30T00:11:36"/>
    <m/>
    <d v="1899-12-30T00:03:50"/>
    <n v="0.72142857142857131"/>
    <n v="5"/>
    <n v="2"/>
    <x v="2"/>
    <n v="0.25"/>
    <n v="0.25"/>
    <n v="0.5"/>
    <n v="0"/>
    <n v="0"/>
    <n v="0.89999999999999991"/>
    <n v="0"/>
    <n v="3.3303571428571428"/>
    <s v="23.04.2023"/>
    <n v="1"/>
    <s v="Almost Kenyan Runners"/>
    <m/>
    <n v="1"/>
  </r>
  <r>
    <x v="24"/>
    <s v="M"/>
    <n v="15"/>
    <n v="8.7799999999999994"/>
    <d v="1899-12-30T00:35:52"/>
    <d v="1899-12-30T00:36:00"/>
    <d v="1899-12-30T00:35:56"/>
    <m/>
    <d v="1899-12-30T00:04:06"/>
    <n v="2.0904761904761902"/>
    <n v="4.5"/>
    <n v="1.75"/>
    <x v="2"/>
    <n v="0.25"/>
    <n v="0.25"/>
    <n v="0.5"/>
    <n v="0"/>
    <n v="0"/>
    <n v="0"/>
    <n v="0"/>
    <n v="2.5226190476190475"/>
    <s v="23.04.2023"/>
    <n v="1"/>
    <e v="#N/A"/>
    <m/>
    <n v="1"/>
  </r>
  <r>
    <x v="98"/>
    <s v="F"/>
    <n v="15"/>
    <n v="7.02"/>
    <d v="1899-12-30T00:39:08"/>
    <d v="1899-12-30T00:39:46"/>
    <d v="1899-12-30T00:39:27"/>
    <m/>
    <d v="1899-12-30T00:05:37"/>
    <n v="1.7549999999999999"/>
    <n v="2.5"/>
    <n v="3"/>
    <x v="2"/>
    <n v="0.25"/>
    <n v="0.25"/>
    <n v="0.5"/>
    <n v="0"/>
    <n v="0"/>
    <n v="0"/>
    <n v="0"/>
    <n v="2.5637499999999998"/>
    <s v="23.04.2023"/>
    <n v="1"/>
    <s v="#notSYRious"/>
    <m/>
    <n v="1"/>
  </r>
  <r>
    <x v="71"/>
    <s v="M"/>
    <n v="15"/>
    <n v="21.17"/>
    <d v="1899-12-30T02:00:43"/>
    <d v="1899-12-30T02:01:27"/>
    <d v="1899-12-30T02:01:05"/>
    <m/>
    <d v="1899-12-30T00:05:43"/>
    <n v="5"/>
    <n v="1.75"/>
    <n v="2.75"/>
    <x v="0"/>
    <n v="0.5"/>
    <n v="0.25"/>
    <n v="0.25"/>
    <n v="0"/>
    <n v="0"/>
    <n v="0"/>
    <n v="0"/>
    <n v="3.625"/>
    <s v="23.04.2023"/>
    <n v="1"/>
    <s v="MedgidiaRunning"/>
    <m/>
    <n v="1"/>
  </r>
  <r>
    <x v="111"/>
    <s v="F"/>
    <n v="15"/>
    <n v="6.16"/>
    <d v="1899-12-30T00:39:30"/>
    <d v="1899-12-30T00:40:03"/>
    <d v="1899-12-30T00:39:47"/>
    <m/>
    <d v="1899-12-30T00:06:27"/>
    <n v="1.54"/>
    <n v="1.5"/>
    <n v="3"/>
    <x v="2"/>
    <n v="0.25"/>
    <n v="0.25"/>
    <n v="0.5"/>
    <n v="0"/>
    <n v="0"/>
    <n v="0"/>
    <n v="0.4"/>
    <n v="2.6599999999999997"/>
    <s v="23.04.2023"/>
    <n v="1"/>
    <e v="#N/A"/>
    <m/>
    <n v="1"/>
  </r>
  <r>
    <x v="9"/>
    <s v="M"/>
    <n v="15"/>
    <n v="3.2"/>
    <d v="1899-12-30T00:11:30"/>
    <d v="1899-12-30T00:11:40"/>
    <d v="1899-12-30T00:11:35"/>
    <m/>
    <d v="1899-12-30T00:03:37"/>
    <n v="0.76190476190476186"/>
    <n v="5"/>
    <n v="2.5"/>
    <x v="1"/>
    <n v="0.25"/>
    <n v="0.5"/>
    <n v="0.25"/>
    <n v="0"/>
    <n v="0"/>
    <n v="2.25"/>
    <n v="0"/>
    <n v="5.5654761904761907"/>
    <s v="23.04.2023"/>
    <n v="1"/>
    <s v="The GOATs"/>
    <m/>
    <n v="1"/>
  </r>
  <r>
    <x v="2"/>
    <s v="F"/>
    <n v="15"/>
    <n v="5.03"/>
    <d v="1899-12-30T00:26:29"/>
    <d v="1899-12-30T00:26:32"/>
    <d v="1899-12-30T00:26:31"/>
    <m/>
    <d v="1899-12-30T00:05:16"/>
    <n v="1.2575000000000001"/>
    <n v="3"/>
    <n v="3"/>
    <x v="1"/>
    <n v="0.25"/>
    <n v="0.5"/>
    <n v="0.25"/>
    <n v="0"/>
    <n v="0"/>
    <n v="0"/>
    <n v="0"/>
    <n v="2.5643750000000001"/>
    <s v="23.04.2023"/>
    <n v="1"/>
    <s v="MedgidiaRunning"/>
    <m/>
    <n v="1"/>
  </r>
  <r>
    <x v="117"/>
    <s v="M"/>
    <n v="15"/>
    <n v="12.28"/>
    <d v="1899-12-30T01:06:27"/>
    <d v="1899-12-30T01:06:27"/>
    <d v="1899-12-30T01:06:27"/>
    <n v="731"/>
    <d v="1899-12-30T00:05:25"/>
    <n v="2.9238095238095236"/>
    <n v="2"/>
    <n v="1"/>
    <x v="2"/>
    <n v="0.25"/>
    <n v="0.25"/>
    <n v="0.5"/>
    <n v="0.48733333333333334"/>
    <n v="0"/>
    <n v="0"/>
    <n v="0"/>
    <n v="2.2182857142857144"/>
    <s v="23.04.2023"/>
    <n v="1"/>
    <e v="#N/A"/>
    <m/>
    <n v="1"/>
  </r>
  <r>
    <x v="41"/>
    <s v="M"/>
    <n v="15"/>
    <n v="43.83"/>
    <d v="1899-12-30T04:54:58"/>
    <d v="1899-12-30T04:59:33"/>
    <d v="1899-12-30T04:57:15"/>
    <n v="1713"/>
    <d v="1899-12-30T00:06:47"/>
    <n v="5"/>
    <n v="0.5"/>
    <n v="4.5"/>
    <x v="0"/>
    <n v="0.5"/>
    <n v="0.25"/>
    <n v="0.25"/>
    <n v="1.1419999999999999"/>
    <n v="1.1000000000000001"/>
    <n v="0"/>
    <n v="0"/>
    <n v="5.9919999999999991"/>
    <s v="23.04.2023"/>
    <n v="1"/>
    <s v="UltraHaita lu' Borcan"/>
    <m/>
    <n v="1"/>
  </r>
  <r>
    <x v="113"/>
    <s v="M"/>
    <n v="15"/>
    <n v="10.11"/>
    <d v="1899-12-30T00:39:59"/>
    <d v="1899-12-30T00:40:02"/>
    <d v="1899-12-30T00:40:00"/>
    <n v="115"/>
    <d v="1899-12-30T00:03:57"/>
    <n v="2.407142857142857"/>
    <n v="5"/>
    <n v="1.5"/>
    <x v="2"/>
    <n v="0.25"/>
    <n v="0.25"/>
    <n v="0.5"/>
    <n v="7.6666666666666661E-2"/>
    <n v="0"/>
    <n v="0.15000000000000002"/>
    <n v="0"/>
    <n v="2.8284523809523807"/>
    <s v="23.04.2023"/>
    <n v="1"/>
    <e v="#N/A"/>
    <m/>
    <n v="1"/>
  </r>
  <r>
    <x v="54"/>
    <s v="F"/>
    <n v="15"/>
    <n v="8.15"/>
    <d v="1899-12-30T00:59:21"/>
    <d v="1899-12-30T01:24:49"/>
    <d v="1899-12-30T01:12:05"/>
    <m/>
    <d v="1899-12-30T00:08:51"/>
    <n v="2.0375000000000001"/>
    <n v="0.25"/>
    <n v="2.25"/>
    <x v="1"/>
    <n v="0.25"/>
    <n v="0.5"/>
    <n v="0.25"/>
    <n v="0"/>
    <n v="0"/>
    <n v="0"/>
    <n v="0.7"/>
    <n v="1.8968749999999999"/>
    <s v="23.04.2023"/>
    <n v="1"/>
    <s v="UltraHaita lu' Borcan"/>
    <m/>
    <n v="1"/>
  </r>
  <r>
    <x v="92"/>
    <s v="F"/>
    <n v="15"/>
    <n v="10.54"/>
    <d v="1899-12-30T01:02:23"/>
    <d v="1899-12-30T01:44:42"/>
    <d v="1899-12-30T01:23:33"/>
    <m/>
    <d v="1899-12-30T00:07:56"/>
    <n v="2.6349999999999998"/>
    <n v="0.25"/>
    <n v="1.25"/>
    <x v="2"/>
    <n v="0.25"/>
    <n v="0.25"/>
    <n v="0.5"/>
    <n v="0"/>
    <n v="0"/>
    <n v="0"/>
    <n v="0"/>
    <n v="1.3462499999999999"/>
    <s v="23.04.2023"/>
    <n v="1"/>
    <s v="The GOATs"/>
    <m/>
    <n v="1"/>
  </r>
  <r>
    <x v="68"/>
    <s v="F"/>
    <n v="15"/>
    <n v="7.15"/>
    <d v="1899-12-30T00:45:19"/>
    <d v="1899-12-30T00:49:33"/>
    <d v="1899-12-30T00:47:26"/>
    <n v="62"/>
    <d v="1899-12-30T00:06:38"/>
    <n v="1.7875000000000001"/>
    <n v="1.25"/>
    <n v="2.75"/>
    <x v="2"/>
    <n v="0.25"/>
    <n v="0.25"/>
    <n v="0.5"/>
    <n v="4.1333333333333333E-2"/>
    <n v="0"/>
    <n v="0"/>
    <n v="0"/>
    <n v="2.1757083333333331"/>
    <s v="23.04.2023"/>
    <n v="1"/>
    <s v="Almost Kenyan Runners"/>
    <m/>
    <n v="1"/>
  </r>
  <r>
    <x v="114"/>
    <s v="M"/>
    <n v="15"/>
    <n v="17.940000000000001"/>
    <d v="1899-12-30T01:28:59"/>
    <d v="1899-12-30T01:29:07"/>
    <d v="1899-12-30T01:29:03"/>
    <n v="88"/>
    <d v="1899-12-30T00:04:58"/>
    <n v="4.2714285714285714"/>
    <n v="3"/>
    <n v="1.25"/>
    <x v="1"/>
    <n v="0.25"/>
    <n v="0.5"/>
    <n v="0.25"/>
    <n v="5.8666666666666666E-2"/>
    <n v="0"/>
    <n v="0"/>
    <n v="0"/>
    <n v="2.9390238095238099"/>
    <s v="23.04.2023"/>
    <n v="1"/>
    <e v="#N/A"/>
    <m/>
    <n v="1"/>
  </r>
  <r>
    <x v="60"/>
    <s v="M"/>
    <n v="15"/>
    <n v="33.01"/>
    <d v="1899-12-30T02:02:39"/>
    <d v="1899-12-30T02:02:39"/>
    <d v="1899-12-30T02:02:39"/>
    <m/>
    <d v="1899-12-30T00:03:43"/>
    <n v="5"/>
    <n v="5"/>
    <n v="3.25"/>
    <x v="0"/>
    <n v="0.5"/>
    <n v="0.25"/>
    <n v="0.25"/>
    <n v="0"/>
    <n v="0.6"/>
    <n v="1.4999999999999998"/>
    <n v="0"/>
    <n v="6.6624999999999996"/>
    <s v="23.04.2023"/>
    <n v="1"/>
    <s v="#notSYRious"/>
    <m/>
    <n v="1"/>
  </r>
  <r>
    <x v="50"/>
    <s v="M"/>
    <n v="15"/>
    <n v="50.37"/>
    <d v="1899-12-30T05:20:31"/>
    <d v="1899-12-30T05:41:00"/>
    <d v="1899-12-30T05:30:46"/>
    <n v="880"/>
    <d v="1899-12-30T00:06:34"/>
    <n v="5"/>
    <n v="0.75"/>
    <n v="4"/>
    <x v="1"/>
    <n v="0.25"/>
    <n v="0.5"/>
    <n v="0.25"/>
    <n v="0.58666666666666667"/>
    <n v="1.4"/>
    <n v="0"/>
    <n v="0"/>
    <n v="4.6116666666666664"/>
    <s v="23.04.2023"/>
    <n v="1"/>
    <s v="The GOATs"/>
    <m/>
    <n v="1"/>
  </r>
  <r>
    <x v="51"/>
    <s v="F"/>
    <n v="15"/>
    <n v="23.19"/>
    <d v="1899-12-30T04:21:29"/>
    <d v="1899-12-30T04:27:48"/>
    <d v="1899-12-30T04:24:39"/>
    <n v="824"/>
    <d v="1899-12-30T00:11:25"/>
    <n v="5"/>
    <n v="0"/>
    <n v="2.5"/>
    <x v="1"/>
    <n v="0.25"/>
    <n v="0.5"/>
    <n v="0.25"/>
    <n v="0.54933333333333334"/>
    <n v="0.1"/>
    <n v="0"/>
    <n v="0"/>
    <n v="2.5243333333333333"/>
    <s v="23.04.2023"/>
    <n v="1"/>
    <s v="#notSYRious"/>
    <m/>
    <n v="0"/>
  </r>
  <r>
    <x v="59"/>
    <s v="M"/>
    <n v="15"/>
    <n v="24.12"/>
    <d v="1899-12-30T03:50:09"/>
    <d v="1899-12-30T03:59:55"/>
    <d v="1899-12-30T03:55:02"/>
    <n v="1044"/>
    <d v="1899-12-30T00:09:45"/>
    <n v="5"/>
    <n v="0"/>
    <n v="1.5"/>
    <x v="2"/>
    <n v="0.25"/>
    <n v="0.25"/>
    <n v="0.5"/>
    <n v="0.69599999999999995"/>
    <n v="0.1"/>
    <n v="0"/>
    <n v="0"/>
    <n v="2.7959999999999998"/>
    <s v="23.04.2023"/>
    <n v="1"/>
    <s v="UltraHaita lu' Borcan"/>
    <m/>
    <n v="0"/>
  </r>
  <r>
    <x v="83"/>
    <s v="M"/>
    <n v="15"/>
    <n v="41.16"/>
    <d v="1899-12-30T05:15:36"/>
    <d v="1899-12-30T05:22:30"/>
    <d v="1899-12-30T05:19:03"/>
    <n v="1756"/>
    <d v="1899-12-30T00:07:45"/>
    <n v="5"/>
    <n v="0.25"/>
    <n v="2"/>
    <x v="2"/>
    <n v="0.25"/>
    <n v="0.25"/>
    <n v="0.5"/>
    <n v="1.1706666666666667"/>
    <n v="1"/>
    <n v="0"/>
    <n v="0"/>
    <n v="4.4831666666666665"/>
    <s v="23.04.2023"/>
    <n v="1"/>
    <e v="#N/A"/>
    <m/>
    <n v="1"/>
  </r>
  <r>
    <x v="57"/>
    <s v="M"/>
    <n v="15"/>
    <n v="21.21"/>
    <d v="1899-12-30T01:48:23"/>
    <d v="1899-12-30T01:48:48"/>
    <d v="1899-12-30T01:48:35"/>
    <n v="239"/>
    <d v="1899-12-30T00:05:07"/>
    <n v="5"/>
    <n v="2.5"/>
    <n v="3.5"/>
    <x v="2"/>
    <n v="0.25"/>
    <n v="0.25"/>
    <n v="0.5"/>
    <n v="0.15933333333333333"/>
    <n v="0"/>
    <n v="0"/>
    <n v="0"/>
    <n v="3.7843333333333335"/>
    <s v="23.04.2023"/>
    <n v="1"/>
    <s v="The GOATs"/>
    <m/>
    <n v="1"/>
  </r>
  <r>
    <x v="76"/>
    <s v="F"/>
    <n v="15"/>
    <n v="9.02"/>
    <d v="1899-12-30T00:52:07"/>
    <d v="1899-12-30T00:52:39"/>
    <d v="1899-12-30T00:52:23"/>
    <m/>
    <d v="1899-12-30T00:05:48"/>
    <n v="2.2549999999999999"/>
    <n v="2"/>
    <n v="1.5"/>
    <x v="2"/>
    <n v="0.25"/>
    <n v="0.25"/>
    <n v="0.5"/>
    <n v="0"/>
    <n v="0"/>
    <n v="0"/>
    <n v="0"/>
    <n v="1.81375"/>
    <s v="23.04.2023"/>
    <n v="1"/>
    <e v="#N/A"/>
    <m/>
    <n v="1"/>
  </r>
  <r>
    <x v="40"/>
    <s v="M"/>
    <n v="15"/>
    <n v="27.01"/>
    <d v="1899-12-30T03:47:12"/>
    <d v="1899-12-30T04:11:29"/>
    <d v="1899-12-30T03:59:21"/>
    <n v="1162"/>
    <d v="1899-12-30T00:08:52"/>
    <n v="5"/>
    <n v="0"/>
    <n v="2"/>
    <x v="2"/>
    <n v="0.25"/>
    <n v="0.25"/>
    <n v="0.5"/>
    <n v="0.77466666666666661"/>
    <n v="0.3"/>
    <n v="0"/>
    <n v="0"/>
    <n v="3.3246666666666664"/>
    <s v="23.04.2023"/>
    <n v="1"/>
    <s v="Almost Kenyan Runners"/>
    <m/>
    <n v="0"/>
  </r>
  <r>
    <x v="107"/>
    <s v="M"/>
    <n v="15"/>
    <n v="10.1"/>
    <d v="1899-12-30T00:50:59"/>
    <d v="1899-12-30T00:50:59"/>
    <d v="1899-12-30T00:50:59"/>
    <m/>
    <d v="1899-12-30T00:05:03"/>
    <n v="2.4047619047619047"/>
    <n v="2.5"/>
    <n v="1.5"/>
    <x v="1"/>
    <n v="0.25"/>
    <n v="0.5"/>
    <n v="0.25"/>
    <n v="0"/>
    <n v="0"/>
    <n v="0"/>
    <n v="0"/>
    <n v="2.2261904761904763"/>
    <s v="23.04.2023"/>
    <n v="1"/>
    <s v="The GOATs"/>
    <m/>
    <n v="1"/>
  </r>
  <r>
    <x v="69"/>
    <s v="M"/>
    <n v="15"/>
    <n v="11"/>
    <d v="1899-12-30T01:00:10"/>
    <d v="1899-12-30T01:00:16"/>
    <d v="1899-12-30T01:00:13"/>
    <m/>
    <d v="1899-12-30T00:05:28"/>
    <n v="2.6190476190476191"/>
    <n v="2"/>
    <n v="1.25"/>
    <x v="2"/>
    <n v="0.25"/>
    <n v="0.25"/>
    <n v="0.5"/>
    <n v="0"/>
    <n v="0"/>
    <n v="0"/>
    <n v="0"/>
    <n v="1.7797619047619047"/>
    <s v="23.04.2023"/>
    <n v="1"/>
    <s v="Almost Kenyan Runners"/>
    <m/>
    <n v="1"/>
  </r>
  <r>
    <x v="14"/>
    <s v="F"/>
    <n v="15"/>
    <n v="12.02"/>
    <d v="1899-12-30T00:58:22"/>
    <d v="1899-12-30T01:00:09"/>
    <d v="1899-12-30T00:59:16"/>
    <m/>
    <d v="1899-12-30T00:04:56"/>
    <n v="3.0049999999999999"/>
    <n v="4"/>
    <n v="2.75"/>
    <x v="2"/>
    <n v="0.25"/>
    <n v="0.25"/>
    <n v="0.5"/>
    <n v="0"/>
    <n v="0"/>
    <n v="0"/>
    <n v="0"/>
    <n v="3.1262499999999998"/>
    <s v="23.04.2023"/>
    <n v="1"/>
    <s v="MedgidiaRunning"/>
    <m/>
    <n v="1"/>
  </r>
  <r>
    <x v="20"/>
    <s v="F"/>
    <n v="15"/>
    <n v="10.25"/>
    <d v="1899-12-30T00:55:26"/>
    <d v="1899-12-30T00:57:56"/>
    <d v="1899-12-30T00:56:41"/>
    <n v="99"/>
    <d v="1899-12-30T00:05:32"/>
    <n v="2.5625"/>
    <n v="2.5"/>
    <n v="2.5"/>
    <x v="2"/>
    <n v="0.25"/>
    <n v="0.25"/>
    <n v="0.5"/>
    <n v="6.6000000000000003E-2"/>
    <n v="0"/>
    <n v="0"/>
    <n v="0"/>
    <n v="2.5816249999999998"/>
    <s v="23.04.2023"/>
    <n v="1"/>
    <s v="MedgidiaRunning"/>
    <m/>
    <n v="1"/>
  </r>
  <r>
    <x v="44"/>
    <s v="M"/>
    <n v="15"/>
    <n v="31.31"/>
    <d v="1899-12-30T02:44:08"/>
    <d v="1899-12-30T02:55:39"/>
    <d v="1899-12-30T02:49:53"/>
    <n v="71"/>
    <d v="1899-12-30T00:05:26"/>
    <n v="5"/>
    <n v="2"/>
    <n v="3.5"/>
    <x v="1"/>
    <n v="0.25"/>
    <n v="0.5"/>
    <n v="0.25"/>
    <n v="4.7333333333333331E-2"/>
    <n v="0.5"/>
    <n v="0"/>
    <n v="0"/>
    <n v="3.6723333333333334"/>
    <s v="23.04.2023"/>
    <n v="1"/>
    <s v="UltraHaita lu' Borcan"/>
    <m/>
    <n v="1"/>
  </r>
  <r>
    <x v="47"/>
    <s v="M"/>
    <n v="15"/>
    <n v="10.15"/>
    <d v="1899-12-30T00:46:59"/>
    <d v="1899-12-30T00:46:59"/>
    <d v="1899-12-30T00:46:59"/>
    <n v="118"/>
    <d v="1899-12-30T00:04:38"/>
    <n v="2.4166666666666665"/>
    <n v="3.5"/>
    <n v="2.25"/>
    <x v="0"/>
    <n v="0.5"/>
    <n v="0.25"/>
    <n v="0.25"/>
    <n v="7.8666666666666663E-2"/>
    <n v="0"/>
    <n v="0"/>
    <n v="0"/>
    <n v="2.7244999999999999"/>
    <s v="23.04.2023"/>
    <n v="1"/>
    <e v="#N/A"/>
    <m/>
    <n v="1"/>
  </r>
  <r>
    <x v="45"/>
    <s v="F"/>
    <n v="15"/>
    <n v="11.52"/>
    <d v="1899-12-30T01:18:28"/>
    <d v="1899-12-30T01:18:54"/>
    <d v="1899-12-30T01:18:41"/>
    <n v="277"/>
    <d v="1899-12-30T00:06:50"/>
    <n v="2.88"/>
    <n v="1"/>
    <n v="1.5"/>
    <x v="2"/>
    <n v="0.25"/>
    <n v="0.25"/>
    <n v="0.5"/>
    <n v="0.18466666666666667"/>
    <n v="0"/>
    <n v="0"/>
    <n v="0"/>
    <n v="1.9046666666666667"/>
    <s v="23.04.2023"/>
    <n v="1"/>
    <e v="#N/A"/>
    <m/>
    <n v="1"/>
  </r>
  <r>
    <x v="37"/>
    <s v="M"/>
    <n v="15"/>
    <n v="20.52"/>
    <d v="1899-12-30T02:44:01"/>
    <d v="1899-12-30T02:48:03"/>
    <d v="1899-12-30T02:46:02"/>
    <n v="694"/>
    <d v="1899-12-30T00:08:05"/>
    <n v="4.8857142857142852"/>
    <n v="0"/>
    <n v="1"/>
    <x v="1"/>
    <n v="0.25"/>
    <n v="0.5"/>
    <n v="0.25"/>
    <n v="0.46266666666666667"/>
    <n v="0"/>
    <n v="0"/>
    <n v="0"/>
    <n v="1.9340952380952379"/>
    <s v="23.04.2023"/>
    <n v="1"/>
    <e v="#N/A"/>
    <m/>
    <n v="0"/>
  </r>
  <r>
    <x v="103"/>
    <s v="M"/>
    <n v="15"/>
    <n v="12.84"/>
    <d v="1899-12-30T01:30:15"/>
    <d v="1899-12-30T01:30:22"/>
    <d v="1899-12-30T01:30:18"/>
    <m/>
    <d v="1899-12-30T00:07:02"/>
    <n v="3.0571428571428569"/>
    <n v="0.25"/>
    <n v="0.25"/>
    <x v="2"/>
    <n v="0.25"/>
    <n v="0.25"/>
    <n v="0.5"/>
    <n v="0"/>
    <n v="0"/>
    <n v="0"/>
    <n v="0"/>
    <n v="0.95178571428571423"/>
    <s v="23.04.2023"/>
    <n v="1"/>
    <e v="#N/A"/>
    <m/>
    <n v="1"/>
  </r>
  <r>
    <x v="86"/>
    <s v="F"/>
    <n v="15"/>
    <n v="10.09"/>
    <d v="1899-12-30T00:57:53"/>
    <d v="1899-12-30T00:58:01"/>
    <d v="1899-12-30T00:57:57"/>
    <m/>
    <d v="1899-12-30T00:05:45"/>
    <n v="2.5225"/>
    <n v="2.5"/>
    <n v="2.75"/>
    <x v="1"/>
    <n v="0.25"/>
    <n v="0.5"/>
    <n v="0.25"/>
    <n v="0"/>
    <n v="0"/>
    <n v="0"/>
    <n v="0"/>
    <n v="2.5681250000000002"/>
    <s v="23.04.2023"/>
    <n v="1"/>
    <s v="Almost Kenyan Runners"/>
    <m/>
    <n v="1"/>
  </r>
  <r>
    <x v="96"/>
    <s v="F"/>
    <n v="15"/>
    <n v="6.11"/>
    <d v="1899-12-30T00:36:30"/>
    <d v="1899-12-30T00:52:38"/>
    <d v="1899-12-30T00:44:34"/>
    <m/>
    <d v="1899-12-30T00:07:18"/>
    <n v="1.5275000000000001"/>
    <n v="0.5"/>
    <n v="2.5"/>
    <x v="2"/>
    <n v="0.25"/>
    <n v="0.25"/>
    <n v="0.5"/>
    <n v="0"/>
    <n v="0"/>
    <n v="0"/>
    <n v="0"/>
    <n v="1.756875"/>
    <s v="23.04.2023"/>
    <n v="1"/>
    <e v="#N/A"/>
    <m/>
    <n v="1"/>
  </r>
  <r>
    <x v="82"/>
    <s v="M"/>
    <n v="15"/>
    <n v="12.37"/>
    <d v="1899-12-30T01:09:46"/>
    <d v="1899-12-30T01:09:46"/>
    <d v="1899-12-30T01:09:46"/>
    <n v="729"/>
    <d v="1899-12-30T00:05:38"/>
    <n v="2.945238095238095"/>
    <n v="1.75"/>
    <n v="3.75"/>
    <x v="0"/>
    <n v="0.5"/>
    <n v="0.25"/>
    <n v="0.25"/>
    <n v="0.48599999999999999"/>
    <n v="0"/>
    <n v="0"/>
    <n v="0"/>
    <n v="3.333619047619047"/>
    <s v="23.04.2023"/>
    <n v="1"/>
    <s v="Almost Kenyan Runners"/>
    <m/>
    <n v="1"/>
  </r>
  <r>
    <x v="48"/>
    <s v="M"/>
    <n v="15"/>
    <n v="17.71"/>
    <d v="1899-12-30T01:15:09"/>
    <d v="1899-12-30T01:15:09"/>
    <d v="1899-12-30T01:15:09"/>
    <n v="82"/>
    <d v="1899-12-30T00:04:15"/>
    <n v="4.2166666666666668"/>
    <n v="4.5"/>
    <n v="1.25"/>
    <x v="1"/>
    <n v="0.25"/>
    <n v="0.5"/>
    <n v="0.25"/>
    <n v="5.4666666666666669E-2"/>
    <n v="0"/>
    <n v="0"/>
    <n v="0"/>
    <n v="3.6713333333333336"/>
    <s v="23.04.2023"/>
    <n v="1"/>
    <s v="UltraHaita lu' Borcan"/>
    <m/>
    <n v="1"/>
  </r>
  <r>
    <x v="39"/>
    <s v="M"/>
    <n v="15"/>
    <n v="6.09"/>
    <d v="1899-12-30T00:32:13"/>
    <d v="1899-12-30T00:32:27"/>
    <d v="1899-12-30T00:32:20"/>
    <m/>
    <d v="1899-12-30T00:05:19"/>
    <n v="1.45"/>
    <n v="2"/>
    <n v="2.75"/>
    <x v="1"/>
    <n v="0.25"/>
    <n v="0.5"/>
    <n v="0.25"/>
    <n v="0"/>
    <n v="0"/>
    <n v="0"/>
    <n v="0"/>
    <n v="2.0499999999999998"/>
    <s v="23.04.2023"/>
    <n v="1"/>
    <s v="#notSYRious"/>
    <m/>
    <n v="1"/>
  </r>
  <r>
    <x v="64"/>
    <s v="M"/>
    <n v="15"/>
    <n v="10.039999999999999"/>
    <d v="1899-12-30T00:40:01"/>
    <d v="1899-12-30T00:40:01"/>
    <d v="1899-12-30T00:40:01"/>
    <m/>
    <d v="1899-12-30T00:03:59"/>
    <n v="2.39047619047619"/>
    <n v="5"/>
    <n v="3"/>
    <x v="1"/>
    <n v="0.25"/>
    <n v="0.5"/>
    <n v="0.25"/>
    <n v="0"/>
    <n v="0"/>
    <n v="0.15000000000000002"/>
    <n v="0"/>
    <n v="3.9976190476190472"/>
    <s v="23.04.2023"/>
    <n v="1"/>
    <s v="The GOATs"/>
    <m/>
    <n v="1"/>
  </r>
  <r>
    <x v="84"/>
    <s v="M"/>
    <n v="15"/>
    <n v="21.36"/>
    <d v="1899-12-30T01:33:27"/>
    <d v="1899-12-30T01:33:41"/>
    <d v="1899-12-30T01:33:34"/>
    <m/>
    <d v="1899-12-30T00:04:23"/>
    <n v="5"/>
    <n v="4"/>
    <n v="4"/>
    <x v="0"/>
    <n v="0.5"/>
    <n v="0.25"/>
    <n v="0.25"/>
    <n v="0"/>
    <n v="0"/>
    <n v="0"/>
    <n v="0"/>
    <n v="4.5"/>
    <s v="23.04.2023"/>
    <n v="1"/>
    <s v="The GOATs"/>
    <m/>
    <n v="1"/>
  </r>
  <r>
    <x v="87"/>
    <s v="M"/>
    <n v="15"/>
    <n v="100.02"/>
    <d v="1899-12-30T07:17:00"/>
    <d v="1899-12-30T07:56:54"/>
    <d v="1899-12-30T07:36:57"/>
    <m/>
    <d v="1899-12-30T00:04:34"/>
    <n v="5"/>
    <n v="3.5"/>
    <n v="4.5"/>
    <x v="2"/>
    <n v="0.25"/>
    <n v="0.25"/>
    <n v="0.5"/>
    <n v="0"/>
    <n v="3.9"/>
    <n v="0"/>
    <n v="0"/>
    <n v="8.2750000000000004"/>
    <s v="23.04.2023"/>
    <n v="1"/>
    <e v="#N/A"/>
    <m/>
    <n v="1"/>
  </r>
  <r>
    <x v="43"/>
    <s v="M"/>
    <n v="15"/>
    <n v="9.86"/>
    <d v="1899-12-30T00:38:46"/>
    <d v="1899-12-30T00:40:53"/>
    <d v="1899-12-30T00:39:49"/>
    <m/>
    <d v="1899-12-30T00:04:02"/>
    <n v="2.3476190476190473"/>
    <n v="4.5"/>
    <n v="2.5"/>
    <x v="2"/>
    <n v="0.25"/>
    <n v="0.25"/>
    <n v="0.5"/>
    <n v="0"/>
    <n v="0"/>
    <n v="0"/>
    <n v="0"/>
    <n v="2.961904761904762"/>
    <s v="23.04.2023"/>
    <n v="1"/>
    <s v="Almost Kenyan Runners"/>
    <m/>
    <n v="1"/>
  </r>
  <r>
    <x v="46"/>
    <s v="M"/>
    <n v="15"/>
    <n v="11.05"/>
    <d v="1899-12-30T01:04:48"/>
    <d v="1899-12-30T01:15:03"/>
    <d v="1899-12-30T01:09:56"/>
    <n v="140"/>
    <d v="1899-12-30T00:06:20"/>
    <n v="2.6309523809523809"/>
    <n v="1"/>
    <n v="1.5"/>
    <x v="1"/>
    <n v="0.25"/>
    <n v="0.5"/>
    <n v="0.25"/>
    <n v="9.3333333333333338E-2"/>
    <n v="0"/>
    <n v="0"/>
    <n v="0"/>
    <n v="1.6260714285714286"/>
    <s v="23.04.2023"/>
    <n v="1"/>
    <s v="#notSYRious"/>
    <m/>
    <n v="1"/>
  </r>
  <r>
    <x v="91"/>
    <s v="M"/>
    <n v="15"/>
    <n v="40.119999999999997"/>
    <d v="1899-12-30T06:33:05"/>
    <d v="1899-12-30T07:06:11"/>
    <d v="1899-12-30T06:49:38"/>
    <n v="1740"/>
    <d v="1899-12-30T00:10:13"/>
    <n v="5"/>
    <n v="0"/>
    <n v="4"/>
    <x v="2"/>
    <n v="0.25"/>
    <n v="0.25"/>
    <n v="0.5"/>
    <n v="1.1599999999999999"/>
    <n v="0.9"/>
    <n v="0"/>
    <n v="0"/>
    <n v="5.3100000000000005"/>
    <s v="23.04.2023"/>
    <n v="1"/>
    <s v="#notSYRious"/>
    <m/>
    <n v="0"/>
  </r>
  <r>
    <x v="78"/>
    <s v="M"/>
    <n v="15"/>
    <n v="41.02"/>
    <d v="1899-12-30T07:42:46"/>
    <d v="1899-12-30T08:11:20"/>
    <d v="1899-12-30T07:57:03"/>
    <n v="1672"/>
    <d v="1899-12-30T00:11:38"/>
    <n v="5"/>
    <n v="0"/>
    <n v="3.75"/>
    <x v="0"/>
    <n v="0.5"/>
    <n v="0.25"/>
    <n v="0.25"/>
    <n v="1.1146666666666667"/>
    <n v="1"/>
    <n v="0"/>
    <n v="0.4"/>
    <n v="5.9521666666666668"/>
    <s v="23.04.2023"/>
    <n v="1"/>
    <s v="Almost Kenyan Runners"/>
    <m/>
    <n v="0"/>
  </r>
  <r>
    <x v="80"/>
    <s v="M"/>
    <n v="15"/>
    <n v="12.6"/>
    <d v="1899-12-30T01:00:00"/>
    <d v="1899-12-30T01:01:23"/>
    <d v="1899-12-30T01:00:42"/>
    <n v="50"/>
    <d v="1899-12-30T00:04:49"/>
    <n v="3"/>
    <n v="3"/>
    <n v="0.5"/>
    <x v="2"/>
    <n v="0.25"/>
    <n v="0.25"/>
    <n v="0.5"/>
    <n v="3.3333333333333333E-2"/>
    <n v="0"/>
    <n v="0"/>
    <n v="0"/>
    <n v="1.7833333333333334"/>
    <s v="23.04.2023"/>
    <n v="1"/>
    <s v="Almost Kenyan Runners"/>
    <m/>
    <n v="1"/>
  </r>
  <r>
    <x v="30"/>
    <s v="M"/>
    <n v="15"/>
    <n v="20.28"/>
    <d v="1899-12-30T01:52:30"/>
    <d v="1899-12-30T01:52:55"/>
    <d v="1899-12-30T01:52:43"/>
    <n v="665"/>
    <d v="1899-12-30T00:05:33"/>
    <n v="4.8285714285714283"/>
    <n v="1.75"/>
    <n v="3.5"/>
    <x v="1"/>
    <n v="0.25"/>
    <n v="0.5"/>
    <n v="0.25"/>
    <n v="0.44333333333333336"/>
    <n v="0"/>
    <n v="0"/>
    <n v="0"/>
    <n v="3.4004761904761907"/>
    <s v="23.04.2023"/>
    <n v="1"/>
    <s v="The GOATs"/>
    <m/>
    <n v="1"/>
  </r>
  <r>
    <x v="74"/>
    <s v="F"/>
    <n v="15"/>
    <n v="3.61"/>
    <d v="1899-12-30T00:21:34"/>
    <d v="1899-12-30T00:21:34"/>
    <d v="1899-12-30T00:21:34"/>
    <m/>
    <d v="1899-12-30T00:05:58"/>
    <n v="0.90249999999999997"/>
    <n v="2"/>
    <n v="3"/>
    <x v="1"/>
    <n v="0.25"/>
    <n v="0.5"/>
    <n v="0.25"/>
    <n v="0"/>
    <n v="0"/>
    <n v="0"/>
    <n v="0"/>
    <n v="1.975625"/>
    <s v="23.04.2023"/>
    <n v="1"/>
    <s v="UltraHaita lu' Borcan"/>
    <m/>
    <n v="1"/>
  </r>
  <r>
    <x v="23"/>
    <s v="M"/>
    <n v="15"/>
    <n v="10.08"/>
    <d v="1899-12-30T00:46:55"/>
    <d v="1899-12-30T00:46:55"/>
    <d v="1899-12-30T00:46:55"/>
    <m/>
    <d v="1899-12-30T00:04:39"/>
    <n v="2.4"/>
    <n v="3.5"/>
    <n v="3"/>
    <x v="2"/>
    <n v="0.25"/>
    <n v="0.25"/>
    <n v="0.5"/>
    <n v="0"/>
    <n v="0"/>
    <n v="0"/>
    <n v="0"/>
    <n v="2.9750000000000001"/>
    <s v="23.04.2023"/>
    <n v="1"/>
    <s v="Almost Kenyan Runners"/>
    <m/>
    <n v="1"/>
  </r>
  <r>
    <x v="95"/>
    <s v="M"/>
    <n v="15"/>
    <n v="24.42"/>
    <d v="1899-12-30T05:02:28"/>
    <d v="1899-12-30T05:02:32"/>
    <d v="1899-12-30T05:02:30"/>
    <n v="972"/>
    <d v="1899-12-30T00:12:23"/>
    <n v="5"/>
    <n v="0"/>
    <n v="1.5"/>
    <x v="2"/>
    <n v="0.25"/>
    <n v="0.25"/>
    <n v="0.5"/>
    <n v="0.64800000000000002"/>
    <n v="0.1"/>
    <n v="0"/>
    <n v="0"/>
    <n v="2.7480000000000002"/>
    <s v="23.04.2023"/>
    <n v="1"/>
    <e v="#N/A"/>
    <m/>
    <n v="0"/>
  </r>
  <r>
    <x v="85"/>
    <s v="M"/>
    <n v="15"/>
    <n v="18.010000000000002"/>
    <d v="1899-12-30T01:24:21"/>
    <d v="1899-12-30T01:24:25"/>
    <d v="1899-12-30T01:24:23"/>
    <m/>
    <d v="1899-12-30T00:04:41"/>
    <n v="4.288095238095238"/>
    <n v="3.5"/>
    <n v="3.25"/>
    <x v="1"/>
    <n v="0.25"/>
    <n v="0.5"/>
    <n v="0.25"/>
    <n v="0"/>
    <n v="0"/>
    <n v="0"/>
    <n v="0"/>
    <n v="3.6345238095238095"/>
    <s v="23.04.2023"/>
    <n v="1"/>
    <s v="The GOATs"/>
    <m/>
    <n v="1"/>
  </r>
  <r>
    <x v="42"/>
    <s v="M"/>
    <n v="15"/>
    <n v="13.02"/>
    <d v="1899-12-30T01:02:58"/>
    <d v="1899-12-30T01:03:10"/>
    <d v="1899-12-30T01:03:04"/>
    <n v="115"/>
    <d v="1899-12-30T00:04:51"/>
    <n v="3.0999999999999996"/>
    <n v="3"/>
    <n v="1"/>
    <x v="2"/>
    <n v="0.25"/>
    <n v="0.25"/>
    <n v="0.5"/>
    <n v="7.6666666666666661E-2"/>
    <n v="0"/>
    <n v="0"/>
    <n v="0"/>
    <n v="2.1016666666666666"/>
    <s v="23.04.2023"/>
    <n v="1"/>
    <s v="The GOATs"/>
    <m/>
    <n v="1"/>
  </r>
  <r>
    <x v="122"/>
    <e v="#N/A"/>
    <n v="15"/>
    <m/>
    <m/>
    <m/>
    <e v="#DIV/0!"/>
    <m/>
    <e v="#DIV/0!"/>
    <e v="#N/A"/>
    <e v="#N/A"/>
    <m/>
    <x v="2"/>
    <n v="0.25"/>
    <n v="0.25"/>
    <n v="0.5"/>
    <n v="0"/>
    <n v="0"/>
    <n v="0"/>
    <e v="#N/A"/>
    <e v="#N/A"/>
    <s v="23.04.2023"/>
    <n v="0"/>
    <e v="#N/A"/>
    <m/>
    <e v="#N/A"/>
  </r>
  <r>
    <x v="122"/>
    <e v="#N/A"/>
    <n v="15"/>
    <m/>
    <m/>
    <m/>
    <e v="#DIV/0!"/>
    <m/>
    <e v="#DIV/0!"/>
    <e v="#N/A"/>
    <e v="#N/A"/>
    <m/>
    <x v="2"/>
    <n v="0.25"/>
    <n v="0.25"/>
    <n v="0.5"/>
    <n v="0"/>
    <n v="0"/>
    <n v="0"/>
    <e v="#N/A"/>
    <e v="#N/A"/>
    <s v="23.04.2023"/>
    <n v="0"/>
    <e v="#N/A"/>
    <m/>
    <e v="#N/A"/>
  </r>
  <r>
    <x v="122"/>
    <e v="#N/A"/>
    <n v="15"/>
    <m/>
    <m/>
    <m/>
    <e v="#DIV/0!"/>
    <m/>
    <e v="#DIV/0!"/>
    <e v="#N/A"/>
    <e v="#N/A"/>
    <m/>
    <x v="2"/>
    <n v="0.25"/>
    <n v="0.25"/>
    <n v="0.5"/>
    <n v="0"/>
    <n v="0"/>
    <n v="0"/>
    <e v="#N/A"/>
    <e v="#N/A"/>
    <s v="23.04.2023"/>
    <n v="0"/>
    <e v="#N/A"/>
    <m/>
    <e v="#N/A"/>
  </r>
  <r>
    <x v="122"/>
    <e v="#N/A"/>
    <n v="15"/>
    <m/>
    <m/>
    <m/>
    <e v="#DIV/0!"/>
    <m/>
    <e v="#DIV/0!"/>
    <e v="#N/A"/>
    <e v="#N/A"/>
    <m/>
    <x v="2"/>
    <n v="0.25"/>
    <n v="0.25"/>
    <n v="0.5"/>
    <n v="0"/>
    <n v="0"/>
    <n v="0"/>
    <e v="#N/A"/>
    <e v="#N/A"/>
    <s v="23.04.2023"/>
    <n v="0"/>
    <e v="#N/A"/>
    <m/>
    <e v="#N/A"/>
  </r>
  <r>
    <x v="122"/>
    <e v="#N/A"/>
    <n v="15"/>
    <m/>
    <m/>
    <m/>
    <e v="#DIV/0!"/>
    <m/>
    <e v="#DIV/0!"/>
    <e v="#N/A"/>
    <e v="#N/A"/>
    <m/>
    <x v="2"/>
    <n v="0.25"/>
    <n v="0.25"/>
    <n v="0.5"/>
    <n v="0"/>
    <n v="0"/>
    <n v="0"/>
    <e v="#N/A"/>
    <e v="#N/A"/>
    <s v="23.04.2023"/>
    <n v="0"/>
    <e v="#N/A"/>
    <m/>
    <e v="#N/A"/>
  </r>
  <r>
    <x v="122"/>
    <e v="#N/A"/>
    <n v="15"/>
    <m/>
    <m/>
    <m/>
    <e v="#DIV/0!"/>
    <m/>
    <e v="#DIV/0!"/>
    <e v="#N/A"/>
    <e v="#N/A"/>
    <m/>
    <x v="2"/>
    <n v="0.25"/>
    <n v="0.25"/>
    <n v="0.5"/>
    <n v="0"/>
    <n v="0"/>
    <n v="0"/>
    <e v="#N/A"/>
    <e v="#N/A"/>
    <s v="23.04.2023"/>
    <n v="0"/>
    <e v="#N/A"/>
    <m/>
    <e v="#N/A"/>
  </r>
  <r>
    <x v="122"/>
    <e v="#N/A"/>
    <n v="15"/>
    <m/>
    <m/>
    <m/>
    <e v="#DIV/0!"/>
    <m/>
    <e v="#DIV/0!"/>
    <e v="#N/A"/>
    <e v="#N/A"/>
    <m/>
    <x v="2"/>
    <n v="0.25"/>
    <n v="0.25"/>
    <n v="0.5"/>
    <n v="0"/>
    <n v="0"/>
    <n v="0"/>
    <e v="#N/A"/>
    <e v="#N/A"/>
    <s v="23.04.2023"/>
    <n v="0"/>
    <e v="#N/A"/>
    <m/>
    <e v="#N/A"/>
  </r>
  <r>
    <x v="122"/>
    <m/>
    <m/>
    <m/>
    <m/>
    <m/>
    <m/>
    <m/>
    <m/>
    <m/>
    <m/>
    <m/>
    <x v="4"/>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277AE9F-FDCD-4FB4-B359-D15E8CC4545C}" name="PivotTable1" cacheId="44"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location ref="A2:G127" firstHeaderRow="1" firstDataRow="2" firstDataCol="1"/>
  <pivotFields count="26">
    <pivotField axis="axisRow" showAll="0">
      <items count="124">
        <item x="81"/>
        <item x="41"/>
        <item x="52"/>
        <item x="5"/>
        <item x="22"/>
        <item x="67"/>
        <item x="99"/>
        <item x="62"/>
        <item x="27"/>
        <item x="83"/>
        <item x="25"/>
        <item x="106"/>
        <item x="72"/>
        <item x="77"/>
        <item x="98"/>
        <item x="16"/>
        <item x="94"/>
        <item x="37"/>
        <item x="32"/>
        <item x="105"/>
        <item x="80"/>
        <item x="19"/>
        <item x="88"/>
        <item x="9"/>
        <item x="30"/>
        <item x="23"/>
        <item x="53"/>
        <item x="113"/>
        <item x="78"/>
        <item x="75"/>
        <item x="61"/>
        <item x="71"/>
        <item x="2"/>
        <item x="91"/>
        <item x="33"/>
        <item x="10"/>
        <item x="7"/>
        <item x="4"/>
        <item x="43"/>
        <item x="55"/>
        <item x="42"/>
        <item x="60"/>
        <item x="13"/>
        <item x="108"/>
        <item x="35"/>
        <item x="15"/>
        <item x="95"/>
        <item x="0"/>
        <item x="47"/>
        <item x="112"/>
        <item x="3"/>
        <item x="69"/>
        <item x="70"/>
        <item x="28"/>
        <item x="63"/>
        <item x="38"/>
        <item x="89"/>
        <item x="36"/>
        <item x="34"/>
        <item x="57"/>
        <item x="11"/>
        <item x="64"/>
        <item x="40"/>
        <item x="12"/>
        <item x="101"/>
        <item x="29"/>
        <item x="73"/>
        <item x="51"/>
        <item x="56"/>
        <item x="104"/>
        <item x="24"/>
        <item x="20"/>
        <item x="79"/>
        <item x="45"/>
        <item x="50"/>
        <item x="97"/>
        <item x="109"/>
        <item x="68"/>
        <item x="84"/>
        <item x="39"/>
        <item x="92"/>
        <item x="100"/>
        <item x="110"/>
        <item x="26"/>
        <item x="66"/>
        <item x="86"/>
        <item x="96"/>
        <item x="21"/>
        <item x="49"/>
        <item x="93"/>
        <item x="65"/>
        <item x="90"/>
        <item x="18"/>
        <item x="76"/>
        <item x="48"/>
        <item x="111"/>
        <item x="87"/>
        <item x="85"/>
        <item x="103"/>
        <item x="6"/>
        <item x="114"/>
        <item x="54"/>
        <item x="102"/>
        <item x="31"/>
        <item x="115"/>
        <item x="46"/>
        <item x="14"/>
        <item x="82"/>
        <item x="59"/>
        <item x="107"/>
        <item x="1"/>
        <item x="58"/>
        <item x="8"/>
        <item x="44"/>
        <item x="74"/>
        <item x="17"/>
        <item x="122"/>
        <item x="116"/>
        <item x="117"/>
        <item x="118"/>
        <item x="119"/>
        <item x="120"/>
        <item x="121"/>
        <item t="default"/>
      </items>
    </pivotField>
    <pivotField showAll="0"/>
    <pivotField dataField="1" showAll="0"/>
    <pivotField showAll="0"/>
    <pivotField showAll="0"/>
    <pivotField showAll="0"/>
    <pivotField showAll="0"/>
    <pivotField showAll="0"/>
    <pivotField showAll="0"/>
    <pivotField showAll="0"/>
    <pivotField showAll="0"/>
    <pivotField showAll="0"/>
    <pivotField axis="axisCol" showAll="0">
      <items count="7">
        <item x="0"/>
        <item x="2"/>
        <item x="3"/>
        <item x="1"/>
        <item x="4"/>
        <item m="1"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124">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t="grand">
      <x/>
    </i>
  </rowItems>
  <colFields count="1">
    <field x="12"/>
  </colFields>
  <colItems count="6">
    <i>
      <x/>
    </i>
    <i>
      <x v="1"/>
    </i>
    <i>
      <x v="2"/>
    </i>
    <i>
      <x v="3"/>
    </i>
    <i>
      <x v="4"/>
    </i>
    <i t="grand">
      <x/>
    </i>
  </colItems>
  <dataFields count="1">
    <dataField name="Count of Etapa" fld="2" subtotal="count" baseField="0" baseItem="0"/>
  </dataFields>
  <formats count="5">
    <format dxfId="9">
      <pivotArea outline="0" collapsedLevelsAreSubtotals="1" fieldPosition="0"/>
    </format>
    <format dxfId="8">
      <pivotArea field="12" type="button" dataOnly="0" labelOnly="1" outline="0" axis="axisCol" fieldPosition="0"/>
    </format>
    <format dxfId="7">
      <pivotArea type="topRight" dataOnly="0" labelOnly="1" outline="0" fieldPosition="0"/>
    </format>
    <format dxfId="6">
      <pivotArea dataOnly="0" labelOnly="1" fieldPosition="0">
        <references count="1">
          <reference field="12" count="0"/>
        </references>
      </pivotArea>
    </format>
    <format dxfId="5">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ivotTable" Target="../pivotTables/pivotTable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facebook.com/groups/657276174438565/user/100002019378244/?__cft__%5b0%5d=AZVPaFsLmOyBlluDtISNOcyu9_QsWia7UFhB-F1ocerC3s0ggvsgL8eqGkoLPmFdoSrMYvwie7AZI6YbS4pT_4KPQ8fzjV2DpcBFziiTpH2Tt1HEGqebpDGcIizOkhWdhORgGbPsfdwvtnWg8mM3z0tiQysFF_rOrPviF8XMjw_AdP0XesWkkt-a9ExSvMjgy7w&amp;__tn__=-UC%2CP-R"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mailto:0@"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sheetPr>
  <dimension ref="A1:H26"/>
  <sheetViews>
    <sheetView workbookViewId="0">
      <selection activeCell="E20" sqref="E20"/>
    </sheetView>
  </sheetViews>
  <sheetFormatPr defaultColWidth="8.81640625" defaultRowHeight="14.5" x14ac:dyDescent="0.35"/>
  <cols>
    <col min="1" max="1" width="10.54296875" style="104" bestFit="1" customWidth="1"/>
    <col min="2" max="2" width="15.1796875" style="104" bestFit="1" customWidth="1"/>
    <col min="3" max="3" width="17" style="104" bestFit="1" customWidth="1"/>
    <col min="4" max="4" width="17.453125" style="104" bestFit="1" customWidth="1"/>
    <col min="5" max="5" width="22.81640625" style="104" bestFit="1" customWidth="1"/>
    <col min="6" max="6" width="8.81640625" style="104"/>
    <col min="7" max="7" width="22.81640625" style="104" bestFit="1" customWidth="1"/>
    <col min="8" max="16384" width="8.81640625" style="104"/>
  </cols>
  <sheetData>
    <row r="1" spans="1:8" x14ac:dyDescent="0.35">
      <c r="C1" s="104">
        <v>1</v>
      </c>
      <c r="D1" s="104">
        <v>2</v>
      </c>
      <c r="E1" s="104">
        <v>3</v>
      </c>
      <c r="G1" s="105" t="s">
        <v>152</v>
      </c>
      <c r="H1" s="105" t="s">
        <v>153</v>
      </c>
    </row>
    <row r="2" spans="1:8" x14ac:dyDescent="0.35">
      <c r="A2" s="105" t="s">
        <v>0</v>
      </c>
      <c r="B2" s="106" t="s">
        <v>4</v>
      </c>
      <c r="C2" s="105" t="s">
        <v>1</v>
      </c>
      <c r="D2" s="104" t="s">
        <v>2</v>
      </c>
      <c r="E2" s="104" t="s">
        <v>3</v>
      </c>
      <c r="G2" s="104" t="s">
        <v>78</v>
      </c>
      <c r="H2" s="104">
        <v>16</v>
      </c>
    </row>
    <row r="3" spans="1:8" x14ac:dyDescent="0.35">
      <c r="A3" s="105" t="s">
        <v>141</v>
      </c>
      <c r="B3" s="104" t="s">
        <v>8</v>
      </c>
      <c r="C3" s="105" t="s">
        <v>5</v>
      </c>
      <c r="D3" s="104" t="s">
        <v>6</v>
      </c>
      <c r="E3" s="104" t="s">
        <v>7</v>
      </c>
      <c r="G3" s="104" t="s">
        <v>49</v>
      </c>
      <c r="H3" s="104">
        <v>14</v>
      </c>
    </row>
    <row r="4" spans="1:8" x14ac:dyDescent="0.35">
      <c r="A4" s="105" t="s">
        <v>142</v>
      </c>
      <c r="B4" s="104" t="s">
        <v>9</v>
      </c>
      <c r="C4" s="105" t="s">
        <v>7</v>
      </c>
      <c r="D4" s="104" t="s">
        <v>10</v>
      </c>
      <c r="G4" s="104" t="s">
        <v>205</v>
      </c>
      <c r="H4" s="104">
        <v>12</v>
      </c>
    </row>
    <row r="5" spans="1:8" x14ac:dyDescent="0.35">
      <c r="A5" s="105" t="s">
        <v>143</v>
      </c>
      <c r="B5" s="104" t="s">
        <v>40</v>
      </c>
      <c r="C5" s="105" t="s">
        <v>41</v>
      </c>
      <c r="D5" s="104" t="s">
        <v>42</v>
      </c>
      <c r="E5" s="104" t="s">
        <v>80</v>
      </c>
      <c r="G5" s="104" t="s">
        <v>51</v>
      </c>
      <c r="H5" s="104">
        <v>8</v>
      </c>
    </row>
    <row r="6" spans="1:8" x14ac:dyDescent="0.35">
      <c r="A6" s="105" t="s">
        <v>144</v>
      </c>
      <c r="B6" s="104" t="s">
        <v>74</v>
      </c>
      <c r="C6" s="105" t="s">
        <v>51</v>
      </c>
      <c r="D6" s="104" t="s">
        <v>52</v>
      </c>
      <c r="E6" s="104" t="s">
        <v>80</v>
      </c>
      <c r="G6" s="104" t="s">
        <v>124</v>
      </c>
      <c r="H6" s="104">
        <v>6</v>
      </c>
    </row>
    <row r="7" spans="1:8" ht="14.25" customHeight="1" x14ac:dyDescent="0.35">
      <c r="A7" s="105" t="s">
        <v>145</v>
      </c>
      <c r="B7" s="104" t="s">
        <v>81</v>
      </c>
      <c r="C7" s="105" t="s">
        <v>78</v>
      </c>
      <c r="D7" s="104" t="s">
        <v>2</v>
      </c>
      <c r="E7" s="104" t="s">
        <v>49</v>
      </c>
      <c r="G7" s="104" t="s">
        <v>5</v>
      </c>
      <c r="H7" s="104">
        <v>4</v>
      </c>
    </row>
    <row r="8" spans="1:8" ht="14.25" customHeight="1" x14ac:dyDescent="0.35">
      <c r="A8" s="105" t="s">
        <v>146</v>
      </c>
      <c r="B8" s="104" t="s">
        <v>87</v>
      </c>
      <c r="C8" s="105" t="s">
        <v>78</v>
      </c>
      <c r="D8" s="104" t="s">
        <v>49</v>
      </c>
      <c r="E8" s="104" t="s">
        <v>63</v>
      </c>
      <c r="G8" s="104" t="s">
        <v>7</v>
      </c>
      <c r="H8" s="104">
        <v>4</v>
      </c>
    </row>
    <row r="9" spans="1:8" ht="14.25" customHeight="1" x14ac:dyDescent="0.35">
      <c r="A9" s="105" t="s">
        <v>147</v>
      </c>
      <c r="B9" s="104" t="s">
        <v>88</v>
      </c>
      <c r="C9" s="105" t="s">
        <v>49</v>
      </c>
      <c r="D9" s="104" t="s">
        <v>51</v>
      </c>
      <c r="E9" s="104" t="s">
        <v>78</v>
      </c>
      <c r="G9" s="104" t="s">
        <v>2</v>
      </c>
      <c r="H9" s="104">
        <v>4</v>
      </c>
    </row>
    <row r="10" spans="1:8" ht="14.25" customHeight="1" x14ac:dyDescent="0.35">
      <c r="A10" s="105" t="s">
        <v>148</v>
      </c>
      <c r="B10" s="104" t="s">
        <v>104</v>
      </c>
      <c r="C10" s="105" t="s">
        <v>51</v>
      </c>
      <c r="D10" s="104" t="s">
        <v>49</v>
      </c>
      <c r="E10" s="104" t="s">
        <v>5</v>
      </c>
      <c r="G10" s="104" t="s">
        <v>133</v>
      </c>
      <c r="H10" s="104">
        <v>4</v>
      </c>
    </row>
    <row r="11" spans="1:8" ht="14.25" customHeight="1" x14ac:dyDescent="0.35">
      <c r="A11" s="105" t="s">
        <v>149</v>
      </c>
      <c r="B11" s="104" t="s">
        <v>119</v>
      </c>
      <c r="C11" s="105" t="s">
        <v>124</v>
      </c>
      <c r="D11" s="104" t="s">
        <v>49</v>
      </c>
      <c r="E11" s="104" t="s">
        <v>78</v>
      </c>
      <c r="G11" s="104" t="s">
        <v>41</v>
      </c>
      <c r="H11" s="104">
        <v>3</v>
      </c>
    </row>
    <row r="12" spans="1:8" ht="14.25" customHeight="1" x14ac:dyDescent="0.35">
      <c r="A12" s="105" t="s">
        <v>150</v>
      </c>
      <c r="B12" s="104" t="s">
        <v>140</v>
      </c>
      <c r="C12" s="105" t="s">
        <v>78</v>
      </c>
      <c r="D12" s="104" t="s">
        <v>133</v>
      </c>
      <c r="E12" s="104" t="s">
        <v>139</v>
      </c>
      <c r="G12" s="104" t="s">
        <v>1</v>
      </c>
      <c r="H12" s="104">
        <v>3</v>
      </c>
    </row>
    <row r="13" spans="1:8" ht="14.25" customHeight="1" x14ac:dyDescent="0.35">
      <c r="A13" s="105" t="s">
        <v>151</v>
      </c>
      <c r="B13" s="104" t="s">
        <v>182</v>
      </c>
      <c r="C13" s="105" t="s">
        <v>78</v>
      </c>
      <c r="D13" s="104" t="s">
        <v>49</v>
      </c>
      <c r="E13" s="104" t="s">
        <v>108</v>
      </c>
      <c r="G13" s="104" t="s">
        <v>124</v>
      </c>
      <c r="H13" s="104">
        <v>3</v>
      </c>
    </row>
    <row r="14" spans="1:8" ht="14.25" customHeight="1" x14ac:dyDescent="0.35">
      <c r="A14" s="105" t="s">
        <v>184</v>
      </c>
      <c r="B14" s="104" t="s">
        <v>185</v>
      </c>
      <c r="C14" s="105" t="s">
        <v>205</v>
      </c>
      <c r="D14" s="104" t="s">
        <v>135</v>
      </c>
      <c r="E14" s="104" t="s">
        <v>49</v>
      </c>
      <c r="G14" s="104" t="s">
        <v>108</v>
      </c>
      <c r="H14" s="104">
        <v>3</v>
      </c>
    </row>
    <row r="15" spans="1:8" ht="14.25" customHeight="1" x14ac:dyDescent="0.35">
      <c r="A15" s="105" t="s">
        <v>210</v>
      </c>
      <c r="B15" s="104" t="s">
        <v>211</v>
      </c>
      <c r="C15" s="105" t="s">
        <v>205</v>
      </c>
      <c r="D15" s="104" t="s">
        <v>108</v>
      </c>
      <c r="E15" s="104" t="s">
        <v>49</v>
      </c>
      <c r="G15" s="104" t="s">
        <v>80</v>
      </c>
      <c r="H15" s="104">
        <v>2</v>
      </c>
    </row>
    <row r="16" spans="1:8" ht="14.25" customHeight="1" x14ac:dyDescent="0.35">
      <c r="A16" s="105" t="s">
        <v>230</v>
      </c>
      <c r="B16" s="104" t="s">
        <v>231</v>
      </c>
      <c r="C16" s="105" t="s">
        <v>205</v>
      </c>
      <c r="D16" s="104" t="s">
        <v>243</v>
      </c>
      <c r="E16" s="104" t="s">
        <v>133</v>
      </c>
      <c r="G16" s="104" t="s">
        <v>42</v>
      </c>
      <c r="H16" s="104">
        <v>2</v>
      </c>
    </row>
    <row r="17" spans="1:8" ht="14.25" customHeight="1" x14ac:dyDescent="0.35">
      <c r="A17" s="105" t="s">
        <v>313</v>
      </c>
      <c r="B17" s="104" t="s">
        <v>314</v>
      </c>
      <c r="C17" s="105" t="s">
        <v>205</v>
      </c>
      <c r="D17" s="104" t="s">
        <v>78</v>
      </c>
      <c r="E17" s="104" t="s">
        <v>133</v>
      </c>
      <c r="G17" s="104" t="s">
        <v>52</v>
      </c>
      <c r="H17" s="104">
        <v>2</v>
      </c>
    </row>
    <row r="18" spans="1:8" ht="14.25" customHeight="1" x14ac:dyDescent="0.35">
      <c r="A18" s="105" t="s">
        <v>317</v>
      </c>
      <c r="B18" s="104" t="s">
        <v>517</v>
      </c>
      <c r="C18" s="105" t="s">
        <v>124</v>
      </c>
      <c r="D18" s="104" t="s">
        <v>227</v>
      </c>
      <c r="E18" s="104" t="s">
        <v>376</v>
      </c>
      <c r="G18" s="104" t="s">
        <v>6</v>
      </c>
      <c r="H18" s="104">
        <v>2</v>
      </c>
    </row>
    <row r="19" spans="1:8" ht="14.25" customHeight="1" x14ac:dyDescent="0.35">
      <c r="G19" s="104" t="s">
        <v>10</v>
      </c>
      <c r="H19" s="104">
        <v>2</v>
      </c>
    </row>
    <row r="20" spans="1:8" x14ac:dyDescent="0.35">
      <c r="G20" s="104" t="s">
        <v>135</v>
      </c>
      <c r="H20" s="104">
        <v>2</v>
      </c>
    </row>
    <row r="21" spans="1:8" x14ac:dyDescent="0.35">
      <c r="G21" s="104" t="s">
        <v>243</v>
      </c>
      <c r="H21" s="104">
        <v>2</v>
      </c>
    </row>
    <row r="22" spans="1:8" x14ac:dyDescent="0.35">
      <c r="G22" s="104" t="s">
        <v>227</v>
      </c>
      <c r="H22" s="104">
        <v>2</v>
      </c>
    </row>
    <row r="23" spans="1:8" x14ac:dyDescent="0.35">
      <c r="G23" s="104" t="s">
        <v>63</v>
      </c>
      <c r="H23" s="104">
        <v>1</v>
      </c>
    </row>
    <row r="24" spans="1:8" x14ac:dyDescent="0.35">
      <c r="G24" s="104" t="s">
        <v>3</v>
      </c>
      <c r="H24" s="104">
        <v>1</v>
      </c>
    </row>
    <row r="25" spans="1:8" x14ac:dyDescent="0.35">
      <c r="G25" s="104" t="s">
        <v>139</v>
      </c>
      <c r="H25" s="104">
        <v>1</v>
      </c>
    </row>
    <row r="26" spans="1:8" x14ac:dyDescent="0.35">
      <c r="G26" s="104" t="s">
        <v>376</v>
      </c>
      <c r="H26" s="104">
        <v>1</v>
      </c>
    </row>
  </sheetData>
  <sortState xmlns:xlrd2="http://schemas.microsoft.com/office/spreadsheetml/2017/richdata2" ref="G2:H25">
    <sortCondition descending="1" ref="H2:H25"/>
  </sortState>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9EE7B-FF9B-45A5-B600-645BD877A7EF}">
  <sheetPr>
    <tabColor rgb="FFFF66CC"/>
  </sheetPr>
  <dimension ref="A2:H127"/>
  <sheetViews>
    <sheetView topLeftCell="A73" workbookViewId="0">
      <selection activeCell="C127" sqref="C127"/>
    </sheetView>
  </sheetViews>
  <sheetFormatPr defaultColWidth="8.7265625" defaultRowHeight="14.5" x14ac:dyDescent="0.35"/>
  <cols>
    <col min="1" max="1" width="25.7265625" style="104" bestFit="1" customWidth="1"/>
    <col min="2" max="2" width="15.6328125" style="104" customWidth="1"/>
    <col min="3" max="3" width="3.81640625" style="104" bestFit="1" customWidth="1"/>
    <col min="4" max="4" width="2.81640625" style="104" bestFit="1" customWidth="1"/>
    <col min="5" max="5" width="3.81640625" style="104" bestFit="1" customWidth="1"/>
    <col min="6" max="6" width="6.90625" style="104" bestFit="1" customWidth="1"/>
    <col min="7" max="7" width="10.7265625" style="104" bestFit="1" customWidth="1"/>
    <col min="8" max="8" width="11.26953125" style="104" bestFit="1" customWidth="1"/>
    <col min="9" max="16384" width="8.7265625" style="104"/>
  </cols>
  <sheetData>
    <row r="2" spans="1:8" x14ac:dyDescent="0.35">
      <c r="A2" s="154" t="s">
        <v>455</v>
      </c>
      <c r="B2" s="153" t="s">
        <v>456</v>
      </c>
      <c r="H2"/>
    </row>
    <row r="3" spans="1:8" x14ac:dyDescent="0.35">
      <c r="A3" s="154" t="s">
        <v>453</v>
      </c>
      <c r="B3" s="104" t="s">
        <v>106</v>
      </c>
      <c r="C3" s="104" t="s">
        <v>207</v>
      </c>
      <c r="D3" s="104" t="s">
        <v>459</v>
      </c>
      <c r="E3" s="104" t="s">
        <v>107</v>
      </c>
      <c r="F3" s="104" t="s">
        <v>464</v>
      </c>
      <c r="G3" s="104" t="s">
        <v>454</v>
      </c>
      <c r="H3"/>
    </row>
    <row r="4" spans="1:8" x14ac:dyDescent="0.35">
      <c r="A4" s="155" t="s">
        <v>374</v>
      </c>
      <c r="B4" s="104">
        <v>3</v>
      </c>
      <c r="C4" s="104">
        <v>2</v>
      </c>
      <c r="E4" s="104">
        <v>5</v>
      </c>
      <c r="G4" s="104">
        <v>10</v>
      </c>
      <c r="H4"/>
    </row>
    <row r="5" spans="1:8" x14ac:dyDescent="0.35">
      <c r="A5" s="155" t="s">
        <v>227</v>
      </c>
      <c r="B5" s="104">
        <v>5</v>
      </c>
      <c r="C5" s="104">
        <v>5</v>
      </c>
      <c r="E5" s="104">
        <v>5</v>
      </c>
      <c r="G5" s="104">
        <v>15</v>
      </c>
      <c r="H5"/>
    </row>
    <row r="6" spans="1:8" x14ac:dyDescent="0.35">
      <c r="A6" s="155" t="s">
        <v>208</v>
      </c>
      <c r="B6" s="104">
        <v>5</v>
      </c>
      <c r="C6" s="104">
        <v>5</v>
      </c>
      <c r="E6" s="104">
        <v>5</v>
      </c>
      <c r="G6" s="104">
        <v>15</v>
      </c>
      <c r="H6"/>
    </row>
    <row r="7" spans="1:8" x14ac:dyDescent="0.35">
      <c r="A7" s="155" t="s">
        <v>337</v>
      </c>
      <c r="B7" s="104">
        <v>1</v>
      </c>
      <c r="C7" s="104">
        <v>1</v>
      </c>
      <c r="G7" s="104">
        <v>2</v>
      </c>
      <c r="H7"/>
    </row>
    <row r="8" spans="1:8" x14ac:dyDescent="0.35">
      <c r="A8" s="155" t="s">
        <v>132</v>
      </c>
      <c r="B8" s="104">
        <v>5</v>
      </c>
      <c r="C8" s="104">
        <v>5</v>
      </c>
      <c r="E8" s="104">
        <v>5</v>
      </c>
      <c r="G8" s="104">
        <v>15</v>
      </c>
      <c r="H8"/>
    </row>
    <row r="9" spans="1:8" x14ac:dyDescent="0.35">
      <c r="A9" s="155" t="s">
        <v>368</v>
      </c>
      <c r="B9" s="104">
        <v>5</v>
      </c>
      <c r="C9" s="104">
        <v>4</v>
      </c>
      <c r="E9" s="104">
        <v>5</v>
      </c>
      <c r="G9" s="104">
        <v>14</v>
      </c>
      <c r="H9"/>
    </row>
    <row r="10" spans="1:8" x14ac:dyDescent="0.35">
      <c r="A10" s="155" t="s">
        <v>390</v>
      </c>
      <c r="B10" s="104">
        <v>3</v>
      </c>
      <c r="C10" s="104">
        <v>2</v>
      </c>
      <c r="E10" s="104">
        <v>4</v>
      </c>
      <c r="G10" s="104">
        <v>9</v>
      </c>
      <c r="H10"/>
    </row>
    <row r="11" spans="1:8" x14ac:dyDescent="0.35">
      <c r="A11" s="155" t="s">
        <v>364</v>
      </c>
      <c r="B11" s="104">
        <v>5</v>
      </c>
      <c r="C11" s="104">
        <v>1</v>
      </c>
      <c r="E11" s="104">
        <v>2</v>
      </c>
      <c r="G11" s="104">
        <v>8</v>
      </c>
      <c r="H11"/>
    </row>
    <row r="12" spans="1:8" x14ac:dyDescent="0.35">
      <c r="A12" s="155" t="s">
        <v>245</v>
      </c>
      <c r="B12" s="104">
        <v>3</v>
      </c>
      <c r="C12" s="104">
        <v>1</v>
      </c>
      <c r="D12" s="104">
        <v>1</v>
      </c>
      <c r="E12" s="104">
        <v>2</v>
      </c>
      <c r="G12" s="104">
        <v>7</v>
      </c>
      <c r="H12"/>
    </row>
    <row r="13" spans="1:8" x14ac:dyDescent="0.35">
      <c r="A13" s="155" t="s">
        <v>375</v>
      </c>
      <c r="B13" s="104">
        <v>5</v>
      </c>
      <c r="C13" s="104">
        <v>5</v>
      </c>
      <c r="E13" s="104">
        <v>5</v>
      </c>
      <c r="G13" s="104">
        <v>15</v>
      </c>
      <c r="H13"/>
    </row>
    <row r="14" spans="1:8" x14ac:dyDescent="0.35">
      <c r="A14" s="155" t="s">
        <v>242</v>
      </c>
      <c r="B14" s="104">
        <v>2</v>
      </c>
      <c r="C14" s="104">
        <v>1</v>
      </c>
      <c r="E14" s="104">
        <v>2</v>
      </c>
      <c r="G14" s="104">
        <v>5</v>
      </c>
      <c r="H14"/>
    </row>
    <row r="15" spans="1:8" x14ac:dyDescent="0.35">
      <c r="A15" s="155" t="s">
        <v>396</v>
      </c>
      <c r="B15" s="104">
        <v>3</v>
      </c>
      <c r="C15" s="104">
        <v>5</v>
      </c>
      <c r="E15" s="104">
        <v>3</v>
      </c>
      <c r="G15" s="104">
        <v>11</v>
      </c>
      <c r="H15"/>
    </row>
    <row r="16" spans="1:8" x14ac:dyDescent="0.35">
      <c r="A16" s="155" t="s">
        <v>370</v>
      </c>
      <c r="B16" s="104">
        <v>3</v>
      </c>
      <c r="C16" s="104">
        <v>4</v>
      </c>
      <c r="D16" s="104">
        <v>1</v>
      </c>
      <c r="E16" s="104">
        <v>3</v>
      </c>
      <c r="G16" s="104">
        <v>11</v>
      </c>
      <c r="H16"/>
    </row>
    <row r="17" spans="1:8" x14ac:dyDescent="0.35">
      <c r="A17" s="155" t="s">
        <v>225</v>
      </c>
      <c r="B17" s="104">
        <v>5</v>
      </c>
      <c r="C17" s="104">
        <v>5</v>
      </c>
      <c r="E17" s="104">
        <v>5</v>
      </c>
      <c r="G17" s="104">
        <v>15</v>
      </c>
      <c r="H17"/>
    </row>
    <row r="18" spans="1:8" x14ac:dyDescent="0.35">
      <c r="A18" s="155" t="s">
        <v>387</v>
      </c>
      <c r="B18" s="104">
        <v>3</v>
      </c>
      <c r="C18" s="104">
        <v>5</v>
      </c>
      <c r="E18" s="104">
        <v>5</v>
      </c>
      <c r="G18" s="104">
        <v>13</v>
      </c>
      <c r="H18"/>
    </row>
    <row r="19" spans="1:8" x14ac:dyDescent="0.35">
      <c r="A19" s="155" t="s">
        <v>345</v>
      </c>
      <c r="B19" s="104">
        <v>5</v>
      </c>
      <c r="C19" s="104">
        <v>5</v>
      </c>
      <c r="D19" s="104">
        <v>1</v>
      </c>
      <c r="E19" s="104">
        <v>4</v>
      </c>
      <c r="G19" s="104">
        <v>15</v>
      </c>
      <c r="H19"/>
    </row>
    <row r="20" spans="1:8" x14ac:dyDescent="0.35">
      <c r="A20" s="155" t="s">
        <v>385</v>
      </c>
      <c r="E20" s="104">
        <v>1</v>
      </c>
      <c r="G20" s="104">
        <v>1</v>
      </c>
      <c r="H20"/>
    </row>
    <row r="21" spans="1:8" x14ac:dyDescent="0.35">
      <c r="A21" s="155" t="s">
        <v>357</v>
      </c>
      <c r="B21" s="104">
        <v>5</v>
      </c>
      <c r="C21" s="104">
        <v>5</v>
      </c>
      <c r="E21" s="104">
        <v>5</v>
      </c>
      <c r="G21" s="104">
        <v>15</v>
      </c>
      <c r="H21"/>
    </row>
    <row r="22" spans="1:8" x14ac:dyDescent="0.35">
      <c r="A22" s="155" t="s">
        <v>353</v>
      </c>
      <c r="B22" s="104">
        <v>5</v>
      </c>
      <c r="C22" s="104">
        <v>5</v>
      </c>
      <c r="E22" s="104">
        <v>5</v>
      </c>
      <c r="G22" s="104">
        <v>15</v>
      </c>
      <c r="H22"/>
    </row>
    <row r="23" spans="1:8" x14ac:dyDescent="0.35">
      <c r="A23" s="155" t="s">
        <v>125</v>
      </c>
      <c r="B23" s="104">
        <v>5</v>
      </c>
      <c r="C23" s="104">
        <v>2</v>
      </c>
      <c r="E23" s="104">
        <v>5</v>
      </c>
      <c r="G23" s="104">
        <v>12</v>
      </c>
      <c r="H23"/>
    </row>
    <row r="24" spans="1:8" x14ac:dyDescent="0.35">
      <c r="A24" s="155" t="s">
        <v>248</v>
      </c>
      <c r="B24" s="104">
        <v>5</v>
      </c>
      <c r="C24" s="104">
        <v>5</v>
      </c>
      <c r="E24" s="104">
        <v>5</v>
      </c>
      <c r="G24" s="104">
        <v>15</v>
      </c>
      <c r="H24"/>
    </row>
    <row r="25" spans="1:8" x14ac:dyDescent="0.35">
      <c r="A25" s="155" t="s">
        <v>275</v>
      </c>
      <c r="B25" s="104">
        <v>5</v>
      </c>
      <c r="C25" s="104">
        <v>3</v>
      </c>
      <c r="E25" s="104">
        <v>5</v>
      </c>
      <c r="G25" s="104">
        <v>13</v>
      </c>
      <c r="H25"/>
    </row>
    <row r="26" spans="1:8" x14ac:dyDescent="0.35">
      <c r="A26" s="155" t="s">
        <v>279</v>
      </c>
      <c r="B26" s="104">
        <v>5</v>
      </c>
      <c r="C26" s="104">
        <v>3</v>
      </c>
      <c r="E26" s="104">
        <v>5</v>
      </c>
      <c r="G26" s="104">
        <v>13</v>
      </c>
      <c r="H26"/>
    </row>
    <row r="27" spans="1:8" x14ac:dyDescent="0.35">
      <c r="A27" s="155" t="s">
        <v>341</v>
      </c>
      <c r="B27" s="104">
        <v>5</v>
      </c>
      <c r="C27" s="104">
        <v>5</v>
      </c>
      <c r="E27" s="104">
        <v>5</v>
      </c>
      <c r="G27" s="104">
        <v>15</v>
      </c>
      <c r="H27"/>
    </row>
    <row r="28" spans="1:8" x14ac:dyDescent="0.35">
      <c r="A28" s="155" t="s">
        <v>51</v>
      </c>
      <c r="B28" s="104">
        <v>5</v>
      </c>
      <c r="C28" s="104">
        <v>5</v>
      </c>
      <c r="E28" s="104">
        <v>5</v>
      </c>
      <c r="G28" s="104">
        <v>15</v>
      </c>
      <c r="H28"/>
    </row>
    <row r="29" spans="1:8" x14ac:dyDescent="0.35">
      <c r="A29" s="155" t="s">
        <v>41</v>
      </c>
      <c r="B29" s="104">
        <v>5</v>
      </c>
      <c r="C29" s="104">
        <v>4</v>
      </c>
      <c r="D29" s="104">
        <v>1</v>
      </c>
      <c r="E29" s="104">
        <v>5</v>
      </c>
      <c r="G29" s="104">
        <v>15</v>
      </c>
      <c r="H29"/>
    </row>
    <row r="30" spans="1:8" x14ac:dyDescent="0.35">
      <c r="A30" s="155" t="s">
        <v>300</v>
      </c>
      <c r="B30" s="104">
        <v>3</v>
      </c>
      <c r="C30" s="104">
        <v>5</v>
      </c>
      <c r="D30" s="104">
        <v>1</v>
      </c>
      <c r="E30" s="104">
        <v>3</v>
      </c>
      <c r="G30" s="104">
        <v>12</v>
      </c>
      <c r="H30"/>
    </row>
    <row r="31" spans="1:8" x14ac:dyDescent="0.35">
      <c r="A31" s="155" t="s">
        <v>430</v>
      </c>
      <c r="B31" s="104">
        <v>4</v>
      </c>
      <c r="C31" s="104">
        <v>4</v>
      </c>
      <c r="E31" s="104">
        <v>3</v>
      </c>
      <c r="G31" s="104">
        <v>11</v>
      </c>
      <c r="H31"/>
    </row>
    <row r="32" spans="1:8" x14ac:dyDescent="0.35">
      <c r="A32" s="155" t="s">
        <v>78</v>
      </c>
      <c r="B32" s="104">
        <v>5</v>
      </c>
      <c r="C32" s="104">
        <v>5</v>
      </c>
      <c r="E32" s="104">
        <v>5</v>
      </c>
      <c r="G32" s="104">
        <v>15</v>
      </c>
      <c r="H32"/>
    </row>
    <row r="33" spans="1:8" x14ac:dyDescent="0.35">
      <c r="A33" s="155" t="s">
        <v>116</v>
      </c>
      <c r="B33" s="104">
        <v>4</v>
      </c>
      <c r="C33" s="104">
        <v>5</v>
      </c>
      <c r="D33" s="104">
        <v>1</v>
      </c>
      <c r="E33" s="104">
        <v>4</v>
      </c>
      <c r="G33" s="104">
        <v>14</v>
      </c>
      <c r="H33"/>
    </row>
    <row r="34" spans="1:8" x14ac:dyDescent="0.35">
      <c r="A34" s="155" t="s">
        <v>53</v>
      </c>
      <c r="B34" s="104">
        <v>2</v>
      </c>
      <c r="G34" s="104">
        <v>2</v>
      </c>
      <c r="H34"/>
    </row>
    <row r="35" spans="1:8" x14ac:dyDescent="0.35">
      <c r="A35" s="155" t="s">
        <v>369</v>
      </c>
      <c r="B35" s="104">
        <v>4</v>
      </c>
      <c r="C35" s="104">
        <v>5</v>
      </c>
      <c r="D35" s="104">
        <v>1</v>
      </c>
      <c r="E35" s="104">
        <v>2</v>
      </c>
      <c r="G35" s="104">
        <v>12</v>
      </c>
      <c r="H35"/>
    </row>
    <row r="36" spans="1:8" x14ac:dyDescent="0.35">
      <c r="A36" s="155" t="s">
        <v>331</v>
      </c>
      <c r="B36" s="104">
        <v>5</v>
      </c>
      <c r="C36" s="104">
        <v>5</v>
      </c>
      <c r="E36" s="104">
        <v>5</v>
      </c>
      <c r="G36" s="104">
        <v>15</v>
      </c>
      <c r="H36"/>
    </row>
    <row r="37" spans="1:8" x14ac:dyDescent="0.35">
      <c r="A37" s="155" t="s">
        <v>63</v>
      </c>
      <c r="B37" s="104">
        <v>1</v>
      </c>
      <c r="C37" s="104">
        <v>3</v>
      </c>
      <c r="D37" s="104">
        <v>1</v>
      </c>
      <c r="G37" s="104">
        <v>5</v>
      </c>
      <c r="H37"/>
    </row>
    <row r="38" spans="1:8" x14ac:dyDescent="0.35">
      <c r="A38" s="155" t="s">
        <v>293</v>
      </c>
      <c r="B38" s="104">
        <v>5</v>
      </c>
      <c r="G38" s="104">
        <v>5</v>
      </c>
      <c r="H38"/>
    </row>
    <row r="39" spans="1:8" x14ac:dyDescent="0.35">
      <c r="A39" s="155" t="s">
        <v>342</v>
      </c>
      <c r="E39" s="104">
        <v>1</v>
      </c>
      <c r="G39" s="104">
        <v>1</v>
      </c>
      <c r="H39"/>
    </row>
    <row r="40" spans="1:8" x14ac:dyDescent="0.35">
      <c r="A40" s="155" t="s">
        <v>339</v>
      </c>
      <c r="B40" s="104">
        <v>5</v>
      </c>
      <c r="C40" s="104">
        <v>5</v>
      </c>
      <c r="E40" s="104">
        <v>5</v>
      </c>
      <c r="G40" s="104">
        <v>15</v>
      </c>
      <c r="H40"/>
    </row>
    <row r="41" spans="1:8" x14ac:dyDescent="0.35">
      <c r="A41" s="155" t="s">
        <v>133</v>
      </c>
      <c r="B41" s="104">
        <v>5</v>
      </c>
      <c r="C41" s="104">
        <v>3</v>
      </c>
      <c r="E41" s="104">
        <v>2</v>
      </c>
      <c r="G41" s="104">
        <v>10</v>
      </c>
      <c r="H41"/>
    </row>
    <row r="42" spans="1:8" x14ac:dyDescent="0.35">
      <c r="A42" s="155" t="s">
        <v>120</v>
      </c>
      <c r="B42" s="104">
        <v>5</v>
      </c>
      <c r="C42" s="104">
        <v>5</v>
      </c>
      <c r="E42" s="104">
        <v>5</v>
      </c>
      <c r="G42" s="104">
        <v>15</v>
      </c>
      <c r="H42"/>
    </row>
    <row r="43" spans="1:8" x14ac:dyDescent="0.35">
      <c r="A43" s="155" t="s">
        <v>362</v>
      </c>
      <c r="B43" s="104">
        <v>5</v>
      </c>
      <c r="C43" s="104">
        <v>3</v>
      </c>
      <c r="G43" s="104">
        <v>8</v>
      </c>
      <c r="H43"/>
    </row>
    <row r="44" spans="1:8" x14ac:dyDescent="0.35">
      <c r="A44" s="155" t="s">
        <v>47</v>
      </c>
      <c r="B44" s="104">
        <v>5</v>
      </c>
      <c r="C44" s="104">
        <v>4</v>
      </c>
      <c r="D44" s="104">
        <v>1</v>
      </c>
      <c r="E44" s="104">
        <v>4</v>
      </c>
      <c r="G44" s="104">
        <v>14</v>
      </c>
      <c r="H44"/>
    </row>
    <row r="45" spans="1:8" x14ac:dyDescent="0.35">
      <c r="A45" s="155" t="s">
        <v>124</v>
      </c>
      <c r="B45" s="104">
        <v>5</v>
      </c>
      <c r="C45" s="104">
        <v>5</v>
      </c>
      <c r="E45" s="104">
        <v>5</v>
      </c>
      <c r="G45" s="104">
        <v>15</v>
      </c>
      <c r="H45"/>
    </row>
    <row r="46" spans="1:8" x14ac:dyDescent="0.35">
      <c r="A46" s="155" t="s">
        <v>296</v>
      </c>
      <c r="B46" s="104">
        <v>5</v>
      </c>
      <c r="C46" s="104">
        <v>5</v>
      </c>
      <c r="E46" s="104">
        <v>5</v>
      </c>
      <c r="G46" s="104">
        <v>15</v>
      </c>
      <c r="H46"/>
    </row>
    <row r="47" spans="1:8" x14ac:dyDescent="0.35">
      <c r="A47" s="155" t="s">
        <v>206</v>
      </c>
      <c r="B47" s="104">
        <v>4</v>
      </c>
      <c r="C47" s="104">
        <v>1</v>
      </c>
      <c r="G47" s="104">
        <v>5</v>
      </c>
      <c r="H47"/>
    </row>
    <row r="48" spans="1:8" x14ac:dyDescent="0.35">
      <c r="A48" s="155" t="s">
        <v>355</v>
      </c>
      <c r="B48" s="104">
        <v>5</v>
      </c>
      <c r="C48" s="104">
        <v>5</v>
      </c>
      <c r="E48" s="104">
        <v>5</v>
      </c>
      <c r="G48" s="104">
        <v>15</v>
      </c>
      <c r="H48"/>
    </row>
    <row r="49" spans="1:8" x14ac:dyDescent="0.35">
      <c r="A49" s="155" t="s">
        <v>344</v>
      </c>
      <c r="B49" s="104">
        <v>5</v>
      </c>
      <c r="C49" s="104">
        <v>5</v>
      </c>
      <c r="E49" s="104">
        <v>5</v>
      </c>
      <c r="G49" s="104">
        <v>15</v>
      </c>
      <c r="H49"/>
    </row>
    <row r="50" spans="1:8" x14ac:dyDescent="0.35">
      <c r="A50" s="155" t="s">
        <v>58</v>
      </c>
      <c r="B50" s="104">
        <v>1</v>
      </c>
      <c r="C50" s="104">
        <v>2</v>
      </c>
      <c r="E50" s="104">
        <v>2</v>
      </c>
      <c r="G50" s="104">
        <v>5</v>
      </c>
      <c r="H50"/>
    </row>
    <row r="51" spans="1:8" x14ac:dyDescent="0.35">
      <c r="A51" s="155" t="s">
        <v>333</v>
      </c>
      <c r="B51" s="104">
        <v>5</v>
      </c>
      <c r="C51" s="104">
        <v>5</v>
      </c>
      <c r="E51" s="104">
        <v>5</v>
      </c>
      <c r="G51" s="104">
        <v>15</v>
      </c>
      <c r="H51"/>
    </row>
    <row r="52" spans="1:8" x14ac:dyDescent="0.35">
      <c r="A52" s="155" t="s">
        <v>288</v>
      </c>
      <c r="B52" s="104">
        <v>4</v>
      </c>
      <c r="C52" s="104">
        <v>5</v>
      </c>
      <c r="D52" s="104">
        <v>1</v>
      </c>
      <c r="E52" s="104">
        <v>5</v>
      </c>
      <c r="G52" s="104">
        <v>15</v>
      </c>
      <c r="H52"/>
    </row>
    <row r="53" spans="1:8" x14ac:dyDescent="0.35">
      <c r="A53" s="155" t="s">
        <v>433</v>
      </c>
      <c r="B53" s="104">
        <v>2</v>
      </c>
      <c r="C53" s="104">
        <v>1</v>
      </c>
      <c r="E53" s="104">
        <v>1</v>
      </c>
      <c r="G53" s="104">
        <v>4</v>
      </c>
      <c r="H53"/>
    </row>
    <row r="54" spans="1:8" x14ac:dyDescent="0.35">
      <c r="A54" s="155" t="s">
        <v>332</v>
      </c>
      <c r="B54" s="104">
        <v>5</v>
      </c>
      <c r="C54" s="104">
        <v>5</v>
      </c>
      <c r="E54" s="104">
        <v>5</v>
      </c>
      <c r="G54" s="104">
        <v>15</v>
      </c>
      <c r="H54"/>
    </row>
    <row r="55" spans="1:8" x14ac:dyDescent="0.35">
      <c r="A55" s="155" t="s">
        <v>128</v>
      </c>
      <c r="B55" s="104">
        <v>5</v>
      </c>
      <c r="C55" s="104">
        <v>5</v>
      </c>
      <c r="E55" s="104">
        <v>5</v>
      </c>
      <c r="G55" s="104">
        <v>15</v>
      </c>
      <c r="H55"/>
    </row>
    <row r="56" spans="1:8" x14ac:dyDescent="0.35">
      <c r="A56" s="155" t="s">
        <v>136</v>
      </c>
      <c r="B56" s="104">
        <v>5</v>
      </c>
      <c r="C56" s="104">
        <v>5</v>
      </c>
      <c r="D56" s="104">
        <v>1</v>
      </c>
      <c r="E56" s="104">
        <v>3</v>
      </c>
      <c r="G56" s="104">
        <v>14</v>
      </c>
      <c r="H56"/>
    </row>
    <row r="57" spans="1:8" x14ac:dyDescent="0.35">
      <c r="A57" s="155" t="s">
        <v>252</v>
      </c>
      <c r="B57" s="104">
        <v>5</v>
      </c>
      <c r="C57" s="104">
        <v>5</v>
      </c>
      <c r="E57" s="104">
        <v>5</v>
      </c>
      <c r="G57" s="104">
        <v>15</v>
      </c>
      <c r="H57"/>
    </row>
    <row r="58" spans="1:8" x14ac:dyDescent="0.35">
      <c r="A58" s="155" t="s">
        <v>365</v>
      </c>
      <c r="B58" s="104">
        <v>1</v>
      </c>
      <c r="C58" s="104">
        <v>1</v>
      </c>
      <c r="E58" s="104">
        <v>1</v>
      </c>
      <c r="G58" s="104">
        <v>3</v>
      </c>
      <c r="H58"/>
    </row>
    <row r="59" spans="1:8" x14ac:dyDescent="0.35">
      <c r="A59" s="155" t="s">
        <v>358</v>
      </c>
      <c r="B59" s="104">
        <v>3</v>
      </c>
      <c r="D59" s="104">
        <v>1</v>
      </c>
      <c r="E59" s="104">
        <v>1</v>
      </c>
      <c r="G59" s="104">
        <v>5</v>
      </c>
      <c r="H59"/>
    </row>
    <row r="60" spans="1:8" x14ac:dyDescent="0.35">
      <c r="A60" s="155" t="s">
        <v>380</v>
      </c>
      <c r="B60" s="104">
        <v>2</v>
      </c>
      <c r="C60" s="104">
        <v>1</v>
      </c>
      <c r="G60" s="104">
        <v>3</v>
      </c>
      <c r="H60"/>
    </row>
    <row r="61" spans="1:8" x14ac:dyDescent="0.35">
      <c r="A61" s="155" t="s">
        <v>356</v>
      </c>
      <c r="B61" s="104">
        <v>5</v>
      </c>
      <c r="C61" s="104">
        <v>5</v>
      </c>
      <c r="E61" s="104">
        <v>5</v>
      </c>
      <c r="G61" s="104">
        <v>15</v>
      </c>
      <c r="H61"/>
    </row>
    <row r="62" spans="1:8" x14ac:dyDescent="0.35">
      <c r="A62" s="155" t="s">
        <v>354</v>
      </c>
      <c r="B62" s="104">
        <v>3</v>
      </c>
      <c r="C62" s="104">
        <v>4</v>
      </c>
      <c r="E62" s="104">
        <v>4</v>
      </c>
      <c r="G62" s="104">
        <v>11</v>
      </c>
      <c r="H62"/>
    </row>
    <row r="63" spans="1:8" x14ac:dyDescent="0.35">
      <c r="A63" s="155" t="s">
        <v>137</v>
      </c>
      <c r="B63" s="104">
        <v>4</v>
      </c>
      <c r="C63" s="104">
        <v>5</v>
      </c>
      <c r="D63" s="104">
        <v>1</v>
      </c>
      <c r="E63" s="104">
        <v>5</v>
      </c>
      <c r="G63" s="104">
        <v>15</v>
      </c>
      <c r="H63"/>
    </row>
    <row r="64" spans="1:8" x14ac:dyDescent="0.35">
      <c r="A64" s="155" t="s">
        <v>335</v>
      </c>
      <c r="B64" s="104">
        <v>5</v>
      </c>
      <c r="C64" s="104">
        <v>5</v>
      </c>
      <c r="E64" s="104">
        <v>5</v>
      </c>
      <c r="G64" s="104">
        <v>15</v>
      </c>
      <c r="H64"/>
    </row>
    <row r="65" spans="1:8" x14ac:dyDescent="0.35">
      <c r="A65" s="155" t="s">
        <v>366</v>
      </c>
      <c r="B65" s="104">
        <v>5</v>
      </c>
      <c r="C65" s="104">
        <v>5</v>
      </c>
      <c r="E65" s="104">
        <v>5</v>
      </c>
      <c r="G65" s="104">
        <v>15</v>
      </c>
      <c r="H65"/>
    </row>
    <row r="66" spans="1:8" x14ac:dyDescent="0.35">
      <c r="A66" s="155" t="s">
        <v>359</v>
      </c>
      <c r="B66" s="104">
        <v>5</v>
      </c>
      <c r="C66" s="104">
        <v>5</v>
      </c>
      <c r="D66" s="104">
        <v>1</v>
      </c>
      <c r="E66" s="104">
        <v>4</v>
      </c>
      <c r="G66" s="104">
        <v>15</v>
      </c>
      <c r="H66"/>
    </row>
    <row r="67" spans="1:8" x14ac:dyDescent="0.35">
      <c r="A67" s="155" t="s">
        <v>343</v>
      </c>
      <c r="B67" s="104">
        <v>3</v>
      </c>
      <c r="C67" s="104">
        <v>2</v>
      </c>
      <c r="E67" s="104">
        <v>4</v>
      </c>
      <c r="G67" s="104">
        <v>9</v>
      </c>
      <c r="H67"/>
    </row>
    <row r="68" spans="1:8" x14ac:dyDescent="0.35">
      <c r="A68" s="155" t="s">
        <v>393</v>
      </c>
      <c r="B68" s="104">
        <v>2</v>
      </c>
      <c r="C68" s="104">
        <v>1</v>
      </c>
      <c r="G68" s="104">
        <v>3</v>
      </c>
      <c r="H68"/>
    </row>
    <row r="69" spans="1:8" x14ac:dyDescent="0.35">
      <c r="A69" s="155" t="s">
        <v>351</v>
      </c>
      <c r="B69" s="104">
        <v>5</v>
      </c>
      <c r="C69" s="104">
        <v>4</v>
      </c>
      <c r="E69" s="104">
        <v>5</v>
      </c>
      <c r="G69" s="104">
        <v>14</v>
      </c>
      <c r="H69"/>
    </row>
    <row r="70" spans="1:8" x14ac:dyDescent="0.35">
      <c r="A70" s="155" t="s">
        <v>371</v>
      </c>
      <c r="B70" s="104">
        <v>1</v>
      </c>
      <c r="G70" s="104">
        <v>1</v>
      </c>
      <c r="H70"/>
    </row>
    <row r="71" spans="1:8" x14ac:dyDescent="0.35">
      <c r="A71" s="155" t="s">
        <v>291</v>
      </c>
      <c r="B71" s="104">
        <v>5</v>
      </c>
      <c r="C71" s="104">
        <v>5</v>
      </c>
      <c r="D71" s="104">
        <v>1</v>
      </c>
      <c r="E71" s="104">
        <v>4</v>
      </c>
      <c r="G71" s="104">
        <v>15</v>
      </c>
      <c r="H71"/>
    </row>
    <row r="72" spans="1:8" x14ac:dyDescent="0.35">
      <c r="A72" s="155" t="s">
        <v>363</v>
      </c>
      <c r="B72" s="104">
        <v>2</v>
      </c>
      <c r="E72" s="104">
        <v>1</v>
      </c>
      <c r="G72" s="104">
        <v>3</v>
      </c>
      <c r="H72"/>
    </row>
    <row r="73" spans="1:8" x14ac:dyDescent="0.35">
      <c r="A73" s="155" t="s">
        <v>398</v>
      </c>
      <c r="B73" s="104">
        <v>1</v>
      </c>
      <c r="C73" s="104">
        <v>3</v>
      </c>
      <c r="E73" s="104">
        <v>2</v>
      </c>
      <c r="G73" s="104">
        <v>6</v>
      </c>
      <c r="H73"/>
    </row>
    <row r="74" spans="1:8" x14ac:dyDescent="0.35">
      <c r="A74" s="155" t="s">
        <v>204</v>
      </c>
      <c r="B74" s="104">
        <v>5</v>
      </c>
      <c r="C74" s="104">
        <v>5</v>
      </c>
      <c r="E74" s="104">
        <v>5</v>
      </c>
      <c r="G74" s="104">
        <v>15</v>
      </c>
      <c r="H74"/>
    </row>
    <row r="75" spans="1:8" x14ac:dyDescent="0.35">
      <c r="A75" s="155" t="s">
        <v>347</v>
      </c>
      <c r="B75" s="104">
        <v>5</v>
      </c>
      <c r="C75" s="104">
        <v>5</v>
      </c>
      <c r="E75" s="104">
        <v>5</v>
      </c>
      <c r="G75" s="104">
        <v>15</v>
      </c>
      <c r="H75"/>
    </row>
    <row r="76" spans="1:8" x14ac:dyDescent="0.35">
      <c r="A76" s="155" t="s">
        <v>373</v>
      </c>
      <c r="C76" s="104">
        <v>3</v>
      </c>
      <c r="E76" s="104">
        <v>1</v>
      </c>
      <c r="G76" s="104">
        <v>4</v>
      </c>
      <c r="H76"/>
    </row>
    <row r="77" spans="1:8" x14ac:dyDescent="0.35">
      <c r="A77" s="155" t="s">
        <v>303</v>
      </c>
      <c r="B77" s="104">
        <v>5</v>
      </c>
      <c r="C77" s="104">
        <v>5</v>
      </c>
      <c r="E77" s="104">
        <v>5</v>
      </c>
      <c r="G77" s="104">
        <v>15</v>
      </c>
      <c r="H77"/>
    </row>
    <row r="78" spans="1:8" x14ac:dyDescent="0.35">
      <c r="A78" s="155" t="s">
        <v>283</v>
      </c>
      <c r="B78" s="104">
        <v>5</v>
      </c>
      <c r="C78" s="104">
        <v>5</v>
      </c>
      <c r="E78" s="104">
        <v>5</v>
      </c>
      <c r="G78" s="104">
        <v>15</v>
      </c>
      <c r="H78"/>
    </row>
    <row r="79" spans="1:8" x14ac:dyDescent="0.35">
      <c r="A79" s="155" t="s">
        <v>304</v>
      </c>
      <c r="C79" s="104">
        <v>1</v>
      </c>
      <c r="G79" s="104">
        <v>1</v>
      </c>
      <c r="H79"/>
    </row>
    <row r="80" spans="1:8" x14ac:dyDescent="0.35">
      <c r="A80" s="155" t="s">
        <v>406</v>
      </c>
      <c r="B80" s="104">
        <v>4</v>
      </c>
      <c r="C80" s="104">
        <v>2</v>
      </c>
      <c r="E80" s="104">
        <v>1</v>
      </c>
      <c r="G80" s="104">
        <v>7</v>
      </c>
      <c r="H80"/>
    </row>
    <row r="81" spans="1:8" x14ac:dyDescent="0.35">
      <c r="A81" s="155" t="s">
        <v>241</v>
      </c>
      <c r="B81" s="104">
        <v>5</v>
      </c>
      <c r="C81" s="104">
        <v>4</v>
      </c>
      <c r="D81" s="104">
        <v>1</v>
      </c>
      <c r="E81" s="104">
        <v>3</v>
      </c>
      <c r="G81" s="104">
        <v>13</v>
      </c>
      <c r="H81"/>
    </row>
    <row r="82" spans="1:8" x14ac:dyDescent="0.35">
      <c r="A82" s="155" t="s">
        <v>203</v>
      </c>
      <c r="B82" s="104">
        <v>5</v>
      </c>
      <c r="C82" s="104">
        <v>5</v>
      </c>
      <c r="E82" s="104">
        <v>5</v>
      </c>
      <c r="G82" s="104">
        <v>15</v>
      </c>
      <c r="H82"/>
    </row>
    <row r="83" spans="1:8" x14ac:dyDescent="0.35">
      <c r="A83" s="155" t="s">
        <v>114</v>
      </c>
      <c r="B83" s="104">
        <v>5</v>
      </c>
      <c r="C83" s="104">
        <v>5</v>
      </c>
      <c r="E83" s="104">
        <v>5</v>
      </c>
      <c r="G83" s="104">
        <v>15</v>
      </c>
      <c r="H83"/>
    </row>
    <row r="84" spans="1:8" x14ac:dyDescent="0.35">
      <c r="A84" s="155" t="s">
        <v>383</v>
      </c>
      <c r="B84" s="104">
        <v>5</v>
      </c>
      <c r="C84" s="104">
        <v>5</v>
      </c>
      <c r="D84" s="104">
        <v>1</v>
      </c>
      <c r="E84" s="104">
        <v>2</v>
      </c>
      <c r="G84" s="104">
        <v>13</v>
      </c>
      <c r="H84"/>
    </row>
    <row r="85" spans="1:8" x14ac:dyDescent="0.35">
      <c r="A85" s="155" t="s">
        <v>392</v>
      </c>
      <c r="B85" s="104">
        <v>2</v>
      </c>
      <c r="C85" s="104">
        <v>2</v>
      </c>
      <c r="G85" s="104">
        <v>4</v>
      </c>
      <c r="H85"/>
    </row>
    <row r="86" spans="1:8" x14ac:dyDescent="0.35">
      <c r="A86" s="155" t="s">
        <v>305</v>
      </c>
      <c r="B86" s="104">
        <v>1</v>
      </c>
      <c r="G86" s="104">
        <v>1</v>
      </c>
      <c r="H86"/>
    </row>
    <row r="87" spans="1:8" x14ac:dyDescent="0.35">
      <c r="A87" s="155" t="s">
        <v>350</v>
      </c>
      <c r="B87" s="104">
        <v>1</v>
      </c>
      <c r="C87" s="104">
        <v>1</v>
      </c>
      <c r="G87" s="104">
        <v>2</v>
      </c>
      <c r="H87"/>
    </row>
    <row r="88" spans="1:8" x14ac:dyDescent="0.35">
      <c r="A88" s="155" t="s">
        <v>367</v>
      </c>
      <c r="E88" s="104">
        <v>1</v>
      </c>
      <c r="G88" s="104">
        <v>1</v>
      </c>
      <c r="H88"/>
    </row>
    <row r="89" spans="1:8" x14ac:dyDescent="0.35">
      <c r="A89" s="155" t="s">
        <v>170</v>
      </c>
      <c r="B89" s="104">
        <v>5</v>
      </c>
      <c r="C89" s="104">
        <v>4</v>
      </c>
      <c r="E89" s="104">
        <v>3</v>
      </c>
      <c r="G89" s="104">
        <v>12</v>
      </c>
      <c r="H89"/>
    </row>
    <row r="90" spans="1:8" x14ac:dyDescent="0.35">
      <c r="A90" s="155" t="s">
        <v>45</v>
      </c>
      <c r="B90" s="104">
        <v>2</v>
      </c>
      <c r="C90" s="104">
        <v>5</v>
      </c>
      <c r="E90" s="104">
        <v>5</v>
      </c>
      <c r="G90" s="104">
        <v>12</v>
      </c>
      <c r="H90"/>
    </row>
    <row r="91" spans="1:8" x14ac:dyDescent="0.35">
      <c r="A91" s="155" t="s">
        <v>48</v>
      </c>
      <c r="B91" s="104">
        <v>5</v>
      </c>
      <c r="C91" s="104">
        <v>5</v>
      </c>
      <c r="E91" s="104">
        <v>5</v>
      </c>
      <c r="G91" s="104">
        <v>15</v>
      </c>
      <c r="H91"/>
    </row>
    <row r="92" spans="1:8" x14ac:dyDescent="0.35">
      <c r="A92" s="155" t="s">
        <v>284</v>
      </c>
      <c r="B92" s="104">
        <v>5</v>
      </c>
      <c r="C92" s="104">
        <v>4</v>
      </c>
      <c r="D92" s="104">
        <v>1</v>
      </c>
      <c r="E92" s="104">
        <v>2</v>
      </c>
      <c r="G92" s="104">
        <v>12</v>
      </c>
      <c r="H92"/>
    </row>
    <row r="93" spans="1:8" x14ac:dyDescent="0.35">
      <c r="A93" s="155" t="s">
        <v>384</v>
      </c>
      <c r="E93" s="104">
        <v>1</v>
      </c>
      <c r="G93" s="104">
        <v>1</v>
      </c>
      <c r="H93"/>
    </row>
    <row r="94" spans="1:8" x14ac:dyDescent="0.35">
      <c r="A94" s="155" t="s">
        <v>292</v>
      </c>
      <c r="B94" s="104">
        <v>5</v>
      </c>
      <c r="C94" s="104">
        <v>5</v>
      </c>
      <c r="E94" s="104">
        <v>4</v>
      </c>
      <c r="G94" s="104">
        <v>14</v>
      </c>
      <c r="H94"/>
    </row>
    <row r="95" spans="1:8" x14ac:dyDescent="0.35">
      <c r="A95" s="155" t="s">
        <v>381</v>
      </c>
      <c r="B95" s="104">
        <v>2</v>
      </c>
      <c r="G95" s="104">
        <v>2</v>
      </c>
      <c r="H95"/>
    </row>
    <row r="96" spans="1:8" x14ac:dyDescent="0.35">
      <c r="A96" s="155" t="s">
        <v>346</v>
      </c>
      <c r="B96" s="104">
        <v>5</v>
      </c>
      <c r="C96" s="104">
        <v>5</v>
      </c>
      <c r="E96" s="104">
        <v>4</v>
      </c>
      <c r="G96" s="104">
        <v>14</v>
      </c>
      <c r="H96"/>
    </row>
    <row r="97" spans="1:8" x14ac:dyDescent="0.35">
      <c r="A97" s="155" t="s">
        <v>100</v>
      </c>
      <c r="B97" s="104">
        <v>5</v>
      </c>
      <c r="C97" s="104">
        <v>4</v>
      </c>
      <c r="D97" s="104">
        <v>1</v>
      </c>
      <c r="E97" s="104">
        <v>3</v>
      </c>
      <c r="G97" s="104">
        <v>13</v>
      </c>
      <c r="H97"/>
    </row>
    <row r="98" spans="1:8" x14ac:dyDescent="0.35">
      <c r="A98" s="155" t="s">
        <v>361</v>
      </c>
      <c r="B98" s="104">
        <v>5</v>
      </c>
      <c r="C98" s="104">
        <v>4</v>
      </c>
      <c r="E98" s="104">
        <v>5</v>
      </c>
      <c r="G98" s="104">
        <v>14</v>
      </c>
      <c r="H98"/>
    </row>
    <row r="99" spans="1:8" x14ac:dyDescent="0.35">
      <c r="A99" s="155" t="s">
        <v>431</v>
      </c>
      <c r="B99" s="104">
        <v>4</v>
      </c>
      <c r="C99" s="104">
        <v>5</v>
      </c>
      <c r="E99" s="104">
        <v>2</v>
      </c>
      <c r="G99" s="104">
        <v>11</v>
      </c>
      <c r="H99"/>
    </row>
    <row r="100" spans="1:8" x14ac:dyDescent="0.35">
      <c r="A100" s="155" t="s">
        <v>376</v>
      </c>
      <c r="B100" s="104">
        <v>5</v>
      </c>
      <c r="C100" s="104">
        <v>4</v>
      </c>
      <c r="D100" s="104">
        <v>1</v>
      </c>
      <c r="E100" s="104">
        <v>5</v>
      </c>
      <c r="G100" s="104">
        <v>15</v>
      </c>
      <c r="H100"/>
    </row>
    <row r="101" spans="1:8" x14ac:dyDescent="0.35">
      <c r="A101" s="155" t="s">
        <v>49</v>
      </c>
      <c r="B101" s="104">
        <v>5</v>
      </c>
      <c r="C101" s="104">
        <v>5</v>
      </c>
      <c r="E101" s="104">
        <v>5</v>
      </c>
      <c r="G101" s="104">
        <v>15</v>
      </c>
      <c r="H101"/>
    </row>
    <row r="102" spans="1:8" x14ac:dyDescent="0.35">
      <c r="A102" s="155" t="s">
        <v>226</v>
      </c>
      <c r="B102" s="104">
        <v>4</v>
      </c>
      <c r="C102" s="104">
        <v>4</v>
      </c>
      <c r="D102" s="104">
        <v>1</v>
      </c>
      <c r="E102" s="104">
        <v>2</v>
      </c>
      <c r="G102" s="104">
        <v>11</v>
      </c>
      <c r="H102"/>
    </row>
    <row r="103" spans="1:8" x14ac:dyDescent="0.35">
      <c r="A103" s="155" t="s">
        <v>338</v>
      </c>
      <c r="B103" s="104">
        <v>1</v>
      </c>
      <c r="G103" s="104">
        <v>1</v>
      </c>
      <c r="H103"/>
    </row>
    <row r="104" spans="1:8" x14ac:dyDescent="0.35">
      <c r="A104" s="155" t="s">
        <v>448</v>
      </c>
      <c r="B104" s="104">
        <v>4</v>
      </c>
      <c r="C104" s="104">
        <v>4</v>
      </c>
      <c r="E104" s="104">
        <v>2</v>
      </c>
      <c r="G104" s="104">
        <v>10</v>
      </c>
      <c r="H104"/>
    </row>
    <row r="105" spans="1:8" x14ac:dyDescent="0.35">
      <c r="A105" s="155" t="s">
        <v>64</v>
      </c>
      <c r="B105" s="104">
        <v>5</v>
      </c>
      <c r="C105" s="104">
        <v>5</v>
      </c>
      <c r="E105" s="104">
        <v>5</v>
      </c>
      <c r="G105" s="104">
        <v>15</v>
      </c>
      <c r="H105"/>
    </row>
    <row r="106" spans="1:8" x14ac:dyDescent="0.35">
      <c r="A106" s="155" t="s">
        <v>394</v>
      </c>
      <c r="C106" s="104">
        <v>1</v>
      </c>
      <c r="G106" s="104">
        <v>1</v>
      </c>
      <c r="H106"/>
    </row>
    <row r="107" spans="1:8" x14ac:dyDescent="0.35">
      <c r="A107" s="155" t="s">
        <v>352</v>
      </c>
      <c r="E107" s="104">
        <v>2</v>
      </c>
      <c r="G107" s="104">
        <v>2</v>
      </c>
      <c r="H107"/>
    </row>
    <row r="108" spans="1:8" x14ac:dyDescent="0.35">
      <c r="A108" s="155" t="s">
        <v>461</v>
      </c>
      <c r="B108" s="104">
        <v>2</v>
      </c>
      <c r="E108" s="104">
        <v>2</v>
      </c>
      <c r="G108" s="104">
        <v>4</v>
      </c>
      <c r="H108"/>
    </row>
    <row r="109" spans="1:8" x14ac:dyDescent="0.35">
      <c r="A109" s="155" t="s">
        <v>122</v>
      </c>
      <c r="B109" s="104">
        <v>5</v>
      </c>
      <c r="C109" s="104">
        <v>5</v>
      </c>
      <c r="E109" s="104">
        <v>5</v>
      </c>
      <c r="G109" s="104">
        <v>15</v>
      </c>
      <c r="H109"/>
    </row>
    <row r="110" spans="1:8" x14ac:dyDescent="0.35">
      <c r="A110" s="155" t="s">
        <v>378</v>
      </c>
      <c r="B110" s="104">
        <v>5</v>
      </c>
      <c r="C110" s="104">
        <v>3</v>
      </c>
      <c r="D110" s="104">
        <v>1</v>
      </c>
      <c r="E110" s="104">
        <v>5</v>
      </c>
      <c r="G110" s="104">
        <v>14</v>
      </c>
      <c r="H110"/>
    </row>
    <row r="111" spans="1:8" x14ac:dyDescent="0.35">
      <c r="A111" s="155" t="s">
        <v>205</v>
      </c>
      <c r="B111" s="104">
        <v>5</v>
      </c>
      <c r="C111" s="104">
        <v>5</v>
      </c>
      <c r="E111" s="104">
        <v>5</v>
      </c>
      <c r="G111" s="104">
        <v>15</v>
      </c>
      <c r="H111"/>
    </row>
    <row r="112" spans="1:8" x14ac:dyDescent="0.35">
      <c r="A112" s="155" t="s">
        <v>247</v>
      </c>
      <c r="B112" s="104">
        <v>5</v>
      </c>
      <c r="C112" s="104">
        <v>5</v>
      </c>
      <c r="E112" s="104">
        <v>5</v>
      </c>
      <c r="G112" s="104">
        <v>15</v>
      </c>
      <c r="H112"/>
    </row>
    <row r="113" spans="1:8" x14ac:dyDescent="0.35">
      <c r="A113" s="155" t="s">
        <v>403</v>
      </c>
      <c r="B113" s="104">
        <v>4</v>
      </c>
      <c r="C113" s="104">
        <v>5</v>
      </c>
      <c r="E113" s="104">
        <v>3</v>
      </c>
      <c r="G113" s="104">
        <v>12</v>
      </c>
      <c r="H113"/>
    </row>
    <row r="114" spans="1:8" x14ac:dyDescent="0.35">
      <c r="A114" s="155" t="s">
        <v>336</v>
      </c>
      <c r="B114" s="104">
        <v>5</v>
      </c>
      <c r="C114" s="104">
        <v>5</v>
      </c>
      <c r="E114" s="104">
        <v>4</v>
      </c>
      <c r="G114" s="104">
        <v>14</v>
      </c>
      <c r="H114"/>
    </row>
    <row r="115" spans="1:8" x14ac:dyDescent="0.35">
      <c r="A115" s="155" t="s">
        <v>59</v>
      </c>
      <c r="B115" s="104">
        <v>3</v>
      </c>
      <c r="C115" s="104">
        <v>5</v>
      </c>
      <c r="D115" s="104">
        <v>1</v>
      </c>
      <c r="E115" s="104">
        <v>5</v>
      </c>
      <c r="G115" s="104">
        <v>14</v>
      </c>
      <c r="H115"/>
    </row>
    <row r="116" spans="1:8" x14ac:dyDescent="0.35">
      <c r="A116" s="155" t="s">
        <v>340</v>
      </c>
      <c r="B116" s="104">
        <v>2</v>
      </c>
      <c r="C116" s="104">
        <v>2</v>
      </c>
      <c r="E116" s="104">
        <v>2</v>
      </c>
      <c r="G116" s="104">
        <v>6</v>
      </c>
      <c r="H116"/>
    </row>
    <row r="117" spans="1:8" x14ac:dyDescent="0.35">
      <c r="A117" s="155" t="s">
        <v>108</v>
      </c>
      <c r="B117" s="104">
        <v>5</v>
      </c>
      <c r="C117" s="104">
        <v>5</v>
      </c>
      <c r="E117" s="104">
        <v>5</v>
      </c>
      <c r="G117" s="104">
        <v>15</v>
      </c>
      <c r="H117"/>
    </row>
    <row r="118" spans="1:8" x14ac:dyDescent="0.35">
      <c r="A118" s="155" t="s">
        <v>177</v>
      </c>
      <c r="B118" s="104">
        <v>5</v>
      </c>
      <c r="C118" s="104">
        <v>5</v>
      </c>
      <c r="E118" s="104">
        <v>5</v>
      </c>
      <c r="G118" s="104">
        <v>15</v>
      </c>
      <c r="H118"/>
    </row>
    <row r="119" spans="1:8" x14ac:dyDescent="0.35">
      <c r="A119" s="155" t="s">
        <v>301</v>
      </c>
      <c r="B119" s="104">
        <v>4</v>
      </c>
      <c r="C119" s="104">
        <v>2</v>
      </c>
      <c r="E119" s="104">
        <v>1</v>
      </c>
      <c r="G119" s="104">
        <v>7</v>
      </c>
      <c r="H119"/>
    </row>
    <row r="120" spans="1:8" x14ac:dyDescent="0.35">
      <c r="A120" s="155" t="s">
        <v>464</v>
      </c>
      <c r="C120" s="104">
        <v>7</v>
      </c>
      <c r="G120" s="104">
        <v>7</v>
      </c>
      <c r="H120"/>
    </row>
    <row r="121" spans="1:8" x14ac:dyDescent="0.35">
      <c r="A121" s="155" t="s">
        <v>469</v>
      </c>
      <c r="B121" s="104">
        <v>3</v>
      </c>
      <c r="E121" s="104">
        <v>1</v>
      </c>
      <c r="G121" s="104">
        <v>4</v>
      </c>
      <c r="H121"/>
    </row>
    <row r="122" spans="1:8" x14ac:dyDescent="0.35">
      <c r="A122" s="155" t="s">
        <v>483</v>
      </c>
      <c r="B122" s="104">
        <v>3</v>
      </c>
      <c r="C122" s="104">
        <v>3</v>
      </c>
      <c r="G122" s="104">
        <v>6</v>
      </c>
      <c r="H122"/>
    </row>
    <row r="123" spans="1:8" x14ac:dyDescent="0.35">
      <c r="A123" s="155" t="s">
        <v>493</v>
      </c>
      <c r="B123" s="104">
        <v>1</v>
      </c>
      <c r="E123" s="104">
        <v>1</v>
      </c>
      <c r="G123" s="104">
        <v>2</v>
      </c>
      <c r="H123"/>
    </row>
    <row r="124" spans="1:8" x14ac:dyDescent="0.35">
      <c r="A124" s="155" t="s">
        <v>250</v>
      </c>
      <c r="E124" s="104">
        <v>1</v>
      </c>
      <c r="G124" s="104">
        <v>1</v>
      </c>
      <c r="H124"/>
    </row>
    <row r="125" spans="1:8" x14ac:dyDescent="0.35">
      <c r="A125" s="155" t="s">
        <v>498</v>
      </c>
      <c r="C125" s="104">
        <v>1</v>
      </c>
      <c r="G125" s="104">
        <v>1</v>
      </c>
      <c r="H125"/>
    </row>
    <row r="126" spans="1:8" x14ac:dyDescent="0.35">
      <c r="A126" s="155" t="s">
        <v>510</v>
      </c>
      <c r="B126" s="104">
        <v>1</v>
      </c>
      <c r="C126" s="104">
        <v>1</v>
      </c>
      <c r="G126" s="104">
        <v>2</v>
      </c>
      <c r="H126"/>
    </row>
    <row r="127" spans="1:8" x14ac:dyDescent="0.35">
      <c r="A127" s="155" t="s">
        <v>454</v>
      </c>
      <c r="B127" s="104">
        <v>445</v>
      </c>
      <c r="C127" s="104">
        <v>416</v>
      </c>
      <c r="D127" s="104">
        <v>23</v>
      </c>
      <c r="E127" s="104">
        <v>385</v>
      </c>
      <c r="G127" s="104">
        <v>1269</v>
      </c>
      <c r="H127"/>
    </row>
  </sheetData>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U66"/>
  <sheetViews>
    <sheetView workbookViewId="0">
      <pane ySplit="1" topLeftCell="A2" activePane="bottomLeft" state="frozen"/>
      <selection activeCell="A31" sqref="A31"/>
      <selection pane="bottomLeft" activeCell="B2" sqref="B2"/>
    </sheetView>
  </sheetViews>
  <sheetFormatPr defaultColWidth="9.1796875" defaultRowHeight="12" x14ac:dyDescent="0.3"/>
  <cols>
    <col min="1" max="1" width="8.1796875" style="82" bestFit="1" customWidth="1"/>
    <col min="2" max="2" width="22.54296875" style="34" bestFit="1" customWidth="1"/>
    <col min="3" max="10" width="6" style="34" customWidth="1"/>
    <col min="11" max="12" width="5.1796875" style="34" customWidth="1"/>
    <col min="13" max="14" width="5.453125" style="34" bestFit="1" customWidth="1"/>
    <col min="15" max="17" width="5.453125" style="34" customWidth="1"/>
    <col min="18" max="18" width="13.1796875" style="34" customWidth="1"/>
    <col min="19" max="19" width="10.453125" style="34" bestFit="1" customWidth="1"/>
    <col min="20" max="20" width="13.453125" style="34" bestFit="1" customWidth="1"/>
    <col min="21" max="16384" width="9.1796875" style="34"/>
  </cols>
  <sheetData>
    <row r="1" spans="1:21" ht="13" x14ac:dyDescent="0.3">
      <c r="A1" s="81" t="s">
        <v>67</v>
      </c>
      <c r="B1" s="33" t="s">
        <v>31</v>
      </c>
      <c r="C1" s="36">
        <v>1</v>
      </c>
      <c r="D1" s="36">
        <v>2</v>
      </c>
      <c r="E1" s="36">
        <v>3</v>
      </c>
      <c r="F1" s="36">
        <v>4</v>
      </c>
      <c r="G1" s="36">
        <v>5</v>
      </c>
      <c r="H1" s="36">
        <v>6</v>
      </c>
      <c r="I1" s="36">
        <v>7</v>
      </c>
      <c r="J1" s="36">
        <v>8</v>
      </c>
      <c r="K1" s="36">
        <v>9</v>
      </c>
      <c r="L1" s="36">
        <v>10</v>
      </c>
      <c r="M1" s="36">
        <v>11</v>
      </c>
      <c r="N1" s="36">
        <v>12</v>
      </c>
      <c r="O1" s="36">
        <v>13</v>
      </c>
      <c r="P1" s="36">
        <v>14</v>
      </c>
      <c r="Q1" s="36">
        <v>15</v>
      </c>
      <c r="R1" s="70" t="s">
        <v>83</v>
      </c>
      <c r="S1" s="33" t="s">
        <v>69</v>
      </c>
      <c r="T1" s="33" t="s">
        <v>68</v>
      </c>
    </row>
    <row r="2" spans="1:21" ht="13" x14ac:dyDescent="0.3">
      <c r="A2" s="79">
        <v>1</v>
      </c>
      <c r="B2" s="30" t="s">
        <v>376</v>
      </c>
      <c r="C2" s="31">
        <f>IF(SUMIFS(Data!$U:$U,Data!$A:$A,$B2,Data!$C:$C,C$1)=0,"",SUMIFS(Data!$U:$U,Data!$A:$A,$B2,Data!$C:$C,C$1))</f>
        <v>3.95</v>
      </c>
      <c r="D2" s="31">
        <f>IF(SUMIFS(Data!$U:$U,Data!$A:$A,$B2,Data!$C:$C,D$1)=0,"",SUMIFS(Data!$U:$U,Data!$A:$A,$B2,Data!$C:$C,D$1))</f>
        <v>4.3250000000000002</v>
      </c>
      <c r="E2" s="31">
        <f>IF(SUMIFS(Data!$U:$U,Data!$A:$A,$B2,Data!$C:$C,E$1)=0,"",SUMIFS(Data!$U:$U,Data!$A:$A,$B2,Data!$C:$C,E$1))</f>
        <v>7.5553571428571438</v>
      </c>
      <c r="F2" s="31">
        <f>IF(SUMIFS(Data!$U:$U,Data!$A:$A,$B2,Data!$C:$C,F$1)=0,"",SUMIFS(Data!$U:$U,Data!$A:$A,$B2,Data!$C:$C,F$1))</f>
        <v>3.4273809523809522</v>
      </c>
      <c r="G2" s="31">
        <f>IF(SUMIFS(Data!$U:$U,Data!$A:$A,$B2,Data!$C:$C,G$1)=0,"",SUMIFS(Data!$U:$U,Data!$A:$A,$B2,Data!$C:$C,G$1))</f>
        <v>1.5</v>
      </c>
      <c r="H2" s="31">
        <f>IF(SUMIFS(Data!$U:$U,Data!$A:$A,$B2,Data!$C:$C,H$1)=0,"",SUMIFS(Data!$U:$U,Data!$A:$A,$B2,Data!$C:$C,H$1))</f>
        <v>7.0826666666666664</v>
      </c>
      <c r="I2" s="31">
        <f>IF(SUMIFS(Data!$U:$U,Data!$A:$A,$B2,Data!$C:$C,I$1)=0,"",SUMIFS(Data!$U:$U,Data!$A:$A,$B2,Data!$C:$C,I$1))</f>
        <v>3.75</v>
      </c>
      <c r="J2" s="31">
        <f>IF(SUMIFS(Data!$U:$U,Data!$A:$A,$B2,Data!$C:$C,J$1)=0,"",SUMIFS(Data!$U:$U,Data!$A:$A,$B2,Data!$C:$C,J$1))</f>
        <v>8.15</v>
      </c>
      <c r="K2" s="31">
        <f>IF(SUMIFS(Data!$U:$U,Data!$A:$A,$B2,Data!$C:$C,K$1)=0,"",SUMIFS(Data!$U:$U,Data!$A:$A,$B2,Data!$C:$C,K$1))</f>
        <v>2.4695952380952386</v>
      </c>
      <c r="L2" s="31">
        <f>IF(SUMIFS(Data!$U:$U,Data!$A:$A,$B2,Data!$C:$C,L$1)=0,"",SUMIFS(Data!$U:$U,Data!$A:$A,$B2,Data!$C:$C,L$1))</f>
        <v>4.9000000000000004</v>
      </c>
      <c r="M2" s="31">
        <f>IF(SUMIFS(Data!$U:$U,Data!$A:$A,$B2,Data!$C:$C,M$1)=0,"",SUMIFS(Data!$U:$U,Data!$A:$A,$B2,Data!$C:$C,M$1))</f>
        <v>4.4000000000000004</v>
      </c>
      <c r="N2" s="31">
        <f>IF(SUMIFS(Data!$U:$U,Data!$A:$A,$B2,Data!$C:$C,N$1)=0,"",SUMIFS(Data!$U:$U,Data!$A:$A,$B2,Data!$C:$C,N$1))</f>
        <v>5.0289999999999999</v>
      </c>
      <c r="O2" s="31">
        <f>IF(SUMIFS(Data!$U:$U,Data!$A:$A,$B2,Data!$C:$C,O$1)=0,"",SUMIFS(Data!$U:$U,Data!$A:$A,$B2,Data!$C:$C,O$1))</f>
        <v>3.7651190476190473</v>
      </c>
      <c r="P2" s="31">
        <f>IF(SUMIFS(Data!$U:$U,Data!$A:$A,$B2,Data!$C:$C,P$1)=0,"",SUMIFS(Data!$U:$U,Data!$A:$A,$B2,Data!$C:$C,P$1))</f>
        <v>4.3746666666666671</v>
      </c>
      <c r="Q2" s="31">
        <f>IF(SUMIFS(Data!$U:$U,Data!$A:$A,$B2,Data!$C:$C,Q$1)=0,"",SUMIFS(Data!$U:$U,Data!$A:$A,$B2,Data!$C:$C,Q$1))</f>
        <v>8.2750000000000004</v>
      </c>
      <c r="R2" s="31">
        <f>VLOOKUP(B2,'#ligaSYR'!$B:$R,17,0)</f>
        <v>5</v>
      </c>
      <c r="S2" s="31">
        <f>SUM(C2:R2)</f>
        <v>77.953785714285715</v>
      </c>
      <c r="T2" s="31">
        <f>SUMIFS(Data!D:D,Data!A:A,B2)</f>
        <v>514.9</v>
      </c>
      <c r="U2" s="160">
        <f>S2-S3</f>
        <v>3.3958095238095183</v>
      </c>
    </row>
    <row r="3" spans="1:21" ht="13" x14ac:dyDescent="0.3">
      <c r="A3" s="79">
        <v>2</v>
      </c>
      <c r="B3" s="30" t="s">
        <v>341</v>
      </c>
      <c r="C3" s="31">
        <f>IF(SUMIFS(Data!$U:$U,Data!$A:$A,$B3,Data!$C:$C,C$1)=0,"",SUMIFS(Data!$U:$U,Data!$A:$A,$B3,Data!$C:$C,C$1))</f>
        <v>5.1166666666666671</v>
      </c>
      <c r="D3" s="31">
        <f>IF(SUMIFS(Data!$U:$U,Data!$A:$A,$B3,Data!$C:$C,D$1)=0,"",SUMIFS(Data!$U:$U,Data!$A:$A,$B3,Data!$C:$C,D$1))</f>
        <v>5.7293333333333329</v>
      </c>
      <c r="E3" s="31">
        <f>IF(SUMIFS(Data!$U:$U,Data!$A:$A,$B3,Data!$C:$C,E$1)=0,"",SUMIFS(Data!$U:$U,Data!$A:$A,$B3,Data!$C:$C,E$1))</f>
        <v>3.3049999999999997</v>
      </c>
      <c r="F3" s="31">
        <f>IF(SUMIFS(Data!$U:$U,Data!$A:$A,$B3,Data!$C:$C,F$1)=0,"",SUMIFS(Data!$U:$U,Data!$A:$A,$B3,Data!$C:$C,F$1))</f>
        <v>3.3064999999999998</v>
      </c>
      <c r="G3" s="31">
        <f>IF(SUMIFS(Data!$U:$U,Data!$A:$A,$B3,Data!$C:$C,G$1)=0,"",SUMIFS(Data!$U:$U,Data!$A:$A,$B3,Data!$C:$C,G$1))</f>
        <v>3.7131666666666669</v>
      </c>
      <c r="H3" s="31">
        <f>IF(SUMIFS(Data!$U:$U,Data!$A:$A,$B3,Data!$C:$C,H$1)=0,"",SUMIFS(Data!$U:$U,Data!$A:$A,$B3,Data!$C:$C,H$1))</f>
        <v>5.27</v>
      </c>
      <c r="I3" s="31">
        <f>IF(SUMIFS(Data!$U:$U,Data!$A:$A,$B3,Data!$C:$C,I$1)=0,"",SUMIFS(Data!$U:$U,Data!$A:$A,$B3,Data!$C:$C,I$1))</f>
        <v>6.3410714285714285</v>
      </c>
      <c r="J3" s="31">
        <f>IF(SUMIFS(Data!$U:$U,Data!$A:$A,$B3,Data!$C:$C,J$1)=0,"",SUMIFS(Data!$U:$U,Data!$A:$A,$B3,Data!$C:$C,J$1))</f>
        <v>4.5763333333333334</v>
      </c>
      <c r="K3" s="31">
        <f>IF(SUMIFS(Data!$U:$U,Data!$A:$A,$B3,Data!$C:$C,K$1)=0,"",SUMIFS(Data!$U:$U,Data!$A:$A,$B3,Data!$C:$C,K$1))</f>
        <v>3.3125</v>
      </c>
      <c r="L3" s="31">
        <f>IF(SUMIFS(Data!$U:$U,Data!$A:$A,$B3,Data!$C:$C,L$1)=0,"",SUMIFS(Data!$U:$U,Data!$A:$A,$B3,Data!$C:$C,L$1))</f>
        <v>5.633</v>
      </c>
      <c r="M3" s="31">
        <f>IF(SUMIFS(Data!$U:$U,Data!$A:$A,$B3,Data!$C:$C,M$1)=0,"",SUMIFS(Data!$U:$U,Data!$A:$A,$B3,Data!$C:$C,M$1))</f>
        <v>4.4339285714285719</v>
      </c>
      <c r="N3" s="31">
        <f>IF(SUMIFS(Data!$U:$U,Data!$A:$A,$B3,Data!$C:$C,N$1)=0,"",SUMIFS(Data!$U:$U,Data!$A:$A,$B3,Data!$C:$C,N$1))</f>
        <v>4.8053333333333335</v>
      </c>
      <c r="O3" s="31">
        <f>IF(SUMIFS(Data!$U:$U,Data!$A:$A,$B3,Data!$C:$C,O$1)=0,"",SUMIFS(Data!$U:$U,Data!$A:$A,$B3,Data!$C:$C,O$1))</f>
        <v>4.54</v>
      </c>
      <c r="P3" s="31">
        <f>IF(SUMIFS(Data!$U:$U,Data!$A:$A,$B3,Data!$C:$C,P$1)=0,"",SUMIFS(Data!$U:$U,Data!$A:$A,$B3,Data!$C:$C,P$1))</f>
        <v>4.9096666666666664</v>
      </c>
      <c r="Q3" s="31">
        <f>IF(SUMIFS(Data!$U:$U,Data!$A:$A,$B3,Data!$C:$C,Q$1)=0,"",SUMIFS(Data!$U:$U,Data!$A:$A,$B3,Data!$C:$C,Q$1))</f>
        <v>5.5654761904761907</v>
      </c>
      <c r="R3" s="31">
        <f>VLOOKUP(B3,'#ligaSYR'!$B:$R,17,0)</f>
        <v>4</v>
      </c>
      <c r="S3" s="31">
        <f>SUM(C3:R3)</f>
        <v>74.557976190476197</v>
      </c>
      <c r="T3" s="31">
        <f>SUMIFS(Data!D:D,Data!A:A,B3)</f>
        <v>427.75</v>
      </c>
    </row>
    <row r="4" spans="1:21" ht="13" x14ac:dyDescent="0.3">
      <c r="A4" s="79">
        <v>3</v>
      </c>
      <c r="B4" s="30" t="s">
        <v>361</v>
      </c>
      <c r="C4" s="31">
        <f>IF(SUMIFS(Data!$U:$U,Data!$A:$A,$B4,Data!$C:$C,C$1)=0,"",SUMIFS(Data!$U:$U,Data!$A:$A,$B4,Data!$C:$C,C$1))</f>
        <v>5.0250000000000004</v>
      </c>
      <c r="D4" s="31">
        <f>IF(SUMIFS(Data!$U:$U,Data!$A:$A,$B4,Data!$C:$C,D$1)=0,"",SUMIFS(Data!$U:$U,Data!$A:$A,$B4,Data!$C:$C,D$1))</f>
        <v>4.6630000000000003</v>
      </c>
      <c r="E4" s="31">
        <f>IF(SUMIFS(Data!$U:$U,Data!$A:$A,$B4,Data!$C:$C,E$1)=0,"",SUMIFS(Data!$U:$U,Data!$A:$A,$B4,Data!$C:$C,E$1))</f>
        <v>5.3607142857142858</v>
      </c>
      <c r="F4" s="31">
        <f>IF(SUMIFS(Data!$U:$U,Data!$A:$A,$B4,Data!$C:$C,F$1)=0,"",SUMIFS(Data!$U:$U,Data!$A:$A,$B4,Data!$C:$C,F$1))</f>
        <v>4.5903333333333336</v>
      </c>
      <c r="G4" s="31">
        <f>IF(SUMIFS(Data!$U:$U,Data!$A:$A,$B4,Data!$C:$C,G$1)=0,"",SUMIFS(Data!$U:$U,Data!$A:$A,$B4,Data!$C:$C,G$1))</f>
        <v>3.625</v>
      </c>
      <c r="H4" s="31">
        <f>IF(SUMIFS(Data!$U:$U,Data!$A:$A,$B4,Data!$C:$C,H$1)=0,"",SUMIFS(Data!$U:$U,Data!$A:$A,$B4,Data!$C:$C,H$1))</f>
        <v>2.875</v>
      </c>
      <c r="I4" s="31">
        <f>IF(SUMIFS(Data!$U:$U,Data!$A:$A,$B4,Data!$C:$C,I$1)=0,"",SUMIFS(Data!$U:$U,Data!$A:$A,$B4,Data!$C:$C,I$1))</f>
        <v>4.3168333333333333</v>
      </c>
      <c r="J4" s="31">
        <f>IF(SUMIFS(Data!$U:$U,Data!$A:$A,$B4,Data!$C:$C,J$1)=0,"",SUMIFS(Data!$U:$U,Data!$A:$A,$B4,Data!$C:$C,J$1))</f>
        <v>5.0596666666666668</v>
      </c>
      <c r="K4" s="31">
        <f>IF(SUMIFS(Data!$U:$U,Data!$A:$A,$B4,Data!$C:$C,K$1)=0,"",SUMIFS(Data!$U:$U,Data!$A:$A,$B4,Data!$C:$C,K$1))</f>
        <v>4.9748333333333337</v>
      </c>
      <c r="L4" s="31">
        <f>IF(SUMIFS(Data!$U:$U,Data!$A:$A,$B4,Data!$C:$C,L$1)=0,"",SUMIFS(Data!$U:$U,Data!$A:$A,$B4,Data!$C:$C,L$1))</f>
        <v>4.5676666666666668</v>
      </c>
      <c r="M4" s="31" t="str">
        <f>IF(SUMIFS(Data!$U:$U,Data!$A:$A,$B4,Data!$C:$C,M$1)=0,"",SUMIFS(Data!$U:$U,Data!$A:$A,$B4,Data!$C:$C,M$1))</f>
        <v/>
      </c>
      <c r="N4" s="31">
        <f>IF(SUMIFS(Data!$U:$U,Data!$A:$A,$B4,Data!$C:$C,N$1)=0,"",SUMIFS(Data!$U:$U,Data!$A:$A,$B4,Data!$C:$C,N$1))</f>
        <v>11.152333333333335</v>
      </c>
      <c r="O4" s="31">
        <f>IF(SUMIFS(Data!$U:$U,Data!$A:$A,$B4,Data!$C:$C,O$1)=0,"",SUMIFS(Data!$U:$U,Data!$A:$A,$B4,Data!$C:$C,O$1))</f>
        <v>2.3250000000000002</v>
      </c>
      <c r="P4" s="31">
        <f>IF(SUMIFS(Data!$U:$U,Data!$A:$A,$B4,Data!$C:$C,P$1)=0,"",SUMIFS(Data!$U:$U,Data!$A:$A,$B4,Data!$C:$C,P$1))</f>
        <v>1.6577380952380953</v>
      </c>
      <c r="Q4" s="31">
        <f>IF(SUMIFS(Data!$U:$U,Data!$A:$A,$B4,Data!$C:$C,Q$1)=0,"",SUMIFS(Data!$U:$U,Data!$A:$A,$B4,Data!$C:$C,Q$1))</f>
        <v>3.6713333333333336</v>
      </c>
      <c r="R4" s="31">
        <f>VLOOKUP(B4,'#ligaSYR'!$B:$R,17,0)</f>
        <v>5</v>
      </c>
      <c r="S4" s="31">
        <f>SUM(C4:R4)</f>
        <v>68.8644523809524</v>
      </c>
      <c r="T4" s="31">
        <f>SUMIFS(Data!D:D,Data!A:A,B4)</f>
        <v>652.92000000000007</v>
      </c>
    </row>
    <row r="5" spans="1:21" ht="13" x14ac:dyDescent="0.3">
      <c r="A5" s="79">
        <v>4</v>
      </c>
      <c r="B5" s="30" t="s">
        <v>346</v>
      </c>
      <c r="C5" s="31">
        <f>IF(SUMIFS(Data!$U:$U,Data!$A:$A,$B5,Data!$C:$C,C$1)=0,"",SUMIFS(Data!$U:$U,Data!$A:$A,$B5,Data!$C:$C,C$1))</f>
        <v>4.0068333333333328</v>
      </c>
      <c r="D5" s="31">
        <f>IF(SUMIFS(Data!$U:$U,Data!$A:$A,$B5,Data!$C:$C,D$1)=0,"",SUMIFS(Data!$U:$U,Data!$A:$A,$B5,Data!$C:$C,D$1))</f>
        <v>5.9868333333333332</v>
      </c>
      <c r="E5" s="31">
        <f>IF(SUMIFS(Data!$U:$U,Data!$A:$A,$B5,Data!$C:$C,E$1)=0,"",SUMIFS(Data!$U:$U,Data!$A:$A,$B5,Data!$C:$C,E$1))</f>
        <v>4.4443333333333328</v>
      </c>
      <c r="F5" s="31">
        <f>IF(SUMIFS(Data!$U:$U,Data!$A:$A,$B5,Data!$C:$C,F$1)=0,"",SUMIFS(Data!$U:$U,Data!$A:$A,$B5,Data!$C:$C,F$1))</f>
        <v>4.2661666666666669</v>
      </c>
      <c r="G5" s="31">
        <f>IF(SUMIFS(Data!$U:$U,Data!$A:$A,$B5,Data!$C:$C,G$1)=0,"",SUMIFS(Data!$U:$U,Data!$A:$A,$B5,Data!$C:$C,G$1))</f>
        <v>7.200333333333333</v>
      </c>
      <c r="H5" s="31">
        <f>IF(SUMIFS(Data!$U:$U,Data!$A:$A,$B5,Data!$C:$C,H$1)=0,"",SUMIFS(Data!$U:$U,Data!$A:$A,$B5,Data!$C:$C,H$1))</f>
        <v>2.9422619047619047</v>
      </c>
      <c r="I5" s="31">
        <f>IF(SUMIFS(Data!$U:$U,Data!$A:$A,$B5,Data!$C:$C,I$1)=0,"",SUMIFS(Data!$U:$U,Data!$A:$A,$B5,Data!$C:$C,I$1))</f>
        <v>2.3132380952380953</v>
      </c>
      <c r="J5" s="31">
        <f>IF(SUMIFS(Data!$U:$U,Data!$A:$A,$B5,Data!$C:$C,J$1)=0,"",SUMIFS(Data!$U:$U,Data!$A:$A,$B5,Data!$C:$C,J$1))</f>
        <v>5.6556666666666668</v>
      </c>
      <c r="K5" s="31">
        <f>IF(SUMIFS(Data!$U:$U,Data!$A:$A,$B5,Data!$C:$C,K$1)=0,"",SUMIFS(Data!$U:$U,Data!$A:$A,$B5,Data!$C:$C,K$1))</f>
        <v>3.5089047619047622</v>
      </c>
      <c r="L5" s="31">
        <f>IF(SUMIFS(Data!$U:$U,Data!$A:$A,$B5,Data!$C:$C,L$1)=0,"",SUMIFS(Data!$U:$U,Data!$A:$A,$B5,Data!$C:$C,L$1))</f>
        <v>3.375</v>
      </c>
      <c r="M5" s="31">
        <f>IF(SUMIFS(Data!$U:$U,Data!$A:$A,$B5,Data!$C:$C,M$1)=0,"",SUMIFS(Data!$U:$U,Data!$A:$A,$B5,Data!$C:$C,M$1))</f>
        <v>6.0305</v>
      </c>
      <c r="N5" s="31">
        <f>IF(SUMIFS(Data!$U:$U,Data!$A:$A,$B5,Data!$C:$C,N$1)=0,"",SUMIFS(Data!$U:$U,Data!$A:$A,$B5,Data!$C:$C,N$1))</f>
        <v>3.5791666666666671</v>
      </c>
      <c r="O5" s="31">
        <f>IF(SUMIFS(Data!$U:$U,Data!$A:$A,$B5,Data!$C:$C,O$1)=0,"",SUMIFS(Data!$U:$U,Data!$A:$A,$B5,Data!$C:$C,O$1))</f>
        <v>2.6628333333333334</v>
      </c>
      <c r="P5" s="31" t="str">
        <f>IF(SUMIFS(Data!$U:$U,Data!$A:$A,$B5,Data!$C:$C,P$1)=0,"",SUMIFS(Data!$U:$U,Data!$A:$A,$B5,Data!$C:$C,P$1))</f>
        <v/>
      </c>
      <c r="Q5" s="31">
        <f>IF(SUMIFS(Data!$U:$U,Data!$A:$A,$B5,Data!$C:$C,Q$1)=0,"",SUMIFS(Data!$U:$U,Data!$A:$A,$B5,Data!$C:$C,Q$1))</f>
        <v>6.9206666666666674</v>
      </c>
      <c r="R5" s="31">
        <f>VLOOKUP(B5,'#ligaSYR'!$B:$R,17,0)</f>
        <v>4</v>
      </c>
      <c r="S5" s="31">
        <f>SUM(C5:R5)</f>
        <v>66.892738095238087</v>
      </c>
      <c r="T5" s="31">
        <f>SUMIFS(Data!D:D,Data!A:A,B5)</f>
        <v>711.7600000000001</v>
      </c>
    </row>
    <row r="6" spans="1:21" ht="13" x14ac:dyDescent="0.3">
      <c r="A6" s="79">
        <v>5</v>
      </c>
      <c r="B6" s="30" t="s">
        <v>366</v>
      </c>
      <c r="C6" s="31">
        <f>IF(SUMIFS(Data!$U:$U,Data!$A:$A,$B6,Data!$C:$C,C$1)=0,"",SUMIFS(Data!$U:$U,Data!$A:$A,$B6,Data!$C:$C,C$1))</f>
        <v>3.5255952380952378</v>
      </c>
      <c r="D6" s="31">
        <f>IF(SUMIFS(Data!$U:$U,Data!$A:$A,$B6,Data!$C:$C,D$1)=0,"",SUMIFS(Data!$U:$U,Data!$A:$A,$B6,Data!$C:$C,D$1))</f>
        <v>4.1676666666666664</v>
      </c>
      <c r="E6" s="31">
        <f>IF(SUMIFS(Data!$U:$U,Data!$A:$A,$B6,Data!$C:$C,E$1)=0,"",SUMIFS(Data!$U:$U,Data!$A:$A,$B6,Data!$C:$C,E$1))</f>
        <v>3.644047619047619</v>
      </c>
      <c r="F6" s="31">
        <f>IF(SUMIFS(Data!$U:$U,Data!$A:$A,$B6,Data!$C:$C,F$1)=0,"",SUMIFS(Data!$U:$U,Data!$A:$A,$B6,Data!$C:$C,F$1))</f>
        <v>4.3776666666666673</v>
      </c>
      <c r="G6" s="31">
        <f>IF(SUMIFS(Data!$U:$U,Data!$A:$A,$B6,Data!$C:$C,G$1)=0,"",SUMIFS(Data!$U:$U,Data!$A:$A,$B6,Data!$C:$C,G$1))</f>
        <v>3.375</v>
      </c>
      <c r="H6" s="31">
        <f>IF(SUMIFS(Data!$U:$U,Data!$A:$A,$B6,Data!$C:$C,H$1)=0,"",SUMIFS(Data!$U:$U,Data!$A:$A,$B6,Data!$C:$C,H$1))</f>
        <v>3.6890000000000001</v>
      </c>
      <c r="I6" s="31">
        <f>IF(SUMIFS(Data!$U:$U,Data!$A:$A,$B6,Data!$C:$C,I$1)=0,"",SUMIFS(Data!$U:$U,Data!$A:$A,$B6,Data!$C:$C,I$1))</f>
        <v>4.3321428571428573</v>
      </c>
      <c r="J6" s="31">
        <f>IF(SUMIFS(Data!$U:$U,Data!$A:$A,$B6,Data!$C:$C,J$1)=0,"",SUMIFS(Data!$U:$U,Data!$A:$A,$B6,Data!$C:$C,J$1))</f>
        <v>3.9410714285714286</v>
      </c>
      <c r="K6" s="31">
        <f>IF(SUMIFS(Data!$U:$U,Data!$A:$A,$B6,Data!$C:$C,K$1)=0,"",SUMIFS(Data!$U:$U,Data!$A:$A,$B6,Data!$C:$C,K$1))</f>
        <v>4.3053333333333335</v>
      </c>
      <c r="L6" s="31">
        <f>IF(SUMIFS(Data!$U:$U,Data!$A:$A,$B6,Data!$C:$C,L$1)=0,"",SUMIFS(Data!$U:$U,Data!$A:$A,$B6,Data!$C:$C,L$1))</f>
        <v>4.4870000000000001</v>
      </c>
      <c r="M6" s="31">
        <f>IF(SUMIFS(Data!$U:$U,Data!$A:$A,$B6,Data!$C:$C,M$1)=0,"",SUMIFS(Data!$U:$U,Data!$A:$A,$B6,Data!$C:$C,M$1))</f>
        <v>3.9089999999999998</v>
      </c>
      <c r="N6" s="31">
        <f>IF(SUMIFS(Data!$U:$U,Data!$A:$A,$B6,Data!$C:$C,N$1)=0,"",SUMIFS(Data!$U:$U,Data!$A:$A,$B6,Data!$C:$C,N$1))</f>
        <v>5.2408333333333337</v>
      </c>
      <c r="O6" s="31">
        <f>IF(SUMIFS(Data!$U:$U,Data!$A:$A,$B6,Data!$C:$C,O$1)=0,"",SUMIFS(Data!$U:$U,Data!$A:$A,$B6,Data!$C:$C,O$1))</f>
        <v>3.8467619047619048</v>
      </c>
      <c r="P6" s="31">
        <f>IF(SUMIFS(Data!$U:$U,Data!$A:$A,$B6,Data!$C:$C,P$1)=0,"",SUMIFS(Data!$U:$U,Data!$A:$A,$B6,Data!$C:$C,P$1))</f>
        <v>4.5803571428571423</v>
      </c>
      <c r="Q6" s="31">
        <f>IF(SUMIFS(Data!$U:$U,Data!$A:$A,$B6,Data!$C:$C,Q$1)=0,"",SUMIFS(Data!$U:$U,Data!$A:$A,$B6,Data!$C:$C,Q$1))</f>
        <v>3.9976190476190472</v>
      </c>
      <c r="R6" s="31">
        <f>VLOOKUP(B6,'#ligaSYR'!$B:$R,17,0)</f>
        <v>5</v>
      </c>
      <c r="S6" s="31">
        <f>SUM(C6:R6)</f>
        <v>66.419095238095252</v>
      </c>
      <c r="T6" s="31">
        <f>SUMIFS(Data!D:D,Data!A:A,B6)</f>
        <v>301.58</v>
      </c>
    </row>
    <row r="7" spans="1:21" ht="13" x14ac:dyDescent="0.3">
      <c r="A7" s="79">
        <v>6</v>
      </c>
      <c r="B7" s="30" t="s">
        <v>353</v>
      </c>
      <c r="C7" s="31">
        <f>IF(SUMIFS(Data!$U:$U,Data!$A:$A,$B7,Data!$C:$C,C$1)=0,"",SUMIFS(Data!$U:$U,Data!$A:$A,$B7,Data!$C:$C,C$1))</f>
        <v>3.8250000000000002</v>
      </c>
      <c r="D7" s="31">
        <f>IF(SUMIFS(Data!$U:$U,Data!$A:$A,$B7,Data!$C:$C,D$1)=0,"",SUMIFS(Data!$U:$U,Data!$A:$A,$B7,Data!$C:$C,D$1))</f>
        <v>2.2571428571428571</v>
      </c>
      <c r="E7" s="31">
        <f>IF(SUMIFS(Data!$U:$U,Data!$A:$A,$B7,Data!$C:$C,E$1)=0,"",SUMIFS(Data!$U:$U,Data!$A:$A,$B7,Data!$C:$C,E$1))</f>
        <v>2.4125000000000001</v>
      </c>
      <c r="F7" s="31">
        <f>IF(SUMIFS(Data!$U:$U,Data!$A:$A,$B7,Data!$C:$C,F$1)=0,"",SUMIFS(Data!$U:$U,Data!$A:$A,$B7,Data!$C:$C,F$1))</f>
        <v>3.5750000000000002</v>
      </c>
      <c r="G7" s="31">
        <f>IF(SUMIFS(Data!$U:$U,Data!$A:$A,$B7,Data!$C:$C,G$1)=0,"",SUMIFS(Data!$U:$U,Data!$A:$A,$B7,Data!$C:$C,G$1))</f>
        <v>3.8624999999999998</v>
      </c>
      <c r="H7" s="31">
        <f>IF(SUMIFS(Data!$U:$U,Data!$A:$A,$B7,Data!$C:$C,H$1)=0,"",SUMIFS(Data!$U:$U,Data!$A:$A,$B7,Data!$C:$C,H$1))</f>
        <v>3.9249999999999998</v>
      </c>
      <c r="I7" s="31">
        <f>IF(SUMIFS(Data!$U:$U,Data!$A:$A,$B7,Data!$C:$C,I$1)=0,"",SUMIFS(Data!$U:$U,Data!$A:$A,$B7,Data!$C:$C,I$1))</f>
        <v>4.5831666666666671</v>
      </c>
      <c r="J7" s="31">
        <f>IF(SUMIFS(Data!$U:$U,Data!$A:$A,$B7,Data!$C:$C,J$1)=0,"",SUMIFS(Data!$U:$U,Data!$A:$A,$B7,Data!$C:$C,J$1))</f>
        <v>2.9249999999999998</v>
      </c>
      <c r="K7" s="31">
        <f>IF(SUMIFS(Data!$U:$U,Data!$A:$A,$B7,Data!$C:$C,K$1)=0,"",SUMIFS(Data!$U:$U,Data!$A:$A,$B7,Data!$C:$C,K$1))</f>
        <v>3.363666666666667</v>
      </c>
      <c r="L7" s="31">
        <f>IF(SUMIFS(Data!$U:$U,Data!$A:$A,$B7,Data!$C:$C,L$1)=0,"",SUMIFS(Data!$U:$U,Data!$A:$A,$B7,Data!$C:$C,L$1))</f>
        <v>3.0375000000000001</v>
      </c>
      <c r="M7" s="31">
        <f>IF(SUMIFS(Data!$U:$U,Data!$A:$A,$B7,Data!$C:$C,M$1)=0,"",SUMIFS(Data!$U:$U,Data!$A:$A,$B7,Data!$C:$C,M$1))</f>
        <v>3.9375</v>
      </c>
      <c r="N7" s="31">
        <f>IF(SUMIFS(Data!$U:$U,Data!$A:$A,$B7,Data!$C:$C,N$1)=0,"",SUMIFS(Data!$U:$U,Data!$A:$A,$B7,Data!$C:$C,N$1))</f>
        <v>4.0268333333333333</v>
      </c>
      <c r="O7" s="31">
        <f>IF(SUMIFS(Data!$U:$U,Data!$A:$A,$B7,Data!$C:$C,O$1)=0,"",SUMIFS(Data!$U:$U,Data!$A:$A,$B7,Data!$C:$C,O$1))</f>
        <v>3.5750000000000002</v>
      </c>
      <c r="P7" s="31">
        <f>IF(SUMIFS(Data!$U:$U,Data!$A:$A,$B7,Data!$C:$C,P$1)=0,"",SUMIFS(Data!$U:$U,Data!$A:$A,$B7,Data!$C:$C,P$1))</f>
        <v>2.875</v>
      </c>
      <c r="Q7" s="31">
        <f>IF(SUMIFS(Data!$U:$U,Data!$A:$A,$B7,Data!$C:$C,Q$1)=0,"",SUMIFS(Data!$U:$U,Data!$A:$A,$B7,Data!$C:$C,Q$1))</f>
        <v>4.1511666666666667</v>
      </c>
      <c r="R7" s="31">
        <f>VLOOKUP(B7,'#ligaSYR'!$B:$R,17,0)</f>
        <v>5</v>
      </c>
      <c r="S7" s="31">
        <f>SUM(C7:R7)</f>
        <v>57.331976190476198</v>
      </c>
      <c r="T7" s="31">
        <f>SUMIFS(Data!D:D,Data!A:A,B7)</f>
        <v>399.73999999999995</v>
      </c>
    </row>
    <row r="8" spans="1:21" ht="13" x14ac:dyDescent="0.3">
      <c r="A8" s="79">
        <v>7</v>
      </c>
      <c r="B8" s="30" t="s">
        <v>332</v>
      </c>
      <c r="C8" s="31">
        <f>IF(SUMIFS(Data!$U:$U,Data!$A:$A,$B8,Data!$C:$C,C$1)=0,"",SUMIFS(Data!$U:$U,Data!$A:$A,$B8,Data!$C:$C,C$1))</f>
        <v>2.7166666666666663</v>
      </c>
      <c r="D8" s="31">
        <f>IF(SUMIFS(Data!$U:$U,Data!$A:$A,$B8,Data!$C:$C,D$1)=0,"",SUMIFS(Data!$U:$U,Data!$A:$A,$B8,Data!$C:$C,D$1))</f>
        <v>3.788095238095238</v>
      </c>
      <c r="E8" s="31">
        <f>IF(SUMIFS(Data!$U:$U,Data!$A:$A,$B8,Data!$C:$C,E$1)=0,"",SUMIFS(Data!$U:$U,Data!$A:$A,$B8,Data!$C:$C,E$1))</f>
        <v>2.9958333333333331</v>
      </c>
      <c r="F8" s="31">
        <f>IF(SUMIFS(Data!$U:$U,Data!$A:$A,$B8,Data!$C:$C,F$1)=0,"",SUMIFS(Data!$U:$U,Data!$A:$A,$B8,Data!$C:$C,F$1))</f>
        <v>4.2598333333333338</v>
      </c>
      <c r="G8" s="31">
        <f>IF(SUMIFS(Data!$U:$U,Data!$A:$A,$B8,Data!$C:$C,G$1)=0,"",SUMIFS(Data!$U:$U,Data!$A:$A,$B8,Data!$C:$C,G$1))</f>
        <v>3.851</v>
      </c>
      <c r="H8" s="31">
        <f>IF(SUMIFS(Data!$U:$U,Data!$A:$A,$B8,Data!$C:$C,H$1)=0,"",SUMIFS(Data!$U:$U,Data!$A:$A,$B8,Data!$C:$C,H$1))</f>
        <v>3.7970238095238096</v>
      </c>
      <c r="I8" s="31">
        <f>IF(SUMIFS(Data!$U:$U,Data!$A:$A,$B8,Data!$C:$C,I$1)=0,"",SUMIFS(Data!$U:$U,Data!$A:$A,$B8,Data!$C:$C,I$1))</f>
        <v>3.612452380952381</v>
      </c>
      <c r="J8" s="31">
        <f>IF(SUMIFS(Data!$U:$U,Data!$A:$A,$B8,Data!$C:$C,J$1)=0,"",SUMIFS(Data!$U:$U,Data!$A:$A,$B8,Data!$C:$C,J$1))</f>
        <v>3.2688333333333333</v>
      </c>
      <c r="K8" s="31">
        <f>IF(SUMIFS(Data!$U:$U,Data!$A:$A,$B8,Data!$C:$C,K$1)=0,"",SUMIFS(Data!$U:$U,Data!$A:$A,$B8,Data!$C:$C,K$1))</f>
        <v>3.0175476190476189</v>
      </c>
      <c r="L8" s="31">
        <f>IF(SUMIFS(Data!$U:$U,Data!$A:$A,$B8,Data!$C:$C,L$1)=0,"",SUMIFS(Data!$U:$U,Data!$A:$A,$B8,Data!$C:$C,L$1))</f>
        <v>3.2458333333333331</v>
      </c>
      <c r="M8" s="31">
        <f>IF(SUMIFS(Data!$U:$U,Data!$A:$A,$B8,Data!$C:$C,M$1)=0,"",SUMIFS(Data!$U:$U,Data!$A:$A,$B8,Data!$C:$C,M$1))</f>
        <v>3.0642857142857141</v>
      </c>
      <c r="N8" s="31">
        <f>IF(SUMIFS(Data!$U:$U,Data!$A:$A,$B8,Data!$C:$C,N$1)=0,"",SUMIFS(Data!$U:$U,Data!$A:$A,$B8,Data!$C:$C,N$1))</f>
        <v>3.6707857142857141</v>
      </c>
      <c r="O8" s="31">
        <f>IF(SUMIFS(Data!$U:$U,Data!$A:$A,$B8,Data!$C:$C,O$1)=0,"",SUMIFS(Data!$U:$U,Data!$A:$A,$B8,Data!$C:$C,O$1))</f>
        <v>4.5333333333333332</v>
      </c>
      <c r="P8" s="31">
        <f>IF(SUMIFS(Data!$U:$U,Data!$A:$A,$B8,Data!$C:$C,P$1)=0,"",SUMIFS(Data!$U:$U,Data!$A:$A,$B8,Data!$C:$C,P$1))</f>
        <v>2.9958333333333331</v>
      </c>
      <c r="Q8" s="31">
        <f>IF(SUMIFS(Data!$U:$U,Data!$A:$A,$B8,Data!$C:$C,Q$1)=0,"",SUMIFS(Data!$U:$U,Data!$A:$A,$B8,Data!$C:$C,Q$1))</f>
        <v>3.2458333333333331</v>
      </c>
      <c r="R8" s="31">
        <f>VLOOKUP(B8,'#ligaSYR'!$B:$R,17,0)</f>
        <v>5</v>
      </c>
      <c r="S8" s="31">
        <f>SUM(C8:R8)</f>
        <v>57.063190476190471</v>
      </c>
      <c r="T8" s="31">
        <f>SUMIFS(Data!D:D,Data!A:A,B8)</f>
        <v>256.05</v>
      </c>
    </row>
    <row r="9" spans="1:21" ht="13" x14ac:dyDescent="0.3">
      <c r="A9" s="79">
        <v>8</v>
      </c>
      <c r="B9" s="30" t="s">
        <v>128</v>
      </c>
      <c r="C9" s="31">
        <f>IF(SUMIFS(Data!$U:$U,Data!$A:$A,$B9,Data!$C:$C,C$1)=0,"",SUMIFS(Data!$U:$U,Data!$A:$A,$B9,Data!$C:$C,C$1))</f>
        <v>3.5</v>
      </c>
      <c r="D9" s="31">
        <f>IF(SUMIFS(Data!$U:$U,Data!$A:$A,$B9,Data!$C:$C,D$1)=0,"",SUMIFS(Data!$U:$U,Data!$A:$A,$B9,Data!$C:$C,D$1))</f>
        <v>4.2346666666666666</v>
      </c>
      <c r="E9" s="31">
        <f>IF(SUMIFS(Data!$U:$U,Data!$A:$A,$B9,Data!$C:$C,E$1)=0,"",SUMIFS(Data!$U:$U,Data!$A:$A,$B9,Data!$C:$C,E$1))</f>
        <v>3.6196666666666668</v>
      </c>
      <c r="F9" s="31">
        <f>IF(SUMIFS(Data!$U:$U,Data!$A:$A,$B9,Data!$C:$C,F$1)=0,"",SUMIFS(Data!$U:$U,Data!$A:$A,$B9,Data!$C:$C,F$1))</f>
        <v>3.65</v>
      </c>
      <c r="G9" s="31">
        <f>IF(SUMIFS(Data!$U:$U,Data!$A:$A,$B9,Data!$C:$C,G$1)=0,"",SUMIFS(Data!$U:$U,Data!$A:$A,$B9,Data!$C:$C,G$1))</f>
        <v>3.617666666666667</v>
      </c>
      <c r="H9" s="31">
        <f>IF(SUMIFS(Data!$U:$U,Data!$A:$A,$B9,Data!$C:$C,H$1)=0,"",SUMIFS(Data!$U:$U,Data!$A:$A,$B9,Data!$C:$C,H$1))</f>
        <v>3.8250000000000002</v>
      </c>
      <c r="I9" s="31">
        <f>IF(SUMIFS(Data!$U:$U,Data!$A:$A,$B9,Data!$C:$C,I$1)=0,"",SUMIFS(Data!$U:$U,Data!$A:$A,$B9,Data!$C:$C,I$1))</f>
        <v>3.9403333333333332</v>
      </c>
      <c r="J9" s="31">
        <f>IF(SUMIFS(Data!$U:$U,Data!$A:$A,$B9,Data!$C:$C,J$1)=0,"",SUMIFS(Data!$U:$U,Data!$A:$A,$B9,Data!$C:$C,J$1))</f>
        <v>3.0482142857142858</v>
      </c>
      <c r="K9" s="31">
        <f>IF(SUMIFS(Data!$U:$U,Data!$A:$A,$B9,Data!$C:$C,K$1)=0,"",SUMIFS(Data!$U:$U,Data!$A:$A,$B9,Data!$C:$C,K$1))</f>
        <v>3.3012857142857142</v>
      </c>
      <c r="L9" s="31">
        <f>IF(SUMIFS(Data!$U:$U,Data!$A:$A,$B9,Data!$C:$C,L$1)=0,"",SUMIFS(Data!$U:$U,Data!$A:$A,$B9,Data!$C:$C,L$1))</f>
        <v>3.5979999999999999</v>
      </c>
      <c r="M9" s="31">
        <f>IF(SUMIFS(Data!$U:$U,Data!$A:$A,$B9,Data!$C:$C,M$1)=0,"",SUMIFS(Data!$U:$U,Data!$A:$A,$B9,Data!$C:$C,M$1))</f>
        <v>3.6680000000000001</v>
      </c>
      <c r="N9" s="31">
        <f>IF(SUMIFS(Data!$U:$U,Data!$A:$A,$B9,Data!$C:$C,N$1)=0,"",SUMIFS(Data!$U:$U,Data!$A:$A,$B9,Data!$C:$C,N$1))</f>
        <v>3.125</v>
      </c>
      <c r="O9" s="31">
        <f>IF(SUMIFS(Data!$U:$U,Data!$A:$A,$B9,Data!$C:$C,O$1)=0,"",SUMIFS(Data!$U:$U,Data!$A:$A,$B9,Data!$C:$C,O$1))</f>
        <v>1.6547619047619047</v>
      </c>
      <c r="P9" s="31">
        <f>IF(SUMIFS(Data!$U:$U,Data!$A:$A,$B9,Data!$C:$C,P$1)=0,"",SUMIFS(Data!$U:$U,Data!$A:$A,$B9,Data!$C:$C,P$1))</f>
        <v>4</v>
      </c>
      <c r="Q9" s="31">
        <f>IF(SUMIFS(Data!$U:$U,Data!$A:$A,$B9,Data!$C:$C,Q$1)=0,"",SUMIFS(Data!$U:$U,Data!$A:$A,$B9,Data!$C:$C,Q$1))</f>
        <v>1.7797619047619047</v>
      </c>
      <c r="R9" s="31">
        <f>VLOOKUP(B9,'#ligaSYR'!$B:$R,17,0)</f>
        <v>5</v>
      </c>
      <c r="S9" s="31">
        <f>SUM(C9:R9)</f>
        <v>55.562357142857138</v>
      </c>
      <c r="T9" s="31">
        <f>SUMIFS(Data!D:D,Data!A:A,B9)</f>
        <v>354.81</v>
      </c>
    </row>
    <row r="10" spans="1:21" ht="13" x14ac:dyDescent="0.3">
      <c r="A10" s="79">
        <v>9</v>
      </c>
      <c r="B10" s="30" t="s">
        <v>339</v>
      </c>
      <c r="C10" s="31">
        <f>IF(SUMIFS(Data!$U:$U,Data!$A:$A,$B10,Data!$C:$C,C$1)=0,"",SUMIFS(Data!$U:$U,Data!$A:$A,$B10,Data!$C:$C,C$1))</f>
        <v>2.7986904761904765</v>
      </c>
      <c r="D10" s="31">
        <f>IF(SUMIFS(Data!$U:$U,Data!$A:$A,$B10,Data!$C:$C,D$1)=0,"",SUMIFS(Data!$U:$U,Data!$A:$A,$B10,Data!$C:$C,D$1))</f>
        <v>3.8693333333333335</v>
      </c>
      <c r="E10" s="31">
        <f>IF(SUMIFS(Data!$U:$U,Data!$A:$A,$B10,Data!$C:$C,E$1)=0,"",SUMIFS(Data!$U:$U,Data!$A:$A,$B10,Data!$C:$C,E$1))</f>
        <v>2.026904761904762</v>
      </c>
      <c r="F10" s="31">
        <f>IF(SUMIFS(Data!$U:$U,Data!$A:$A,$B10,Data!$C:$C,F$1)=0,"",SUMIFS(Data!$U:$U,Data!$A:$A,$B10,Data!$C:$C,F$1))</f>
        <v>3.5783095238095237</v>
      </c>
      <c r="G10" s="31">
        <f>IF(SUMIFS(Data!$U:$U,Data!$A:$A,$B10,Data!$C:$C,G$1)=0,"",SUMIFS(Data!$U:$U,Data!$A:$A,$B10,Data!$C:$C,G$1))</f>
        <v>2.5220238095238097</v>
      </c>
      <c r="H10" s="31">
        <f>IF(SUMIFS(Data!$U:$U,Data!$A:$A,$B10,Data!$C:$C,H$1)=0,"",SUMIFS(Data!$U:$U,Data!$A:$A,$B10,Data!$C:$C,H$1))</f>
        <v>3.2095238095238097</v>
      </c>
      <c r="I10" s="31">
        <f>IF(SUMIFS(Data!$U:$U,Data!$A:$A,$B10,Data!$C:$C,I$1)=0,"",SUMIFS(Data!$U:$U,Data!$A:$A,$B10,Data!$C:$C,I$1))</f>
        <v>4.6040000000000001</v>
      </c>
      <c r="J10" s="31">
        <f>IF(SUMIFS(Data!$U:$U,Data!$A:$A,$B10,Data!$C:$C,J$1)=0,"",SUMIFS(Data!$U:$U,Data!$A:$A,$B10,Data!$C:$C,J$1))</f>
        <v>3.5099047619047616</v>
      </c>
      <c r="K10" s="31">
        <f>IF(SUMIFS(Data!$U:$U,Data!$A:$A,$B10,Data!$C:$C,K$1)=0,"",SUMIFS(Data!$U:$U,Data!$A:$A,$B10,Data!$C:$C,K$1))</f>
        <v>2.7833333333333332</v>
      </c>
      <c r="L10" s="31">
        <f>IF(SUMIFS(Data!$U:$U,Data!$A:$A,$B10,Data!$C:$C,L$1)=0,"",SUMIFS(Data!$U:$U,Data!$A:$A,$B10,Data!$C:$C,L$1))</f>
        <v>3.0737857142857141</v>
      </c>
      <c r="M10" s="31">
        <f>IF(SUMIFS(Data!$U:$U,Data!$A:$A,$B10,Data!$C:$C,M$1)=0,"",SUMIFS(Data!$U:$U,Data!$A:$A,$B10,Data!$C:$C,M$1))</f>
        <v>4</v>
      </c>
      <c r="N10" s="31">
        <f>IF(SUMIFS(Data!$U:$U,Data!$A:$A,$B10,Data!$C:$C,N$1)=0,"",SUMIFS(Data!$U:$U,Data!$A:$A,$B10,Data!$C:$C,N$1))</f>
        <v>3.363</v>
      </c>
      <c r="O10" s="31">
        <f>IF(SUMIFS(Data!$U:$U,Data!$A:$A,$B10,Data!$C:$C,O$1)=0,"",SUMIFS(Data!$U:$U,Data!$A:$A,$B10,Data!$C:$C,O$1))</f>
        <v>5.1583333333333332</v>
      </c>
      <c r="P10" s="31">
        <f>IF(SUMIFS(Data!$U:$U,Data!$A:$A,$B10,Data!$C:$C,P$1)=0,"",SUMIFS(Data!$U:$U,Data!$A:$A,$B10,Data!$C:$C,P$1))</f>
        <v>3.2196666666666665</v>
      </c>
      <c r="Q10" s="31">
        <f>IF(SUMIFS(Data!$U:$U,Data!$A:$A,$B10,Data!$C:$C,Q$1)=0,"",SUMIFS(Data!$U:$U,Data!$A:$A,$B10,Data!$C:$C,Q$1))</f>
        <v>2.3029761904761905</v>
      </c>
      <c r="R10" s="31">
        <f>VLOOKUP(B10,'#ligaSYR'!$B:$R,17,0)</f>
        <v>5</v>
      </c>
      <c r="S10" s="31">
        <f>SUM(C10:R10)</f>
        <v>55.019785714285703</v>
      </c>
      <c r="T10" s="31">
        <f>SUMIFS(Data!D:D,Data!A:A,B10)</f>
        <v>286.58999999999992</v>
      </c>
    </row>
    <row r="11" spans="1:21" ht="13" x14ac:dyDescent="0.3">
      <c r="A11" s="79">
        <v>10</v>
      </c>
      <c r="B11" s="30" t="s">
        <v>344</v>
      </c>
      <c r="C11" s="31">
        <f>IF(SUMIFS(Data!$U:$U,Data!$A:$A,$B11,Data!$C:$C,C$1)=0,"",SUMIFS(Data!$U:$U,Data!$A:$A,$B11,Data!$C:$C,C$1))</f>
        <v>1.87625</v>
      </c>
      <c r="D11" s="31">
        <f>IF(SUMIFS(Data!$U:$U,Data!$A:$A,$B11,Data!$C:$C,D$1)=0,"",SUMIFS(Data!$U:$U,Data!$A:$A,$B11,Data!$C:$C,D$1))</f>
        <v>1.67</v>
      </c>
      <c r="E11" s="31">
        <f>IF(SUMIFS(Data!$U:$U,Data!$A:$A,$B11,Data!$C:$C,E$1)=0,"",SUMIFS(Data!$U:$U,Data!$A:$A,$B11,Data!$C:$C,E$1))</f>
        <v>3.625</v>
      </c>
      <c r="F11" s="31">
        <f>IF(SUMIFS(Data!$U:$U,Data!$A:$A,$B11,Data!$C:$C,F$1)=0,"",SUMIFS(Data!$U:$U,Data!$A:$A,$B11,Data!$C:$C,F$1))</f>
        <v>3.9375</v>
      </c>
      <c r="G11" s="31">
        <f>IF(SUMIFS(Data!$U:$U,Data!$A:$A,$B11,Data!$C:$C,G$1)=0,"",SUMIFS(Data!$U:$U,Data!$A:$A,$B11,Data!$C:$C,G$1))</f>
        <v>2.7106249999999998</v>
      </c>
      <c r="H11" s="31">
        <f>IF(SUMIFS(Data!$U:$U,Data!$A:$A,$B11,Data!$C:$C,H$1)=0,"",SUMIFS(Data!$U:$U,Data!$A:$A,$B11,Data!$C:$C,H$1))</f>
        <v>3.6358333333333333</v>
      </c>
      <c r="I11" s="31">
        <f>IF(SUMIFS(Data!$U:$U,Data!$A:$A,$B11,Data!$C:$C,I$1)=0,"",SUMIFS(Data!$U:$U,Data!$A:$A,$B11,Data!$C:$C,I$1))</f>
        <v>3.9741666666666666</v>
      </c>
      <c r="J11" s="31">
        <f>IF(SUMIFS(Data!$U:$U,Data!$A:$A,$B11,Data!$C:$C,J$1)=0,"",SUMIFS(Data!$U:$U,Data!$A:$A,$B11,Data!$C:$C,J$1))</f>
        <v>3.6883333333333335</v>
      </c>
      <c r="K11" s="31">
        <f>IF(SUMIFS(Data!$U:$U,Data!$A:$A,$B11,Data!$C:$C,K$1)=0,"",SUMIFS(Data!$U:$U,Data!$A:$A,$B11,Data!$C:$C,K$1))</f>
        <v>3.9116666666666666</v>
      </c>
      <c r="L11" s="31">
        <f>IF(SUMIFS(Data!$U:$U,Data!$A:$A,$B11,Data!$C:$C,L$1)=0,"",SUMIFS(Data!$U:$U,Data!$A:$A,$B11,Data!$C:$C,L$1))</f>
        <v>3.4474999999999998</v>
      </c>
      <c r="M11" s="31">
        <f>IF(SUMIFS(Data!$U:$U,Data!$A:$A,$B11,Data!$C:$C,M$1)=0,"",SUMIFS(Data!$U:$U,Data!$A:$A,$B11,Data!$C:$C,M$1))</f>
        <v>3.6875</v>
      </c>
      <c r="N11" s="31">
        <f>IF(SUMIFS(Data!$U:$U,Data!$A:$A,$B11,Data!$C:$C,N$1)=0,"",SUMIFS(Data!$U:$U,Data!$A:$A,$B11,Data!$C:$C,N$1))</f>
        <v>3.6875</v>
      </c>
      <c r="O11" s="31">
        <f>IF(SUMIFS(Data!$U:$U,Data!$A:$A,$B11,Data!$C:$C,O$1)=0,"",SUMIFS(Data!$U:$U,Data!$A:$A,$B11,Data!$C:$C,O$1))</f>
        <v>4.0266666666666664</v>
      </c>
      <c r="P11" s="31">
        <f>IF(SUMIFS(Data!$U:$U,Data!$A:$A,$B11,Data!$C:$C,P$1)=0,"",SUMIFS(Data!$U:$U,Data!$A:$A,$B11,Data!$C:$C,P$1))</f>
        <v>3.2846666666666668</v>
      </c>
      <c r="Q11" s="31">
        <f>IF(SUMIFS(Data!$U:$U,Data!$A:$A,$B11,Data!$C:$C,Q$1)=0,"",SUMIFS(Data!$U:$U,Data!$A:$A,$B11,Data!$C:$C,Q$1))</f>
        <v>2.714375</v>
      </c>
      <c r="R11" s="31">
        <f>VLOOKUP(B11,'#ligaSYR'!$B:$R,17,0)</f>
        <v>5</v>
      </c>
      <c r="S11" s="31">
        <f>SUM(C11:R11)</f>
        <v>54.877583333333327</v>
      </c>
      <c r="T11" s="31">
        <f>SUMIFS(Data!D:D,Data!A:A,B11)</f>
        <v>251.24</v>
      </c>
    </row>
    <row r="12" spans="1:21" ht="13" x14ac:dyDescent="0.3">
      <c r="A12" s="79">
        <v>11</v>
      </c>
      <c r="B12" s="30" t="s">
        <v>335</v>
      </c>
      <c r="C12" s="31">
        <f>IF(SUMIFS(Data!$U:$U,Data!$A:$A,$B12,Data!$C:$C,C$1)=0,"",SUMIFS(Data!$U:$U,Data!$A:$A,$B12,Data!$C:$C,C$1))</f>
        <v>2.6208333333333331</v>
      </c>
      <c r="D12" s="31">
        <f>IF(SUMIFS(Data!$U:$U,Data!$A:$A,$B12,Data!$C:$C,D$1)=0,"",SUMIFS(Data!$U:$U,Data!$A:$A,$B12,Data!$C:$C,D$1))</f>
        <v>2.3702380952380953</v>
      </c>
      <c r="E12" s="31">
        <f>IF(SUMIFS(Data!$U:$U,Data!$A:$A,$B12,Data!$C:$C,E$1)=0,"",SUMIFS(Data!$U:$U,Data!$A:$A,$B12,Data!$C:$C,E$1))</f>
        <v>2.3374999999999999</v>
      </c>
      <c r="F12" s="31">
        <f>IF(SUMIFS(Data!$U:$U,Data!$A:$A,$B12,Data!$C:$C,F$1)=0,"",SUMIFS(Data!$U:$U,Data!$A:$A,$B12,Data!$C:$C,F$1))</f>
        <v>4.0419999999999998</v>
      </c>
      <c r="G12" s="31">
        <f>IF(SUMIFS(Data!$U:$U,Data!$A:$A,$B12,Data!$C:$C,G$1)=0,"",SUMIFS(Data!$U:$U,Data!$A:$A,$B12,Data!$C:$C,G$1))</f>
        <v>2.5696904761904764</v>
      </c>
      <c r="H12" s="31">
        <f>IF(SUMIFS(Data!$U:$U,Data!$A:$A,$B12,Data!$C:$C,H$1)=0,"",SUMIFS(Data!$U:$U,Data!$A:$A,$B12,Data!$C:$C,H$1))</f>
        <v>3.1677142857142857</v>
      </c>
      <c r="I12" s="31">
        <f>IF(SUMIFS(Data!$U:$U,Data!$A:$A,$B12,Data!$C:$C,I$1)=0,"",SUMIFS(Data!$U:$U,Data!$A:$A,$B12,Data!$C:$C,I$1))</f>
        <v>4.3018333333333336</v>
      </c>
      <c r="J12" s="31">
        <f>IF(SUMIFS(Data!$U:$U,Data!$A:$A,$B12,Data!$C:$C,J$1)=0,"",SUMIFS(Data!$U:$U,Data!$A:$A,$B12,Data!$C:$C,J$1))</f>
        <v>3.65</v>
      </c>
      <c r="K12" s="31">
        <f>IF(SUMIFS(Data!$U:$U,Data!$A:$A,$B12,Data!$C:$C,K$1)=0,"",SUMIFS(Data!$U:$U,Data!$A:$A,$B12,Data!$C:$C,K$1))</f>
        <v>3.8003095238095237</v>
      </c>
      <c r="L12" s="31">
        <f>IF(SUMIFS(Data!$U:$U,Data!$A:$A,$B12,Data!$C:$C,L$1)=0,"",SUMIFS(Data!$U:$U,Data!$A:$A,$B12,Data!$C:$C,L$1))</f>
        <v>4.7125000000000004</v>
      </c>
      <c r="M12" s="31">
        <f>IF(SUMIFS(Data!$U:$U,Data!$A:$A,$B12,Data!$C:$C,M$1)=0,"",SUMIFS(Data!$U:$U,Data!$A:$A,$B12,Data!$C:$C,M$1))</f>
        <v>2.4476190476190474</v>
      </c>
      <c r="N12" s="31">
        <f>IF(SUMIFS(Data!$U:$U,Data!$A:$A,$B12,Data!$C:$C,N$1)=0,"",SUMIFS(Data!$U:$U,Data!$A:$A,$B12,Data!$C:$C,N$1))</f>
        <v>2.8291666666666666</v>
      </c>
      <c r="O12" s="31">
        <f>IF(SUMIFS(Data!$U:$U,Data!$A:$A,$B12,Data!$C:$C,O$1)=0,"",SUMIFS(Data!$U:$U,Data!$A:$A,$B12,Data!$C:$C,O$1))</f>
        <v>4.6160000000000005</v>
      </c>
      <c r="P12" s="31">
        <f>IF(SUMIFS(Data!$U:$U,Data!$A:$A,$B12,Data!$C:$C,P$1)=0,"",SUMIFS(Data!$U:$U,Data!$A:$A,$B12,Data!$C:$C,P$1))</f>
        <v>1.8821428571428571</v>
      </c>
      <c r="Q12" s="31">
        <f>IF(SUMIFS(Data!$U:$U,Data!$A:$A,$B12,Data!$C:$C,Q$1)=0,"",SUMIFS(Data!$U:$U,Data!$A:$A,$B12,Data!$C:$C,Q$1))</f>
        <v>3.1858571428571425</v>
      </c>
      <c r="R12" s="31">
        <f>VLOOKUP(B12,'#ligaSYR'!$B:$R,17,0)</f>
        <v>5</v>
      </c>
      <c r="S12" s="31">
        <f>SUM(C12:R12)</f>
        <v>53.533404761904769</v>
      </c>
      <c r="T12" s="31">
        <f>SUMIFS(Data!D:D,Data!A:A,B12)</f>
        <v>254.25</v>
      </c>
    </row>
    <row r="13" spans="1:21" ht="13" x14ac:dyDescent="0.3">
      <c r="A13" s="79">
        <v>12</v>
      </c>
      <c r="B13" s="30" t="s">
        <v>375</v>
      </c>
      <c r="C13" s="31">
        <f>IF(SUMIFS(Data!$U:$U,Data!$A:$A,$B13,Data!$C:$C,C$1)=0,"",SUMIFS(Data!$U:$U,Data!$A:$A,$B13,Data!$C:$C,C$1))</f>
        <v>2.8267619047619048</v>
      </c>
      <c r="D13" s="31">
        <f>IF(SUMIFS(Data!$U:$U,Data!$A:$A,$B13,Data!$C:$C,D$1)=0,"",SUMIFS(Data!$U:$U,Data!$A:$A,$B13,Data!$C:$C,D$1))</f>
        <v>3.7374999999999998</v>
      </c>
      <c r="E13" s="31">
        <f>IF(SUMIFS(Data!$U:$U,Data!$A:$A,$B13,Data!$C:$C,E$1)=0,"",SUMIFS(Data!$U:$U,Data!$A:$A,$B13,Data!$C:$C,E$1))</f>
        <v>3.3704999999999998</v>
      </c>
      <c r="F13" s="31">
        <f>IF(SUMIFS(Data!$U:$U,Data!$A:$A,$B13,Data!$C:$C,F$1)=0,"",SUMIFS(Data!$U:$U,Data!$A:$A,$B13,Data!$C:$C,F$1))</f>
        <v>2.8047619047619046</v>
      </c>
      <c r="G13" s="31">
        <f>IF(SUMIFS(Data!$U:$U,Data!$A:$A,$B13,Data!$C:$C,G$1)=0,"",SUMIFS(Data!$U:$U,Data!$A:$A,$B13,Data!$C:$C,G$1))</f>
        <v>2.6035714285714286</v>
      </c>
      <c r="H13" s="31">
        <f>IF(SUMIFS(Data!$U:$U,Data!$A:$A,$B13,Data!$C:$C,H$1)=0,"",SUMIFS(Data!$U:$U,Data!$A:$A,$B13,Data!$C:$C,H$1))</f>
        <v>3.6920238095238096</v>
      </c>
      <c r="I13" s="31">
        <f>IF(SUMIFS(Data!$U:$U,Data!$A:$A,$B13,Data!$C:$C,I$1)=0,"",SUMIFS(Data!$U:$U,Data!$A:$A,$B13,Data!$C:$C,I$1))</f>
        <v>3.3676190476190477</v>
      </c>
      <c r="J13" s="31">
        <f>IF(SUMIFS(Data!$U:$U,Data!$A:$A,$B13,Data!$C:$C,J$1)=0,"",SUMIFS(Data!$U:$U,Data!$A:$A,$B13,Data!$C:$C,J$1))</f>
        <v>3.6172142857142853</v>
      </c>
      <c r="K13" s="31">
        <f>IF(SUMIFS(Data!$U:$U,Data!$A:$A,$B13,Data!$C:$C,K$1)=0,"",SUMIFS(Data!$U:$U,Data!$A:$A,$B13,Data!$C:$C,K$1))</f>
        <v>3.0505714285714287</v>
      </c>
      <c r="L13" s="31">
        <f>IF(SUMIFS(Data!$U:$U,Data!$A:$A,$B13,Data!$C:$C,L$1)=0,"",SUMIFS(Data!$U:$U,Data!$A:$A,$B13,Data!$C:$C,L$1))</f>
        <v>2.676190476190476</v>
      </c>
      <c r="M13" s="31">
        <f>IF(SUMIFS(Data!$U:$U,Data!$A:$A,$B13,Data!$C:$C,M$1)=0,"",SUMIFS(Data!$U:$U,Data!$A:$A,$B13,Data!$C:$C,M$1))</f>
        <v>3.8458333333333337</v>
      </c>
      <c r="N13" s="31">
        <f>IF(SUMIFS(Data!$U:$U,Data!$A:$A,$B13,Data!$C:$C,N$1)=0,"",SUMIFS(Data!$U:$U,Data!$A:$A,$B13,Data!$C:$C,N$1))</f>
        <v>2.7136904761904761</v>
      </c>
      <c r="O13" s="31">
        <f>IF(SUMIFS(Data!$U:$U,Data!$A:$A,$B13,Data!$C:$C,O$1)=0,"",SUMIFS(Data!$U:$U,Data!$A:$A,$B13,Data!$C:$C,O$1))</f>
        <v>2.3571428571428572</v>
      </c>
      <c r="P13" s="31">
        <f>IF(SUMIFS(Data!$U:$U,Data!$A:$A,$B13,Data!$C:$C,P$1)=0,"",SUMIFS(Data!$U:$U,Data!$A:$A,$B13,Data!$C:$C,P$1))</f>
        <v>2.1523333333333334</v>
      </c>
      <c r="Q13" s="31">
        <f>IF(SUMIFS(Data!$U:$U,Data!$A:$A,$B13,Data!$C:$C,Q$1)=0,"",SUMIFS(Data!$U:$U,Data!$A:$A,$B13,Data!$C:$C,Q$1))</f>
        <v>4.4831666666666665</v>
      </c>
      <c r="R13" s="31">
        <f>VLOOKUP(B13,'#ligaSYR'!$B:$R,17,0)</f>
        <v>4</v>
      </c>
      <c r="S13" s="31">
        <f>SUM(C13:R13)</f>
        <v>51.298880952380955</v>
      </c>
      <c r="T13" s="31">
        <f>SUMIFS(Data!D:D,Data!A:A,B13)</f>
        <v>277.39</v>
      </c>
    </row>
    <row r="14" spans="1:21" ht="13" x14ac:dyDescent="0.3">
      <c r="A14" s="79">
        <v>13</v>
      </c>
      <c r="B14" s="30" t="s">
        <v>331</v>
      </c>
      <c r="C14" s="31">
        <f>IF(SUMIFS(Data!$U:$U,Data!$A:$A,$B14,Data!$C:$C,C$1)=0,"",SUMIFS(Data!$U:$U,Data!$A:$A,$B14,Data!$C:$C,C$1))</f>
        <v>2.1256249999999999</v>
      </c>
      <c r="D14" s="31">
        <f>IF(SUMIFS(Data!$U:$U,Data!$A:$A,$B14,Data!$C:$C,D$1)=0,"",SUMIFS(Data!$U:$U,Data!$A:$A,$B14,Data!$C:$C,D$1))</f>
        <v>3.1887500000000002</v>
      </c>
      <c r="E14" s="31">
        <f>IF(SUMIFS(Data!$U:$U,Data!$A:$A,$B14,Data!$C:$C,E$1)=0,"",SUMIFS(Data!$U:$U,Data!$A:$A,$B14,Data!$C:$C,E$1))</f>
        <v>2.9837500000000001</v>
      </c>
      <c r="F14" s="31">
        <f>IF(SUMIFS(Data!$U:$U,Data!$A:$A,$B14,Data!$C:$C,F$1)=0,"",SUMIFS(Data!$U:$U,Data!$A:$A,$B14,Data!$C:$C,F$1))</f>
        <v>3.6871666666666667</v>
      </c>
      <c r="G14" s="31">
        <f>IF(SUMIFS(Data!$U:$U,Data!$A:$A,$B14,Data!$C:$C,G$1)=0,"",SUMIFS(Data!$U:$U,Data!$A:$A,$B14,Data!$C:$C,G$1))</f>
        <v>2.7825000000000002</v>
      </c>
      <c r="H14" s="31">
        <f>IF(SUMIFS(Data!$U:$U,Data!$A:$A,$B14,Data!$C:$C,H$1)=0,"",SUMIFS(Data!$U:$U,Data!$A:$A,$B14,Data!$C:$C,H$1))</f>
        <v>2.660625</v>
      </c>
      <c r="I14" s="31">
        <f>IF(SUMIFS(Data!$U:$U,Data!$A:$A,$B14,Data!$C:$C,I$1)=0,"",SUMIFS(Data!$U:$U,Data!$A:$A,$B14,Data!$C:$C,I$1))</f>
        <v>2.5125000000000002</v>
      </c>
      <c r="J14" s="31">
        <f>IF(SUMIFS(Data!$U:$U,Data!$A:$A,$B14,Data!$C:$C,J$1)=0,"",SUMIFS(Data!$U:$U,Data!$A:$A,$B14,Data!$C:$C,J$1))</f>
        <v>3.3669166666666666</v>
      </c>
      <c r="K14" s="31">
        <f>IF(SUMIFS(Data!$U:$U,Data!$A:$A,$B14,Data!$C:$C,K$1)=0,"",SUMIFS(Data!$U:$U,Data!$A:$A,$B14,Data!$C:$C,K$1))</f>
        <v>2.4387499999999998</v>
      </c>
      <c r="L14" s="31">
        <f>IF(SUMIFS(Data!$U:$U,Data!$A:$A,$B14,Data!$C:$C,L$1)=0,"",SUMIFS(Data!$U:$U,Data!$A:$A,$B14,Data!$C:$C,L$1))</f>
        <v>2.598125</v>
      </c>
      <c r="M14" s="31">
        <f>IF(SUMIFS(Data!$U:$U,Data!$A:$A,$B14,Data!$C:$C,M$1)=0,"",SUMIFS(Data!$U:$U,Data!$A:$A,$B14,Data!$C:$C,M$1))</f>
        <v>2.8912499999999999</v>
      </c>
      <c r="N14" s="31">
        <f>IF(SUMIFS(Data!$U:$U,Data!$A:$A,$B14,Data!$C:$C,N$1)=0,"",SUMIFS(Data!$U:$U,Data!$A:$A,$B14,Data!$C:$C,N$1))</f>
        <v>2.9934583333333333</v>
      </c>
      <c r="O14" s="31">
        <f>IF(SUMIFS(Data!$U:$U,Data!$A:$A,$B14,Data!$C:$C,O$1)=0,"",SUMIFS(Data!$U:$U,Data!$A:$A,$B14,Data!$C:$C,O$1))</f>
        <v>3.9188333333333332</v>
      </c>
      <c r="P14" s="31">
        <f>IF(SUMIFS(Data!$U:$U,Data!$A:$A,$B14,Data!$C:$C,P$1)=0,"",SUMIFS(Data!$U:$U,Data!$A:$A,$B14,Data!$C:$C,P$1))</f>
        <v>3.15625</v>
      </c>
      <c r="Q14" s="31">
        <f>IF(SUMIFS(Data!$U:$U,Data!$A:$A,$B14,Data!$C:$C,Q$1)=0,"",SUMIFS(Data!$U:$U,Data!$A:$A,$B14,Data!$C:$C,Q$1))</f>
        <v>2.5643750000000001</v>
      </c>
      <c r="R14" s="31">
        <f>VLOOKUP(B14,'#ligaSYR'!$B:$R,17,0)</f>
        <v>5</v>
      </c>
      <c r="S14" s="31">
        <f>SUM(C14:R14)</f>
        <v>48.868874999999996</v>
      </c>
      <c r="T14" s="31">
        <f>SUMIFS(Data!D:D,Data!A:A,B14)</f>
        <v>164.8</v>
      </c>
    </row>
    <row r="15" spans="1:21" ht="13" x14ac:dyDescent="0.3">
      <c r="A15" s="79">
        <v>14</v>
      </c>
      <c r="B15" s="30" t="s">
        <v>356</v>
      </c>
      <c r="C15" s="31">
        <f>IF(SUMIFS(Data!$U:$U,Data!$A:$A,$B15,Data!$C:$C,C$1)=0,"",SUMIFS(Data!$U:$U,Data!$A:$A,$B15,Data!$C:$C,C$1))</f>
        <v>2.3154761904761907</v>
      </c>
      <c r="D15" s="31">
        <f>IF(SUMIFS(Data!$U:$U,Data!$A:$A,$B15,Data!$C:$C,D$1)=0,"",SUMIFS(Data!$U:$U,Data!$A:$A,$B15,Data!$C:$C,D$1))</f>
        <v>1.8607142857142858</v>
      </c>
      <c r="E15" s="31">
        <f>IF(SUMIFS(Data!$U:$U,Data!$A:$A,$B15,Data!$C:$C,E$1)=0,"",SUMIFS(Data!$U:$U,Data!$A:$A,$B15,Data!$C:$C,E$1))</f>
        <v>3.024142857142857</v>
      </c>
      <c r="F15" s="31">
        <f>IF(SUMIFS(Data!$U:$U,Data!$A:$A,$B15,Data!$C:$C,F$1)=0,"",SUMIFS(Data!$U:$U,Data!$A:$A,$B15,Data!$C:$C,F$1))</f>
        <v>2.8494047619047618</v>
      </c>
      <c r="G15" s="31">
        <f>IF(SUMIFS(Data!$U:$U,Data!$A:$A,$B15,Data!$C:$C,G$1)=0,"",SUMIFS(Data!$U:$U,Data!$A:$A,$B15,Data!$C:$C,G$1))</f>
        <v>3.5174761904761906</v>
      </c>
      <c r="H15" s="31">
        <f>IF(SUMIFS(Data!$U:$U,Data!$A:$A,$B15,Data!$C:$C,H$1)=0,"",SUMIFS(Data!$U:$U,Data!$A:$A,$B15,Data!$C:$C,H$1))</f>
        <v>2.7208333333333332</v>
      </c>
      <c r="I15" s="31">
        <f>IF(SUMIFS(Data!$U:$U,Data!$A:$A,$B15,Data!$C:$C,I$1)=0,"",SUMIFS(Data!$U:$U,Data!$A:$A,$B15,Data!$C:$C,I$1))</f>
        <v>2.5678571428571431</v>
      </c>
      <c r="J15" s="31">
        <f>IF(SUMIFS(Data!$U:$U,Data!$A:$A,$B15,Data!$C:$C,J$1)=0,"",SUMIFS(Data!$U:$U,Data!$A:$A,$B15,Data!$C:$C,J$1))</f>
        <v>3.7216666666666667</v>
      </c>
      <c r="K15" s="31">
        <f>IF(SUMIFS(Data!$U:$U,Data!$A:$A,$B15,Data!$C:$C,K$1)=0,"",SUMIFS(Data!$U:$U,Data!$A:$A,$B15,Data!$C:$C,K$1))</f>
        <v>3.3476666666666666</v>
      </c>
      <c r="L15" s="31">
        <f>IF(SUMIFS(Data!$U:$U,Data!$A:$A,$B15,Data!$C:$C,L$1)=0,"",SUMIFS(Data!$U:$U,Data!$A:$A,$B15,Data!$C:$C,L$1))</f>
        <v>2.4101190476190477</v>
      </c>
      <c r="M15" s="31">
        <f>IF(SUMIFS(Data!$U:$U,Data!$A:$A,$B15,Data!$C:$C,M$1)=0,"",SUMIFS(Data!$U:$U,Data!$A:$A,$B15,Data!$C:$C,M$1))</f>
        <v>3.3589285714285713</v>
      </c>
      <c r="N15" s="31">
        <f>IF(SUMIFS(Data!$U:$U,Data!$A:$A,$B15,Data!$C:$C,N$1)=0,"",SUMIFS(Data!$U:$U,Data!$A:$A,$B15,Data!$C:$C,N$1))</f>
        <v>3.1875</v>
      </c>
      <c r="O15" s="31">
        <f>IF(SUMIFS(Data!$U:$U,Data!$A:$A,$B15,Data!$C:$C,O$1)=0,"",SUMIFS(Data!$U:$U,Data!$A:$A,$B15,Data!$C:$C,O$1))</f>
        <v>3.5505</v>
      </c>
      <c r="P15" s="31">
        <f>IF(SUMIFS(Data!$U:$U,Data!$A:$A,$B15,Data!$C:$C,P$1)=0,"",SUMIFS(Data!$U:$U,Data!$A:$A,$B15,Data!$C:$C,P$1))</f>
        <v>2.8380952380952378</v>
      </c>
      <c r="Q15" s="31">
        <f>IF(SUMIFS(Data!$U:$U,Data!$A:$A,$B15,Data!$C:$C,Q$1)=0,"",SUMIFS(Data!$U:$U,Data!$A:$A,$B15,Data!$C:$C,Q$1))</f>
        <v>2.4261904761904765</v>
      </c>
      <c r="R15" s="31">
        <f>VLOOKUP(B15,'#ligaSYR'!$B:$R,17,0)</f>
        <v>5</v>
      </c>
      <c r="S15" s="31">
        <f>SUM(C15:R15)</f>
        <v>48.696571428571424</v>
      </c>
      <c r="T15" s="31">
        <f>SUMIFS(Data!D:D,Data!A:A,B15)</f>
        <v>190.87999999999997</v>
      </c>
    </row>
    <row r="16" spans="1:21" ht="13" x14ac:dyDescent="0.3">
      <c r="A16" s="79">
        <v>15</v>
      </c>
      <c r="B16" s="30" t="s">
        <v>347</v>
      </c>
      <c r="C16" s="31">
        <f>IF(SUMIFS(Data!$U:$U,Data!$A:$A,$B16,Data!$C:$C,C$1)=0,"",SUMIFS(Data!$U:$U,Data!$A:$A,$B16,Data!$C:$C,C$1))</f>
        <v>2.6043750000000001</v>
      </c>
      <c r="D16" s="31">
        <f>IF(SUMIFS(Data!$U:$U,Data!$A:$A,$B16,Data!$C:$C,D$1)=0,"",SUMIFS(Data!$U:$U,Data!$A:$A,$B16,Data!$C:$C,D$1))</f>
        <v>2.5525000000000002</v>
      </c>
      <c r="E16" s="31">
        <f>IF(SUMIFS(Data!$U:$U,Data!$A:$A,$B16,Data!$C:$C,E$1)=0,"",SUMIFS(Data!$U:$U,Data!$A:$A,$B16,Data!$C:$C,E$1))</f>
        <v>2.4450416666666666</v>
      </c>
      <c r="F16" s="31">
        <f>IF(SUMIFS(Data!$U:$U,Data!$A:$A,$B16,Data!$C:$C,F$1)=0,"",SUMIFS(Data!$U:$U,Data!$A:$A,$B16,Data!$C:$C,F$1))</f>
        <v>2.9660000000000002</v>
      </c>
      <c r="G16" s="31">
        <f>IF(SUMIFS(Data!$U:$U,Data!$A:$A,$B16,Data!$C:$C,G$1)=0,"",SUMIFS(Data!$U:$U,Data!$A:$A,$B16,Data!$C:$C,G$1))</f>
        <v>2.475625</v>
      </c>
      <c r="H16" s="31">
        <f>IF(SUMIFS(Data!$U:$U,Data!$A:$A,$B16,Data!$C:$C,H$1)=0,"",SUMIFS(Data!$U:$U,Data!$A:$A,$B16,Data!$C:$C,H$1))</f>
        <v>2.9746666666666663</v>
      </c>
      <c r="I16" s="31">
        <f>IF(SUMIFS(Data!$U:$U,Data!$A:$A,$B16,Data!$C:$C,I$1)=0,"",SUMIFS(Data!$U:$U,Data!$A:$A,$B16,Data!$C:$C,I$1))</f>
        <v>3.6978333333333335</v>
      </c>
      <c r="J16" s="31">
        <f>IF(SUMIFS(Data!$U:$U,Data!$A:$A,$B16,Data!$C:$C,J$1)=0,"",SUMIFS(Data!$U:$U,Data!$A:$A,$B16,Data!$C:$C,J$1))</f>
        <v>2.94</v>
      </c>
      <c r="K16" s="31">
        <f>IF(SUMIFS(Data!$U:$U,Data!$A:$A,$B16,Data!$C:$C,K$1)=0,"",SUMIFS(Data!$U:$U,Data!$A:$A,$B16,Data!$C:$C,K$1))</f>
        <v>2.6536666666666666</v>
      </c>
      <c r="L16" s="31">
        <f>IF(SUMIFS(Data!$U:$U,Data!$A:$A,$B16,Data!$C:$C,L$1)=0,"",SUMIFS(Data!$U:$U,Data!$A:$A,$B16,Data!$C:$C,L$1))</f>
        <v>2.913125</v>
      </c>
      <c r="M16" s="31">
        <f>IF(SUMIFS(Data!$U:$U,Data!$A:$A,$B16,Data!$C:$C,M$1)=0,"",SUMIFS(Data!$U:$U,Data!$A:$A,$B16,Data!$C:$C,M$1))</f>
        <v>2.9424999999999999</v>
      </c>
      <c r="N16" s="31">
        <f>IF(SUMIFS(Data!$U:$U,Data!$A:$A,$B16,Data!$C:$C,N$1)=0,"",SUMIFS(Data!$U:$U,Data!$A:$A,$B16,Data!$C:$C,N$1))</f>
        <v>3.2531249999999998</v>
      </c>
      <c r="O16" s="31">
        <f>IF(SUMIFS(Data!$U:$U,Data!$A:$A,$B16,Data!$C:$C,O$1)=0,"",SUMIFS(Data!$U:$U,Data!$A:$A,$B16,Data!$C:$C,O$1))</f>
        <v>3.3774999999999999</v>
      </c>
      <c r="P16" s="31">
        <f>IF(SUMIFS(Data!$U:$U,Data!$A:$A,$B16,Data!$C:$C,P$1)=0,"",SUMIFS(Data!$U:$U,Data!$A:$A,$B16,Data!$C:$C,P$1))</f>
        <v>2.9206249999999998</v>
      </c>
      <c r="Q16" s="31">
        <f>IF(SUMIFS(Data!$U:$U,Data!$A:$A,$B16,Data!$C:$C,Q$1)=0,"",SUMIFS(Data!$U:$U,Data!$A:$A,$B16,Data!$C:$C,Q$1))</f>
        <v>2.5816249999999998</v>
      </c>
      <c r="R16" s="31">
        <f>VLOOKUP(B16,'#ligaSYR'!$B:$R,17,0)</f>
        <v>5</v>
      </c>
      <c r="S16" s="31">
        <f>SUM(C16:R16)</f>
        <v>48.298208333333335</v>
      </c>
      <c r="T16" s="31">
        <f>SUMIFS(Data!D:D,Data!A:A,B16)</f>
        <v>165.60999999999999</v>
      </c>
    </row>
    <row r="17" spans="1:20" ht="13" x14ac:dyDescent="0.3">
      <c r="A17" s="79">
        <v>16</v>
      </c>
      <c r="B17" s="30" t="s">
        <v>357</v>
      </c>
      <c r="C17" s="31">
        <f>IF(SUMIFS(Data!$U:$U,Data!$A:$A,$B17,Data!$C:$C,C$1)=0,"",SUMIFS(Data!$U:$U,Data!$A:$A,$B17,Data!$C:$C,C$1))</f>
        <v>2.8154761904761907</v>
      </c>
      <c r="D17" s="31">
        <f>IF(SUMIFS(Data!$U:$U,Data!$A:$A,$B17,Data!$C:$C,D$1)=0,"",SUMIFS(Data!$U:$U,Data!$A:$A,$B17,Data!$C:$C,D$1))</f>
        <v>3.5665238095238094</v>
      </c>
      <c r="E17" s="31">
        <f>IF(SUMIFS(Data!$U:$U,Data!$A:$A,$B17,Data!$C:$C,E$1)=0,"",SUMIFS(Data!$U:$U,Data!$A:$A,$B17,Data!$C:$C,E$1))</f>
        <v>3.0386666666666664</v>
      </c>
      <c r="F17" s="31">
        <f>IF(SUMIFS(Data!$U:$U,Data!$A:$A,$B17,Data!$C:$C,F$1)=0,"",SUMIFS(Data!$U:$U,Data!$A:$A,$B17,Data!$C:$C,F$1))</f>
        <v>2.4323095238095238</v>
      </c>
      <c r="G17" s="31">
        <f>IF(SUMIFS(Data!$U:$U,Data!$A:$A,$B17,Data!$C:$C,G$1)=0,"",SUMIFS(Data!$U:$U,Data!$A:$A,$B17,Data!$C:$C,G$1))</f>
        <v>3.7936666666666667</v>
      </c>
      <c r="H17" s="31">
        <f>IF(SUMIFS(Data!$U:$U,Data!$A:$A,$B17,Data!$C:$C,H$1)=0,"",SUMIFS(Data!$U:$U,Data!$A:$A,$B17,Data!$C:$C,H$1))</f>
        <v>2.1136904761904765</v>
      </c>
      <c r="I17" s="31">
        <f>IF(SUMIFS(Data!$U:$U,Data!$A:$A,$B17,Data!$C:$C,I$1)=0,"",SUMIFS(Data!$U:$U,Data!$A:$A,$B17,Data!$C:$C,I$1))</f>
        <v>3.6550000000000002</v>
      </c>
      <c r="J17" s="31">
        <f>IF(SUMIFS(Data!$U:$U,Data!$A:$A,$B17,Data!$C:$C,J$1)=0,"",SUMIFS(Data!$U:$U,Data!$A:$A,$B17,Data!$C:$C,J$1))</f>
        <v>3.9</v>
      </c>
      <c r="K17" s="31">
        <f>IF(SUMIFS(Data!$U:$U,Data!$A:$A,$B17,Data!$C:$C,K$1)=0,"",SUMIFS(Data!$U:$U,Data!$A:$A,$B17,Data!$C:$C,K$1))</f>
        <v>2.1726190476190474</v>
      </c>
      <c r="L17" s="31">
        <f>IF(SUMIFS(Data!$U:$U,Data!$A:$A,$B17,Data!$C:$C,L$1)=0,"",SUMIFS(Data!$U:$U,Data!$A:$A,$B17,Data!$C:$C,L$1))</f>
        <v>2.5892857142857144</v>
      </c>
      <c r="M17" s="31">
        <f>IF(SUMIFS(Data!$U:$U,Data!$A:$A,$B17,Data!$C:$C,M$1)=0,"",SUMIFS(Data!$U:$U,Data!$A:$A,$B17,Data!$C:$C,M$1))</f>
        <v>2.6791666666666667</v>
      </c>
      <c r="N17" s="31">
        <f>IF(SUMIFS(Data!$U:$U,Data!$A:$A,$B17,Data!$C:$C,N$1)=0,"",SUMIFS(Data!$U:$U,Data!$A:$A,$B17,Data!$C:$C,N$1))</f>
        <v>4.4303333333333335</v>
      </c>
      <c r="O17" s="31">
        <f>IF(SUMIFS(Data!$U:$U,Data!$A:$A,$B17,Data!$C:$C,O$1)=0,"",SUMIFS(Data!$U:$U,Data!$A:$A,$B17,Data!$C:$C,O$1))</f>
        <v>1.8571428571428572</v>
      </c>
      <c r="P17" s="31">
        <f>IF(SUMIFS(Data!$U:$U,Data!$A:$A,$B17,Data!$C:$C,P$1)=0,"",SUMIFS(Data!$U:$U,Data!$A:$A,$B17,Data!$C:$C,P$1))</f>
        <v>2.4710000000000001</v>
      </c>
      <c r="Q17" s="31">
        <f>IF(SUMIFS(Data!$U:$U,Data!$A:$A,$B17,Data!$C:$C,Q$1)=0,"",SUMIFS(Data!$U:$U,Data!$A:$A,$B17,Data!$C:$C,Q$1))</f>
        <v>1.9340952380952379</v>
      </c>
      <c r="R17" s="31">
        <f>VLOOKUP(B17,'#ligaSYR'!$B:$R,17,0)</f>
        <v>4</v>
      </c>
      <c r="S17" s="31">
        <f>SUM(C17:R17)</f>
        <v>47.448976190476188</v>
      </c>
      <c r="T17" s="31">
        <f>SUMIFS(Data!D:D,Data!A:A,B17)</f>
        <v>230.99</v>
      </c>
    </row>
    <row r="18" spans="1:20" ht="13" x14ac:dyDescent="0.3">
      <c r="A18" s="79">
        <v>17</v>
      </c>
      <c r="B18" s="30" t="s">
        <v>378</v>
      </c>
      <c r="C18" s="31">
        <f>IF(SUMIFS(Data!$U:$U,Data!$A:$A,$B18,Data!$C:$C,C$1)=0,"",SUMIFS(Data!$U:$U,Data!$A:$A,$B18,Data!$C:$C,C$1))</f>
        <v>2.2719166666666664</v>
      </c>
      <c r="D18" s="31">
        <f>IF(SUMIFS(Data!$U:$U,Data!$A:$A,$B18,Data!$C:$C,D$1)=0,"",SUMIFS(Data!$U:$U,Data!$A:$A,$B18,Data!$C:$C,D$1))</f>
        <v>2.5006249999999999</v>
      </c>
      <c r="E18" s="31">
        <f>IF(SUMIFS(Data!$U:$U,Data!$A:$A,$B18,Data!$C:$C,E$1)=0,"",SUMIFS(Data!$U:$U,Data!$A:$A,$B18,Data!$C:$C,E$1))</f>
        <v>1.5</v>
      </c>
      <c r="F18" s="31" t="str">
        <f>IF(SUMIFS(Data!$U:$U,Data!$A:$A,$B18,Data!$C:$C,F$1)=0,"",SUMIFS(Data!$U:$U,Data!$A:$A,$B18,Data!$C:$C,F$1))</f>
        <v/>
      </c>
      <c r="G18" s="31">
        <f>IF(SUMIFS(Data!$U:$U,Data!$A:$A,$B18,Data!$C:$C,G$1)=0,"",SUMIFS(Data!$U:$U,Data!$A:$A,$B18,Data!$C:$C,G$1))</f>
        <v>2.9412500000000001</v>
      </c>
      <c r="H18" s="31">
        <f>IF(SUMIFS(Data!$U:$U,Data!$A:$A,$B18,Data!$C:$C,H$1)=0,"",SUMIFS(Data!$U:$U,Data!$A:$A,$B18,Data!$C:$C,H$1))</f>
        <v>2.4708333333333332</v>
      </c>
      <c r="I18" s="31">
        <f>IF(SUMIFS(Data!$U:$U,Data!$A:$A,$B18,Data!$C:$C,I$1)=0,"",SUMIFS(Data!$U:$U,Data!$A:$A,$B18,Data!$C:$C,I$1))</f>
        <v>3.1317499999999998</v>
      </c>
      <c r="J18" s="31">
        <f>IF(SUMIFS(Data!$U:$U,Data!$A:$A,$B18,Data!$C:$C,J$1)=0,"",SUMIFS(Data!$U:$U,Data!$A:$A,$B18,Data!$C:$C,J$1))</f>
        <v>3.3162500000000001</v>
      </c>
      <c r="K18" s="31">
        <f>IF(SUMIFS(Data!$U:$U,Data!$A:$A,$B18,Data!$C:$C,K$1)=0,"",SUMIFS(Data!$U:$U,Data!$A:$A,$B18,Data!$C:$C,K$1))</f>
        <v>2.9922499999999999</v>
      </c>
      <c r="L18" s="31">
        <f>IF(SUMIFS(Data!$U:$U,Data!$A:$A,$B18,Data!$C:$C,L$1)=0,"",SUMIFS(Data!$U:$U,Data!$A:$A,$B18,Data!$C:$C,L$1))</f>
        <v>3.5674999999999999</v>
      </c>
      <c r="M18" s="31">
        <f>IF(SUMIFS(Data!$U:$U,Data!$A:$A,$B18,Data!$C:$C,M$1)=0,"",SUMIFS(Data!$U:$U,Data!$A:$A,$B18,Data!$C:$C,M$1))</f>
        <v>4.55</v>
      </c>
      <c r="N18" s="31">
        <f>IF(SUMIFS(Data!$U:$U,Data!$A:$A,$B18,Data!$C:$C,N$1)=0,"",SUMIFS(Data!$U:$U,Data!$A:$A,$B18,Data!$C:$C,N$1))</f>
        <v>3.4229583333333338</v>
      </c>
      <c r="O18" s="31">
        <f>IF(SUMIFS(Data!$U:$U,Data!$A:$A,$B18,Data!$C:$C,O$1)=0,"",SUMIFS(Data!$U:$U,Data!$A:$A,$B18,Data!$C:$C,O$1))</f>
        <v>3.8658333333333332</v>
      </c>
      <c r="P18" s="31">
        <f>IF(SUMIFS(Data!$U:$U,Data!$A:$A,$B18,Data!$C:$C,P$1)=0,"",SUMIFS(Data!$U:$U,Data!$A:$A,$B18,Data!$C:$C,P$1))</f>
        <v>3.6256249999999999</v>
      </c>
      <c r="Q18" s="31">
        <f>IF(SUMIFS(Data!$U:$U,Data!$A:$A,$B18,Data!$C:$C,Q$1)=0,"",SUMIFS(Data!$U:$U,Data!$A:$A,$B18,Data!$C:$C,Q$1))</f>
        <v>3.1262499999999998</v>
      </c>
      <c r="R18" s="31">
        <f>VLOOKUP(B18,'#ligaSYR'!$B:$R,17,0)</f>
        <v>4</v>
      </c>
      <c r="S18" s="31">
        <f>SUM(C18:R18)</f>
        <v>47.283041666666662</v>
      </c>
      <c r="T18" s="31">
        <f>SUMIFS(Data!D:D,Data!A:A,B18)</f>
        <v>153.13</v>
      </c>
    </row>
    <row r="19" spans="1:20" ht="13" x14ac:dyDescent="0.3">
      <c r="A19" s="79">
        <v>18</v>
      </c>
      <c r="B19" s="30" t="s">
        <v>351</v>
      </c>
      <c r="C19" s="31">
        <f>IF(SUMIFS(Data!$U:$U,Data!$A:$A,$B19,Data!$C:$C,C$1)=0,"",SUMIFS(Data!$U:$U,Data!$A:$A,$B19,Data!$C:$C,C$1))</f>
        <v>2.6887499999999998</v>
      </c>
      <c r="D19" s="31" t="str">
        <f>IF(SUMIFS(Data!$U:$U,Data!$A:$A,$B19,Data!$C:$C,D$1)=0,"",SUMIFS(Data!$U:$U,Data!$A:$A,$B19,Data!$C:$C,D$1))</f>
        <v/>
      </c>
      <c r="E19" s="31">
        <f>IF(SUMIFS(Data!$U:$U,Data!$A:$A,$B19,Data!$C:$C,E$1)=0,"",SUMIFS(Data!$U:$U,Data!$A:$A,$B19,Data!$C:$C,E$1))</f>
        <v>2.9849999999999999</v>
      </c>
      <c r="F19" s="31">
        <f>IF(SUMIFS(Data!$U:$U,Data!$A:$A,$B19,Data!$C:$C,F$1)=0,"",SUMIFS(Data!$U:$U,Data!$A:$A,$B19,Data!$C:$C,F$1))</f>
        <v>3.375</v>
      </c>
      <c r="G19" s="31">
        <f>IF(SUMIFS(Data!$U:$U,Data!$A:$A,$B19,Data!$C:$C,G$1)=0,"",SUMIFS(Data!$U:$U,Data!$A:$A,$B19,Data!$C:$C,G$1))</f>
        <v>3.2512500000000002</v>
      </c>
      <c r="H19" s="31">
        <f>IF(SUMIFS(Data!$U:$U,Data!$A:$A,$B19,Data!$C:$C,H$1)=0,"",SUMIFS(Data!$U:$U,Data!$A:$A,$B19,Data!$C:$C,H$1))</f>
        <v>3.0637499999999998</v>
      </c>
      <c r="I19" s="31">
        <f>IF(SUMIFS(Data!$U:$U,Data!$A:$A,$B19,Data!$C:$C,I$1)=0,"",SUMIFS(Data!$U:$U,Data!$A:$A,$B19,Data!$C:$C,I$1))</f>
        <v>3.1875</v>
      </c>
      <c r="J19" s="31">
        <f>IF(SUMIFS(Data!$U:$U,Data!$A:$A,$B19,Data!$C:$C,J$1)=0,"",SUMIFS(Data!$U:$U,Data!$A:$A,$B19,Data!$C:$C,J$1))</f>
        <v>2.6437499999999998</v>
      </c>
      <c r="K19" s="31">
        <f>IF(SUMIFS(Data!$U:$U,Data!$A:$A,$B19,Data!$C:$C,K$1)=0,"",SUMIFS(Data!$U:$U,Data!$A:$A,$B19,Data!$C:$C,K$1))</f>
        <v>2.8756249999999999</v>
      </c>
      <c r="L19" s="31">
        <f>IF(SUMIFS(Data!$U:$U,Data!$A:$A,$B19,Data!$C:$C,L$1)=0,"",SUMIFS(Data!$U:$U,Data!$A:$A,$B19,Data!$C:$C,L$1))</f>
        <v>3.6583333333333332</v>
      </c>
      <c r="M19" s="31">
        <f>IF(SUMIFS(Data!$U:$U,Data!$A:$A,$B19,Data!$C:$C,M$1)=0,"",SUMIFS(Data!$U:$U,Data!$A:$A,$B19,Data!$C:$C,M$1))</f>
        <v>3.75</v>
      </c>
      <c r="N19" s="31">
        <f>IF(SUMIFS(Data!$U:$U,Data!$A:$A,$B19,Data!$C:$C,N$1)=0,"",SUMIFS(Data!$U:$U,Data!$A:$A,$B19,Data!$C:$C,N$1))</f>
        <v>2.0631249999999999</v>
      </c>
      <c r="O19" s="31">
        <f>IF(SUMIFS(Data!$U:$U,Data!$A:$A,$B19,Data!$C:$C,O$1)=0,"",SUMIFS(Data!$U:$U,Data!$A:$A,$B19,Data!$C:$C,O$1))</f>
        <v>3.26</v>
      </c>
      <c r="P19" s="31">
        <f>IF(SUMIFS(Data!$U:$U,Data!$A:$A,$B19,Data!$C:$C,P$1)=0,"",SUMIFS(Data!$U:$U,Data!$A:$A,$B19,Data!$C:$C,P$1))</f>
        <v>2.2255000000000003</v>
      </c>
      <c r="Q19" s="31">
        <f>IF(SUMIFS(Data!$U:$U,Data!$A:$A,$B19,Data!$C:$C,Q$1)=0,"",SUMIFS(Data!$U:$U,Data!$A:$A,$B19,Data!$C:$C,Q$1))</f>
        <v>2.5056250000000002</v>
      </c>
      <c r="R19" s="31">
        <f>VLOOKUP(B19,'#ligaSYR'!$B:$R,17,0)</f>
        <v>5</v>
      </c>
      <c r="S19" s="31">
        <f>SUM(C19:R19)</f>
        <v>46.533208333333327</v>
      </c>
      <c r="T19" s="31">
        <f>SUMIFS(Data!D:D,Data!A:A,B19)</f>
        <v>198.39000000000001</v>
      </c>
    </row>
    <row r="20" spans="1:20" ht="13" x14ac:dyDescent="0.3">
      <c r="A20" s="79">
        <v>19</v>
      </c>
      <c r="B20" s="30" t="s">
        <v>374</v>
      </c>
      <c r="C20" s="31">
        <f>IF(SUMIFS(Data!$U:$U,Data!$A:$A,$B20,Data!$C:$C,C$1)=0,"",SUMIFS(Data!$U:$U,Data!$A:$A,$B20,Data!$C:$C,C$1))</f>
        <v>2.0785714285714283</v>
      </c>
      <c r="D20" s="31">
        <f>IF(SUMIFS(Data!$U:$U,Data!$A:$A,$B20,Data!$C:$C,D$1)=0,"",SUMIFS(Data!$U:$U,Data!$A:$A,$B20,Data!$C:$C,D$1))</f>
        <v>4.711904761904762</v>
      </c>
      <c r="E20" s="31">
        <f>IF(SUMIFS(Data!$U:$U,Data!$A:$A,$B20,Data!$C:$C,E$1)=0,"",SUMIFS(Data!$U:$U,Data!$A:$A,$B20,Data!$C:$C,E$1))</f>
        <v>3.2087619047619049</v>
      </c>
      <c r="F20" s="31">
        <f>IF(SUMIFS(Data!$U:$U,Data!$A:$A,$B20,Data!$C:$C,F$1)=0,"",SUMIFS(Data!$U:$U,Data!$A:$A,$B20,Data!$C:$C,F$1))</f>
        <v>3.592166666666667</v>
      </c>
      <c r="G20" s="31">
        <f>IF(SUMIFS(Data!$U:$U,Data!$A:$A,$B20,Data!$C:$C,G$1)=0,"",SUMIFS(Data!$U:$U,Data!$A:$A,$B20,Data!$C:$C,G$1))</f>
        <v>3.0444999999999998</v>
      </c>
      <c r="H20" s="31">
        <f>IF(SUMIFS(Data!$U:$U,Data!$A:$A,$B20,Data!$C:$C,H$1)=0,"",SUMIFS(Data!$U:$U,Data!$A:$A,$B20,Data!$C:$C,H$1))</f>
        <v>3.2142857142857144</v>
      </c>
      <c r="I20" s="31">
        <f>IF(SUMIFS(Data!$U:$U,Data!$A:$A,$B20,Data!$C:$C,I$1)=0,"",SUMIFS(Data!$U:$U,Data!$A:$A,$B20,Data!$C:$C,I$1))</f>
        <v>5.0422619047619044</v>
      </c>
      <c r="J20" s="31">
        <f>IF(SUMIFS(Data!$U:$U,Data!$A:$A,$B20,Data!$C:$C,J$1)=0,"",SUMIFS(Data!$U:$U,Data!$A:$A,$B20,Data!$C:$C,J$1))</f>
        <v>3.5550000000000002</v>
      </c>
      <c r="K20" s="31">
        <f>IF(SUMIFS(Data!$U:$U,Data!$A:$A,$B20,Data!$C:$C,K$1)=0,"",SUMIFS(Data!$U:$U,Data!$A:$A,$B20,Data!$C:$C,K$1))</f>
        <v>4.2046666666666663</v>
      </c>
      <c r="L20" s="31" t="str">
        <f>IF(SUMIFS(Data!$U:$U,Data!$A:$A,$B20,Data!$C:$C,L$1)=0,"",SUMIFS(Data!$U:$U,Data!$A:$A,$B20,Data!$C:$C,L$1))</f>
        <v/>
      </c>
      <c r="M20" s="31">
        <f>IF(SUMIFS(Data!$U:$U,Data!$A:$A,$B20,Data!$C:$C,M$1)=0,"",SUMIFS(Data!$U:$U,Data!$A:$A,$B20,Data!$C:$C,M$1))</f>
        <v>10.485714285714286</v>
      </c>
      <c r="N20" s="31" t="str">
        <f>IF(SUMIFS(Data!$U:$U,Data!$A:$A,$B20,Data!$C:$C,N$1)=0,"",SUMIFS(Data!$U:$U,Data!$A:$A,$B20,Data!$C:$C,N$1))</f>
        <v/>
      </c>
      <c r="O20" s="31" t="str">
        <f>IF(SUMIFS(Data!$U:$U,Data!$A:$A,$B20,Data!$C:$C,O$1)=0,"",SUMIFS(Data!$U:$U,Data!$A:$A,$B20,Data!$C:$C,O$1))</f>
        <v/>
      </c>
      <c r="P20" s="31" t="str">
        <f>IF(SUMIFS(Data!$U:$U,Data!$A:$A,$B20,Data!$C:$C,P$1)=0,"",SUMIFS(Data!$U:$U,Data!$A:$A,$B20,Data!$C:$C,P$1))</f>
        <v/>
      </c>
      <c r="Q20" s="31" t="str">
        <f>IF(SUMIFS(Data!$U:$U,Data!$A:$A,$B20,Data!$C:$C,Q$1)=0,"",SUMIFS(Data!$U:$U,Data!$A:$A,$B20,Data!$C:$C,Q$1))</f>
        <v/>
      </c>
      <c r="R20" s="31">
        <f>VLOOKUP(B20,'#ligaSYR'!$B:$R,17,0)</f>
        <v>3</v>
      </c>
      <c r="S20" s="31">
        <f>SUM(C20:R20)</f>
        <v>46.137833333333333</v>
      </c>
      <c r="T20" s="31">
        <f>SUMIFS(Data!D:D,Data!A:A,B20)</f>
        <v>154.34</v>
      </c>
    </row>
    <row r="21" spans="1:20" ht="13" x14ac:dyDescent="0.3">
      <c r="A21" s="79">
        <v>20</v>
      </c>
      <c r="B21" s="30" t="s">
        <v>403</v>
      </c>
      <c r="C21" s="31" t="str">
        <f>IF(SUMIFS(Data!$U:$U,Data!$A:$A,$B21,Data!$C:$C,C$1)=0,"",SUMIFS(Data!$U:$U,Data!$A:$A,$B21,Data!$C:$C,C$1))</f>
        <v/>
      </c>
      <c r="D21" s="31" t="str">
        <f>IF(SUMIFS(Data!$U:$U,Data!$A:$A,$B21,Data!$C:$C,D$1)=0,"",SUMIFS(Data!$U:$U,Data!$A:$A,$B21,Data!$C:$C,D$1))</f>
        <v/>
      </c>
      <c r="E21" s="31" t="str">
        <f>IF(SUMIFS(Data!$U:$U,Data!$A:$A,$B21,Data!$C:$C,E$1)=0,"",SUMIFS(Data!$U:$U,Data!$A:$A,$B21,Data!$C:$C,E$1))</f>
        <v/>
      </c>
      <c r="F21" s="31">
        <f>IF(SUMIFS(Data!$U:$U,Data!$A:$A,$B21,Data!$C:$C,F$1)=0,"",SUMIFS(Data!$U:$U,Data!$A:$A,$B21,Data!$C:$C,F$1))</f>
        <v>3.3035000000000001</v>
      </c>
      <c r="G21" s="31">
        <f>IF(SUMIFS(Data!$U:$U,Data!$A:$A,$B21,Data!$C:$C,G$1)=0,"",SUMIFS(Data!$U:$U,Data!$A:$A,$B21,Data!$C:$C,G$1))</f>
        <v>5.3348333333333331</v>
      </c>
      <c r="H21" s="31">
        <f>IF(SUMIFS(Data!$U:$U,Data!$A:$A,$B21,Data!$C:$C,H$1)=0,"",SUMIFS(Data!$U:$U,Data!$A:$A,$B21,Data!$C:$C,H$1))</f>
        <v>3.6631666666666667</v>
      </c>
      <c r="I21" s="31">
        <f>IF(SUMIFS(Data!$U:$U,Data!$A:$A,$B21,Data!$C:$C,I$1)=0,"",SUMIFS(Data!$U:$U,Data!$A:$A,$B21,Data!$C:$C,I$1))</f>
        <v>5.2818333333333332</v>
      </c>
      <c r="J21" s="31">
        <f>IF(SUMIFS(Data!$U:$U,Data!$A:$A,$B21,Data!$C:$C,J$1)=0,"",SUMIFS(Data!$U:$U,Data!$A:$A,$B21,Data!$C:$C,J$1))</f>
        <v>3.2343333333333333</v>
      </c>
      <c r="K21" s="31">
        <f>IF(SUMIFS(Data!$U:$U,Data!$A:$A,$B21,Data!$C:$C,K$1)=0,"",SUMIFS(Data!$U:$U,Data!$A:$A,$B21,Data!$C:$C,K$1))</f>
        <v>2.8138095238095238</v>
      </c>
      <c r="L21" s="31">
        <f>IF(SUMIFS(Data!$U:$U,Data!$A:$A,$B21,Data!$C:$C,L$1)=0,"",SUMIFS(Data!$U:$U,Data!$A:$A,$B21,Data!$C:$C,L$1))</f>
        <v>3.4824999999999999</v>
      </c>
      <c r="M21" s="31">
        <f>IF(SUMIFS(Data!$U:$U,Data!$A:$A,$B21,Data!$C:$C,M$1)=0,"",SUMIFS(Data!$U:$U,Data!$A:$A,$B21,Data!$C:$C,M$1))</f>
        <v>2.9125000000000001</v>
      </c>
      <c r="N21" s="31">
        <f>IF(SUMIFS(Data!$U:$U,Data!$A:$A,$B21,Data!$C:$C,N$1)=0,"",SUMIFS(Data!$U:$U,Data!$A:$A,$B21,Data!$C:$C,N$1))</f>
        <v>2.1410714285714283</v>
      </c>
      <c r="O21" s="31">
        <f>IF(SUMIFS(Data!$U:$U,Data!$A:$A,$B21,Data!$C:$C,O$1)=0,"",SUMIFS(Data!$U:$U,Data!$A:$A,$B21,Data!$C:$C,O$1))</f>
        <v>3.0464523809523807</v>
      </c>
      <c r="P21" s="31">
        <f>IF(SUMIFS(Data!$U:$U,Data!$A:$A,$B21,Data!$C:$C,P$1)=0,"",SUMIFS(Data!$U:$U,Data!$A:$A,$B21,Data!$C:$C,P$1))</f>
        <v>3.4381666666666666</v>
      </c>
      <c r="Q21" s="31">
        <f>IF(SUMIFS(Data!$U:$U,Data!$A:$A,$B21,Data!$C:$C,Q$1)=0,"",SUMIFS(Data!$U:$U,Data!$A:$A,$B21,Data!$C:$C,Q$1))</f>
        <v>2.2261904761904763</v>
      </c>
      <c r="R21" s="31">
        <f>VLOOKUP(B21,'#ligaSYR'!$B:$R,17,0)</f>
        <v>3</v>
      </c>
      <c r="S21" s="31">
        <f>SUM(C21:R21)</f>
        <v>43.878357142857148</v>
      </c>
      <c r="T21" s="31">
        <f>SUMIFS(Data!D:D,Data!A:A,B21)</f>
        <v>295.23</v>
      </c>
    </row>
    <row r="22" spans="1:20" ht="13" x14ac:dyDescent="0.3">
      <c r="A22" s="79">
        <v>21</v>
      </c>
      <c r="B22" s="30" t="s">
        <v>333</v>
      </c>
      <c r="C22" s="31">
        <f>IF(SUMIFS(Data!$U:$U,Data!$A:$A,$B22,Data!$C:$C,C$1)=0,"",SUMIFS(Data!$U:$U,Data!$A:$A,$B22,Data!$C:$C,C$1))</f>
        <v>2.352380952380952</v>
      </c>
      <c r="D22" s="31">
        <f>IF(SUMIFS(Data!$U:$U,Data!$A:$A,$B22,Data!$C:$C,D$1)=0,"",SUMIFS(Data!$U:$U,Data!$A:$A,$B22,Data!$C:$C,D$1))</f>
        <v>3.5</v>
      </c>
      <c r="E22" s="31">
        <f>IF(SUMIFS(Data!$U:$U,Data!$A:$A,$B22,Data!$C:$C,E$1)=0,"",SUMIFS(Data!$U:$U,Data!$A:$A,$B22,Data!$C:$C,E$1))</f>
        <v>2.0154761904761904</v>
      </c>
      <c r="F22" s="31">
        <f>IF(SUMIFS(Data!$U:$U,Data!$A:$A,$B22,Data!$C:$C,F$1)=0,"",SUMIFS(Data!$U:$U,Data!$A:$A,$B22,Data!$C:$C,F$1))</f>
        <v>2.3619047619047615</v>
      </c>
      <c r="G22" s="31">
        <f>IF(SUMIFS(Data!$U:$U,Data!$A:$A,$B22,Data!$C:$C,G$1)=0,"",SUMIFS(Data!$U:$U,Data!$A:$A,$B22,Data!$C:$C,G$1))</f>
        <v>2.2374999999999998</v>
      </c>
      <c r="H22" s="31">
        <f>IF(SUMIFS(Data!$U:$U,Data!$A:$A,$B22,Data!$C:$C,H$1)=0,"",SUMIFS(Data!$U:$U,Data!$A:$A,$B22,Data!$C:$C,H$1))</f>
        <v>2.674404761904762</v>
      </c>
      <c r="I22" s="31">
        <f>IF(SUMIFS(Data!$U:$U,Data!$A:$A,$B22,Data!$C:$C,I$1)=0,"",SUMIFS(Data!$U:$U,Data!$A:$A,$B22,Data!$C:$C,I$1))</f>
        <v>3.6375000000000002</v>
      </c>
      <c r="J22" s="31">
        <f>IF(SUMIFS(Data!$U:$U,Data!$A:$A,$B22,Data!$C:$C,J$1)=0,"",SUMIFS(Data!$U:$U,Data!$A:$A,$B22,Data!$C:$C,J$1))</f>
        <v>3.65</v>
      </c>
      <c r="K22" s="31">
        <f>IF(SUMIFS(Data!$U:$U,Data!$A:$A,$B22,Data!$C:$C,K$1)=0,"",SUMIFS(Data!$U:$U,Data!$A:$A,$B22,Data!$C:$C,K$1))</f>
        <v>2.331547619047619</v>
      </c>
      <c r="L22" s="31">
        <f>IF(SUMIFS(Data!$U:$U,Data!$A:$A,$B22,Data!$C:$C,L$1)=0,"",SUMIFS(Data!$U:$U,Data!$A:$A,$B22,Data!$C:$C,L$1))</f>
        <v>1.8607142857142858</v>
      </c>
      <c r="M22" s="31">
        <f>IF(SUMIFS(Data!$U:$U,Data!$A:$A,$B22,Data!$C:$C,M$1)=0,"",SUMIFS(Data!$U:$U,Data!$A:$A,$B22,Data!$C:$C,M$1))</f>
        <v>3.0625</v>
      </c>
      <c r="N22" s="31">
        <f>IF(SUMIFS(Data!$U:$U,Data!$A:$A,$B22,Data!$C:$C,N$1)=0,"",SUMIFS(Data!$U:$U,Data!$A:$A,$B22,Data!$C:$C,N$1))</f>
        <v>2.7333333333333334</v>
      </c>
      <c r="O22" s="31">
        <f>IF(SUMIFS(Data!$U:$U,Data!$A:$A,$B22,Data!$C:$C,O$1)=0,"",SUMIFS(Data!$U:$U,Data!$A:$A,$B22,Data!$C:$C,O$1))</f>
        <v>2.1124999999999998</v>
      </c>
      <c r="P22" s="31">
        <f>IF(SUMIFS(Data!$U:$U,Data!$A:$A,$B22,Data!$C:$C,P$1)=0,"",SUMIFS(Data!$U:$U,Data!$A:$A,$B22,Data!$C:$C,P$1))</f>
        <v>1.6797619047619048</v>
      </c>
      <c r="Q22" s="31">
        <f>IF(SUMIFS(Data!$U:$U,Data!$A:$A,$B22,Data!$C:$C,Q$1)=0,"",SUMIFS(Data!$U:$U,Data!$A:$A,$B22,Data!$C:$C,Q$1))</f>
        <v>2.4726190476190477</v>
      </c>
      <c r="R22" s="31">
        <f>VLOOKUP(B22,'#ligaSYR'!$B:$R,17,0)</f>
        <v>5</v>
      </c>
      <c r="S22" s="31">
        <f>SUM(C22:R22)</f>
        <v>43.682142857142857</v>
      </c>
      <c r="T22" s="31">
        <f>SUMIFS(Data!D:D,Data!A:A,B22)</f>
        <v>217.53000000000003</v>
      </c>
    </row>
    <row r="23" spans="1:20" ht="13" x14ac:dyDescent="0.3">
      <c r="A23" s="79">
        <v>22</v>
      </c>
      <c r="B23" s="30" t="s">
        <v>387</v>
      </c>
      <c r="C23" s="31" t="str">
        <f>IF(SUMIFS(Data!$U:$U,Data!$A:$A,$B23,Data!$C:$C,C$1)=0,"",SUMIFS(Data!$U:$U,Data!$A:$A,$B23,Data!$C:$C,C$1))</f>
        <v/>
      </c>
      <c r="D23" s="31" t="str">
        <f>IF(SUMIFS(Data!$U:$U,Data!$A:$A,$B23,Data!$C:$C,D$1)=0,"",SUMIFS(Data!$U:$U,Data!$A:$A,$B23,Data!$C:$C,D$1))</f>
        <v/>
      </c>
      <c r="E23" s="31">
        <f>IF(SUMIFS(Data!$U:$U,Data!$A:$A,$B23,Data!$C:$C,E$1)=0,"",SUMIFS(Data!$U:$U,Data!$A:$A,$B23,Data!$C:$C,E$1))</f>
        <v>3.50725</v>
      </c>
      <c r="F23" s="31">
        <f>IF(SUMIFS(Data!$U:$U,Data!$A:$A,$B23,Data!$C:$C,F$1)=0,"",SUMIFS(Data!$U:$U,Data!$A:$A,$B23,Data!$C:$C,F$1))</f>
        <v>2.4693749999999999</v>
      </c>
      <c r="G23" s="31">
        <f>IF(SUMIFS(Data!$U:$U,Data!$A:$A,$B23,Data!$C:$C,G$1)=0,"",SUMIFS(Data!$U:$U,Data!$A:$A,$B23,Data!$C:$C,G$1))</f>
        <v>2.6256249999999999</v>
      </c>
      <c r="H23" s="31">
        <f>IF(SUMIFS(Data!$U:$U,Data!$A:$A,$B23,Data!$C:$C,H$1)=0,"",SUMIFS(Data!$U:$U,Data!$A:$A,$B23,Data!$C:$C,H$1))</f>
        <v>3.3131249999999999</v>
      </c>
      <c r="I23" s="31">
        <f>IF(SUMIFS(Data!$U:$U,Data!$A:$A,$B23,Data!$C:$C,I$1)=0,"",SUMIFS(Data!$U:$U,Data!$A:$A,$B23,Data!$C:$C,I$1))</f>
        <v>3.7294999999999998</v>
      </c>
      <c r="J23" s="31">
        <f>IF(SUMIFS(Data!$U:$U,Data!$A:$A,$B23,Data!$C:$C,J$1)=0,"",SUMIFS(Data!$U:$U,Data!$A:$A,$B23,Data!$C:$C,J$1))</f>
        <v>2.4381249999999999</v>
      </c>
      <c r="K23" s="31">
        <f>IF(SUMIFS(Data!$U:$U,Data!$A:$A,$B23,Data!$C:$C,K$1)=0,"",SUMIFS(Data!$U:$U,Data!$A:$A,$B23,Data!$C:$C,K$1))</f>
        <v>3.25</v>
      </c>
      <c r="L23" s="31">
        <f>IF(SUMIFS(Data!$U:$U,Data!$A:$A,$B23,Data!$C:$C,L$1)=0,"",SUMIFS(Data!$U:$U,Data!$A:$A,$B23,Data!$C:$C,L$1))</f>
        <v>3.4375</v>
      </c>
      <c r="M23" s="31">
        <f>IF(SUMIFS(Data!$U:$U,Data!$A:$A,$B23,Data!$C:$C,M$1)=0,"",SUMIFS(Data!$U:$U,Data!$A:$A,$B23,Data!$C:$C,M$1))</f>
        <v>2.961875</v>
      </c>
      <c r="N23" s="31">
        <f>IF(SUMIFS(Data!$U:$U,Data!$A:$A,$B23,Data!$C:$C,N$1)=0,"",SUMIFS(Data!$U:$U,Data!$A:$A,$B23,Data!$C:$C,N$1))</f>
        <v>3.2506250000000003</v>
      </c>
      <c r="O23" s="31">
        <f>IF(SUMIFS(Data!$U:$U,Data!$A:$A,$B23,Data!$C:$C,O$1)=0,"",SUMIFS(Data!$U:$U,Data!$A:$A,$B23,Data!$C:$C,O$1))</f>
        <v>3.8125</v>
      </c>
      <c r="P23" s="31">
        <f>IF(SUMIFS(Data!$U:$U,Data!$A:$A,$B23,Data!$C:$C,P$1)=0,"",SUMIFS(Data!$U:$U,Data!$A:$A,$B23,Data!$C:$C,P$1))</f>
        <v>2.125</v>
      </c>
      <c r="Q23" s="31">
        <f>IF(SUMIFS(Data!$U:$U,Data!$A:$A,$B23,Data!$C:$C,Q$1)=0,"",SUMIFS(Data!$U:$U,Data!$A:$A,$B23,Data!$C:$C,Q$1))</f>
        <v>2.5637499999999998</v>
      </c>
      <c r="R23" s="31">
        <f>VLOOKUP(B23,'#ligaSYR'!$B:$R,17,0)</f>
        <v>4</v>
      </c>
      <c r="S23" s="31">
        <f>SUM(C23:R23)</f>
        <v>43.484249999999996</v>
      </c>
      <c r="T23" s="31">
        <f>SUMIFS(Data!D:D,Data!A:A,B23)</f>
        <v>175</v>
      </c>
    </row>
    <row r="24" spans="1:20" ht="13" x14ac:dyDescent="0.3">
      <c r="A24" s="79">
        <v>23</v>
      </c>
      <c r="B24" s="30" t="s">
        <v>368</v>
      </c>
      <c r="C24" s="31">
        <f>IF(SUMIFS(Data!$U:$U,Data!$A:$A,$B24,Data!$C:$C,C$1)=0,"",SUMIFS(Data!$U:$U,Data!$A:$A,$B24,Data!$C:$C,C$1))</f>
        <v>1.9785714285714286</v>
      </c>
      <c r="D24" s="31">
        <f>IF(SUMIFS(Data!$U:$U,Data!$A:$A,$B24,Data!$C:$C,D$1)=0,"",SUMIFS(Data!$U:$U,Data!$A:$A,$B24,Data!$C:$C,D$1))</f>
        <v>1.7547619047619047</v>
      </c>
      <c r="E24" s="31">
        <f>IF(SUMIFS(Data!$U:$U,Data!$A:$A,$B24,Data!$C:$C,E$1)=0,"",SUMIFS(Data!$U:$U,Data!$A:$A,$B24,Data!$C:$C,E$1))</f>
        <v>2.1875</v>
      </c>
      <c r="F24" s="31">
        <f>IF(SUMIFS(Data!$U:$U,Data!$A:$A,$B24,Data!$C:$C,F$1)=0,"",SUMIFS(Data!$U:$U,Data!$A:$A,$B24,Data!$C:$C,F$1))</f>
        <v>2.1898809523809524</v>
      </c>
      <c r="G24" s="31">
        <f>IF(SUMIFS(Data!$U:$U,Data!$A:$A,$B24,Data!$C:$C,G$1)=0,"",SUMIFS(Data!$U:$U,Data!$A:$A,$B24,Data!$C:$C,G$1))</f>
        <v>3.1190476190476191</v>
      </c>
      <c r="H24" s="31">
        <f>IF(SUMIFS(Data!$U:$U,Data!$A:$A,$B24,Data!$C:$C,H$1)=0,"",SUMIFS(Data!$U:$U,Data!$A:$A,$B24,Data!$C:$C,H$1))</f>
        <v>2.6220238095238093</v>
      </c>
      <c r="I24" s="31" t="str">
        <f>IF(SUMIFS(Data!$U:$U,Data!$A:$A,$B24,Data!$C:$C,I$1)=0,"",SUMIFS(Data!$U:$U,Data!$A:$A,$B24,Data!$C:$C,I$1))</f>
        <v/>
      </c>
      <c r="J24" s="31">
        <f>IF(SUMIFS(Data!$U:$U,Data!$A:$A,$B24,Data!$C:$C,J$1)=0,"",SUMIFS(Data!$U:$U,Data!$A:$A,$B24,Data!$C:$C,J$1))</f>
        <v>2.9898809523809522</v>
      </c>
      <c r="K24" s="31">
        <f>IF(SUMIFS(Data!$U:$U,Data!$A:$A,$B24,Data!$C:$C,K$1)=0,"",SUMIFS(Data!$U:$U,Data!$A:$A,$B24,Data!$C:$C,K$1))</f>
        <v>2.6410714285714283</v>
      </c>
      <c r="L24" s="31">
        <f>IF(SUMIFS(Data!$U:$U,Data!$A:$A,$B24,Data!$C:$C,L$1)=0,"",SUMIFS(Data!$U:$U,Data!$A:$A,$B24,Data!$C:$C,L$1))</f>
        <v>3.875</v>
      </c>
      <c r="M24" s="31">
        <f>IF(SUMIFS(Data!$U:$U,Data!$A:$A,$B24,Data!$C:$C,M$1)=0,"",SUMIFS(Data!$U:$U,Data!$A:$A,$B24,Data!$C:$C,M$1))</f>
        <v>3.3601190476190474</v>
      </c>
      <c r="N24" s="31">
        <f>IF(SUMIFS(Data!$U:$U,Data!$A:$A,$B24,Data!$C:$C,N$1)=0,"",SUMIFS(Data!$U:$U,Data!$A:$A,$B24,Data!$C:$C,N$1))</f>
        <v>2.7386904761904765</v>
      </c>
      <c r="O24" s="31">
        <f>IF(SUMIFS(Data!$U:$U,Data!$A:$A,$B24,Data!$C:$C,O$1)=0,"",SUMIFS(Data!$U:$U,Data!$A:$A,$B24,Data!$C:$C,O$1))</f>
        <v>2.8047619047619046</v>
      </c>
      <c r="P24" s="31">
        <f>IF(SUMIFS(Data!$U:$U,Data!$A:$A,$B24,Data!$C:$C,P$1)=0,"",SUMIFS(Data!$U:$U,Data!$A:$A,$B24,Data!$C:$C,P$1))</f>
        <v>2.4910714285714284</v>
      </c>
      <c r="Q24" s="31">
        <f>IF(SUMIFS(Data!$U:$U,Data!$A:$A,$B24,Data!$C:$C,Q$1)=0,"",SUMIFS(Data!$U:$U,Data!$A:$A,$B24,Data!$C:$C,Q$1))</f>
        <v>3.3303571428571428</v>
      </c>
      <c r="R24" s="31">
        <f>VLOOKUP(B24,'#ligaSYR'!$B:$R,17,0)</f>
        <v>5</v>
      </c>
      <c r="S24" s="31">
        <f>SUM(C24:R24)</f>
        <v>43.082738095238106</v>
      </c>
      <c r="T24" s="31">
        <f>SUMIFS(Data!D:D,Data!A:A,B24)</f>
        <v>122.88999999999999</v>
      </c>
    </row>
    <row r="25" spans="1:20" ht="13" x14ac:dyDescent="0.3">
      <c r="A25" s="79">
        <v>24</v>
      </c>
      <c r="B25" s="30" t="s">
        <v>345</v>
      </c>
      <c r="C25" s="31">
        <f>IF(SUMIFS(Data!$U:$U,Data!$A:$A,$B25,Data!$C:$C,C$1)=0,"",SUMIFS(Data!$U:$U,Data!$A:$A,$B25,Data!$C:$C,C$1))</f>
        <v>1.9381249999999999</v>
      </c>
      <c r="D25" s="31">
        <f>IF(SUMIFS(Data!$U:$U,Data!$A:$A,$B25,Data!$C:$C,D$1)=0,"",SUMIFS(Data!$U:$U,Data!$A:$A,$B25,Data!$C:$C,D$1))</f>
        <v>2.292583333333333</v>
      </c>
      <c r="E25" s="31">
        <f>IF(SUMIFS(Data!$U:$U,Data!$A:$A,$B25,Data!$C:$C,E$1)=0,"",SUMIFS(Data!$U:$U,Data!$A:$A,$B25,Data!$C:$C,E$1))</f>
        <v>3.046875</v>
      </c>
      <c r="F25" s="31">
        <f>IF(SUMIFS(Data!$U:$U,Data!$A:$A,$B25,Data!$C:$C,F$1)=0,"",SUMIFS(Data!$U:$U,Data!$A:$A,$B25,Data!$C:$C,F$1))</f>
        <v>1.8787500000000001</v>
      </c>
      <c r="G25" s="31">
        <f>IF(SUMIFS(Data!$U:$U,Data!$A:$A,$B25,Data!$C:$C,G$1)=0,"",SUMIFS(Data!$U:$U,Data!$A:$A,$B25,Data!$C:$C,G$1))</f>
        <v>2.3142499999999999</v>
      </c>
      <c r="H25" s="31">
        <f>IF(SUMIFS(Data!$U:$U,Data!$A:$A,$B25,Data!$C:$C,H$1)=0,"",SUMIFS(Data!$U:$U,Data!$A:$A,$B25,Data!$C:$C,H$1))</f>
        <v>2.6256249999999999</v>
      </c>
      <c r="I25" s="31">
        <f>IF(SUMIFS(Data!$U:$U,Data!$A:$A,$B25,Data!$C:$C,I$1)=0,"",SUMIFS(Data!$U:$U,Data!$A:$A,$B25,Data!$C:$C,I$1))</f>
        <v>2.375</v>
      </c>
      <c r="J25" s="31">
        <f>IF(SUMIFS(Data!$U:$U,Data!$A:$A,$B25,Data!$C:$C,J$1)=0,"",SUMIFS(Data!$U:$U,Data!$A:$A,$B25,Data!$C:$C,J$1))</f>
        <v>2.9381249999999999</v>
      </c>
      <c r="K25" s="31">
        <f>IF(SUMIFS(Data!$U:$U,Data!$A:$A,$B25,Data!$C:$C,K$1)=0,"",SUMIFS(Data!$U:$U,Data!$A:$A,$B25,Data!$C:$C,K$1))</f>
        <v>3.3</v>
      </c>
      <c r="L25" s="31">
        <f>IF(SUMIFS(Data!$U:$U,Data!$A:$A,$B25,Data!$C:$C,L$1)=0,"",SUMIFS(Data!$U:$U,Data!$A:$A,$B25,Data!$C:$C,L$1))</f>
        <v>1.5</v>
      </c>
      <c r="M25" s="31">
        <f>IF(SUMIFS(Data!$U:$U,Data!$A:$A,$B25,Data!$C:$C,M$1)=0,"",SUMIFS(Data!$U:$U,Data!$A:$A,$B25,Data!$C:$C,M$1))</f>
        <v>2.4169999999999998</v>
      </c>
      <c r="N25" s="31">
        <f>IF(SUMIFS(Data!$U:$U,Data!$A:$A,$B25,Data!$C:$C,N$1)=0,"",SUMIFS(Data!$U:$U,Data!$A:$A,$B25,Data!$C:$C,N$1))</f>
        <v>2.7506249999999999</v>
      </c>
      <c r="O25" s="31">
        <f>IF(SUMIFS(Data!$U:$U,Data!$A:$A,$B25,Data!$C:$C,O$1)=0,"",SUMIFS(Data!$U:$U,Data!$A:$A,$B25,Data!$C:$C,O$1))</f>
        <v>2.9935</v>
      </c>
      <c r="P25" s="31">
        <f>IF(SUMIFS(Data!$U:$U,Data!$A:$A,$B25,Data!$C:$C,P$1)=0,"",SUMIFS(Data!$U:$U,Data!$A:$A,$B25,Data!$C:$C,P$1))</f>
        <v>2.0649999999999999</v>
      </c>
      <c r="Q25" s="31">
        <f>IF(SUMIFS(Data!$U:$U,Data!$A:$A,$B25,Data!$C:$C,Q$1)=0,"",SUMIFS(Data!$U:$U,Data!$A:$A,$B25,Data!$C:$C,Q$1))</f>
        <v>2.5041666666666669</v>
      </c>
      <c r="R25" s="31">
        <f>VLOOKUP(B25,'#ligaSYR'!$B:$R,17,0)</f>
        <v>5</v>
      </c>
      <c r="S25" s="31">
        <f>SUM(C25:R25)</f>
        <v>41.939624999999992</v>
      </c>
      <c r="T25" s="31">
        <f>SUMIFS(Data!D:D,Data!A:A,B25)</f>
        <v>145.96</v>
      </c>
    </row>
    <row r="26" spans="1:20" ht="13" x14ac:dyDescent="0.3">
      <c r="A26" s="79">
        <v>25</v>
      </c>
      <c r="B26" s="30" t="s">
        <v>359</v>
      </c>
      <c r="C26" s="31">
        <f>IF(SUMIFS(Data!$U:$U,Data!$A:$A,$B26,Data!$C:$C,C$1)=0,"",SUMIFS(Data!$U:$U,Data!$A:$A,$B26,Data!$C:$C,C$1))</f>
        <v>2.4119047619047618</v>
      </c>
      <c r="D26" s="31">
        <f>IF(SUMIFS(Data!$U:$U,Data!$A:$A,$B26,Data!$C:$C,D$1)=0,"",SUMIFS(Data!$U:$U,Data!$A:$A,$B26,Data!$C:$C,D$1))</f>
        <v>1.9285714285714286</v>
      </c>
      <c r="E26" s="31">
        <f>IF(SUMIFS(Data!$U:$U,Data!$A:$A,$B26,Data!$C:$C,E$1)=0,"",SUMIFS(Data!$U:$U,Data!$A:$A,$B26,Data!$C:$C,E$1))</f>
        <v>2.1130952380952381</v>
      </c>
      <c r="F26" s="31">
        <f>IF(SUMIFS(Data!$U:$U,Data!$A:$A,$B26,Data!$C:$C,F$1)=0,"",SUMIFS(Data!$U:$U,Data!$A:$A,$B26,Data!$C:$C,F$1))</f>
        <v>2.4702380952380949</v>
      </c>
      <c r="G26" s="31">
        <f>IF(SUMIFS(Data!$U:$U,Data!$A:$A,$B26,Data!$C:$C,G$1)=0,"",SUMIFS(Data!$U:$U,Data!$A:$A,$B26,Data!$C:$C,G$1))</f>
        <v>2.1726190476190474</v>
      </c>
      <c r="H26" s="31">
        <f>IF(SUMIFS(Data!$U:$U,Data!$A:$A,$B26,Data!$C:$C,H$1)=0,"",SUMIFS(Data!$U:$U,Data!$A:$A,$B26,Data!$C:$C,H$1))</f>
        <v>2.9053571428571425</v>
      </c>
      <c r="I26" s="31">
        <f>IF(SUMIFS(Data!$U:$U,Data!$A:$A,$B26,Data!$C:$C,I$1)=0,"",SUMIFS(Data!$U:$U,Data!$A:$A,$B26,Data!$C:$C,I$1))</f>
        <v>2.3345238095238097</v>
      </c>
      <c r="J26" s="31">
        <f>IF(SUMIFS(Data!$U:$U,Data!$A:$A,$B26,Data!$C:$C,J$1)=0,"",SUMIFS(Data!$U:$U,Data!$A:$A,$B26,Data!$C:$C,J$1))</f>
        <v>3.5873333333333335</v>
      </c>
      <c r="K26" s="31">
        <f>IF(SUMIFS(Data!$U:$U,Data!$A:$A,$B26,Data!$C:$C,K$1)=0,"",SUMIFS(Data!$U:$U,Data!$A:$A,$B26,Data!$C:$C,K$1))</f>
        <v>2.8857142857142857</v>
      </c>
      <c r="L26" s="31">
        <f>IF(SUMIFS(Data!$U:$U,Data!$A:$A,$B26,Data!$C:$C,L$1)=0,"",SUMIFS(Data!$U:$U,Data!$A:$A,$B26,Data!$C:$C,L$1))</f>
        <v>4.484</v>
      </c>
      <c r="M26" s="31">
        <f>IF(SUMIFS(Data!$U:$U,Data!$A:$A,$B26,Data!$C:$C,M$1)=0,"",SUMIFS(Data!$U:$U,Data!$A:$A,$B26,Data!$C:$C,M$1))</f>
        <v>1.5</v>
      </c>
      <c r="N26" s="31">
        <f>IF(SUMIFS(Data!$U:$U,Data!$A:$A,$B26,Data!$C:$C,N$1)=0,"",SUMIFS(Data!$U:$U,Data!$A:$A,$B26,Data!$C:$C,N$1))</f>
        <v>1.842857142857143</v>
      </c>
      <c r="O26" s="31">
        <f>IF(SUMIFS(Data!$U:$U,Data!$A:$A,$B26,Data!$C:$C,O$1)=0,"",SUMIFS(Data!$U:$U,Data!$A:$A,$B26,Data!$C:$C,O$1))</f>
        <v>3.069142857142857</v>
      </c>
      <c r="P26" s="31">
        <f>IF(SUMIFS(Data!$U:$U,Data!$A:$A,$B26,Data!$C:$C,P$1)=0,"",SUMIFS(Data!$U:$U,Data!$A:$A,$B26,Data!$C:$C,P$1))</f>
        <v>1.8666666666666667</v>
      </c>
      <c r="Q26" s="31">
        <f>IF(SUMIFS(Data!$U:$U,Data!$A:$A,$B26,Data!$C:$C,Q$1)=0,"",SUMIFS(Data!$U:$U,Data!$A:$A,$B26,Data!$C:$C,Q$1))</f>
        <v>3.3246666666666664</v>
      </c>
      <c r="R26" s="31">
        <f>VLOOKUP(B26,'#ligaSYR'!$B:$R,17,0)</f>
        <v>3</v>
      </c>
      <c r="S26" s="31">
        <f>SUM(C26:R26)</f>
        <v>41.896690476190471</v>
      </c>
      <c r="T26" s="31">
        <f>SUMIFS(Data!D:D,Data!A:A,B26)</f>
        <v>246.10999999999996</v>
      </c>
    </row>
    <row r="27" spans="1:20" ht="13" x14ac:dyDescent="0.3">
      <c r="A27" s="79">
        <v>26</v>
      </c>
      <c r="B27" s="30" t="s">
        <v>336</v>
      </c>
      <c r="C27" s="31">
        <f>IF(SUMIFS(Data!$U:$U,Data!$A:$A,$B27,Data!$C:$C,C$1)=0,"",SUMIFS(Data!$U:$U,Data!$A:$A,$B27,Data!$C:$C,C$1))</f>
        <v>3.2625000000000002</v>
      </c>
      <c r="D27" s="31">
        <f>IF(SUMIFS(Data!$U:$U,Data!$A:$A,$B27,Data!$C:$C,D$1)=0,"",SUMIFS(Data!$U:$U,Data!$A:$A,$B27,Data!$C:$C,D$1))</f>
        <v>2.0625</v>
      </c>
      <c r="E27" s="31">
        <f>IF(SUMIFS(Data!$U:$U,Data!$A:$A,$B27,Data!$C:$C,E$1)=0,"",SUMIFS(Data!$U:$U,Data!$A:$A,$B27,Data!$C:$C,E$1))</f>
        <v>2.0375000000000001</v>
      </c>
      <c r="F27" s="31">
        <f>IF(SUMIFS(Data!$U:$U,Data!$A:$A,$B27,Data!$C:$C,F$1)=0,"",SUMIFS(Data!$U:$U,Data!$A:$A,$B27,Data!$C:$C,F$1))</f>
        <v>3.2625000000000002</v>
      </c>
      <c r="G27" s="31">
        <f>IF(SUMIFS(Data!$U:$U,Data!$A:$A,$B27,Data!$C:$C,G$1)=0,"",SUMIFS(Data!$U:$U,Data!$A:$A,$B27,Data!$C:$C,G$1))</f>
        <v>2.4249999999999998</v>
      </c>
      <c r="H27" s="31">
        <f>IF(SUMIFS(Data!$U:$U,Data!$A:$A,$B27,Data!$C:$C,H$1)=0,"",SUMIFS(Data!$U:$U,Data!$A:$A,$B27,Data!$C:$C,H$1))</f>
        <v>2.2250000000000001</v>
      </c>
      <c r="I27" s="31">
        <f>IF(SUMIFS(Data!$U:$U,Data!$A:$A,$B27,Data!$C:$C,I$1)=0,"",SUMIFS(Data!$U:$U,Data!$A:$A,$B27,Data!$C:$C,I$1))</f>
        <v>3.1</v>
      </c>
      <c r="J27" s="31">
        <f>IF(SUMIFS(Data!$U:$U,Data!$A:$A,$B27,Data!$C:$C,J$1)=0,"",SUMIFS(Data!$U:$U,Data!$A:$A,$B27,Data!$C:$C,J$1))</f>
        <v>2.5499999999999998</v>
      </c>
      <c r="K27" s="31">
        <f>IF(SUMIFS(Data!$U:$U,Data!$A:$A,$B27,Data!$C:$C,K$1)=0,"",SUMIFS(Data!$U:$U,Data!$A:$A,$B27,Data!$C:$C,K$1))</f>
        <v>1.85</v>
      </c>
      <c r="L27" s="31">
        <f>IF(SUMIFS(Data!$U:$U,Data!$A:$A,$B27,Data!$C:$C,L$1)=0,"",SUMIFS(Data!$U:$U,Data!$A:$A,$B27,Data!$C:$C,L$1))</f>
        <v>3.2</v>
      </c>
      <c r="M27" s="31">
        <f>IF(SUMIFS(Data!$U:$U,Data!$A:$A,$B27,Data!$C:$C,M$1)=0,"",SUMIFS(Data!$U:$U,Data!$A:$A,$B27,Data!$C:$C,M$1))</f>
        <v>2.65</v>
      </c>
      <c r="N27" s="31">
        <f>IF(SUMIFS(Data!$U:$U,Data!$A:$A,$B27,Data!$C:$C,N$1)=0,"",SUMIFS(Data!$U:$U,Data!$A:$A,$B27,Data!$C:$C,N$1))</f>
        <v>2.3624999999999998</v>
      </c>
      <c r="O27" s="31">
        <f>IF(SUMIFS(Data!$U:$U,Data!$A:$A,$B27,Data!$C:$C,O$1)=0,"",SUMIFS(Data!$U:$U,Data!$A:$A,$B27,Data!$C:$C,O$1))</f>
        <v>3.125</v>
      </c>
      <c r="P27" s="31" t="str">
        <f>IF(SUMIFS(Data!$U:$U,Data!$A:$A,$B27,Data!$C:$C,P$1)=0,"",SUMIFS(Data!$U:$U,Data!$A:$A,$B27,Data!$C:$C,P$1))</f>
        <v/>
      </c>
      <c r="Q27" s="31">
        <f>IF(SUMIFS(Data!$U:$U,Data!$A:$A,$B27,Data!$C:$C,Q$1)=0,"",SUMIFS(Data!$U:$U,Data!$A:$A,$B27,Data!$C:$C,Q$1))</f>
        <v>2.2625000000000002</v>
      </c>
      <c r="R27" s="31">
        <f>VLOOKUP(B27,'#ligaSYR'!$B:$R,17,0)</f>
        <v>5</v>
      </c>
      <c r="S27" s="31">
        <f>SUM(C27:R27)</f>
        <v>41.375</v>
      </c>
      <c r="T27" s="31">
        <f>SUMIFS(Data!D:D,Data!A:A,B27)</f>
        <v>354.73999999999995</v>
      </c>
    </row>
    <row r="28" spans="1:20" ht="13" x14ac:dyDescent="0.3">
      <c r="A28" s="79">
        <v>27</v>
      </c>
      <c r="B28" s="30" t="s">
        <v>355</v>
      </c>
      <c r="C28" s="31">
        <f>IF(SUMIFS(Data!$U:$U,Data!$A:$A,$B28,Data!$C:$C,C$1)=0,"",SUMIFS(Data!$U:$U,Data!$A:$A,$B28,Data!$C:$C,C$1))</f>
        <v>2.3337500000000002</v>
      </c>
      <c r="D28" s="31">
        <f>IF(SUMIFS(Data!$U:$U,Data!$A:$A,$B28,Data!$C:$C,D$1)=0,"",SUMIFS(Data!$U:$U,Data!$A:$A,$B28,Data!$C:$C,D$1))</f>
        <v>1.5562499999999999</v>
      </c>
      <c r="E28" s="31">
        <f>IF(SUMIFS(Data!$U:$U,Data!$A:$A,$B28,Data!$C:$C,E$1)=0,"",SUMIFS(Data!$U:$U,Data!$A:$A,$B28,Data!$C:$C,E$1))</f>
        <v>2.6225000000000001</v>
      </c>
      <c r="F28" s="31">
        <f>IF(SUMIFS(Data!$U:$U,Data!$A:$A,$B28,Data!$C:$C,F$1)=0,"",SUMIFS(Data!$U:$U,Data!$A:$A,$B28,Data!$C:$C,F$1))</f>
        <v>2.75875</v>
      </c>
      <c r="G28" s="31">
        <f>IF(SUMIFS(Data!$U:$U,Data!$A:$A,$B28,Data!$C:$C,G$1)=0,"",SUMIFS(Data!$U:$U,Data!$A:$A,$B28,Data!$C:$C,G$1))</f>
        <v>2.6262499999999998</v>
      </c>
      <c r="H28" s="31">
        <f>IF(SUMIFS(Data!$U:$U,Data!$A:$A,$B28,Data!$C:$C,H$1)=0,"",SUMIFS(Data!$U:$U,Data!$A:$A,$B28,Data!$C:$C,H$1))</f>
        <v>2.7662499999999999</v>
      </c>
      <c r="I28" s="31">
        <f>IF(SUMIFS(Data!$U:$U,Data!$A:$A,$B28,Data!$C:$C,I$1)=0,"",SUMIFS(Data!$U:$U,Data!$A:$A,$B28,Data!$C:$C,I$1))</f>
        <v>3.5</v>
      </c>
      <c r="J28" s="31">
        <f>IF(SUMIFS(Data!$U:$U,Data!$A:$A,$B28,Data!$C:$C,J$1)=0,"",SUMIFS(Data!$U:$U,Data!$A:$A,$B28,Data!$C:$C,J$1))</f>
        <v>1.9381249999999999</v>
      </c>
      <c r="K28" s="31">
        <f>IF(SUMIFS(Data!$U:$U,Data!$A:$A,$B28,Data!$C:$C,K$1)=0,"",SUMIFS(Data!$U:$U,Data!$A:$A,$B28,Data!$C:$C,K$1))</f>
        <v>2.4587500000000002</v>
      </c>
      <c r="L28" s="31">
        <f>IF(SUMIFS(Data!$U:$U,Data!$A:$A,$B28,Data!$C:$C,L$1)=0,"",SUMIFS(Data!$U:$U,Data!$A:$A,$B28,Data!$C:$C,L$1))</f>
        <v>1.8879999999999999</v>
      </c>
      <c r="M28" s="31">
        <f>IF(SUMIFS(Data!$U:$U,Data!$A:$A,$B28,Data!$C:$C,M$1)=0,"",SUMIFS(Data!$U:$U,Data!$A:$A,$B28,Data!$C:$C,M$1))</f>
        <v>2.6425000000000001</v>
      </c>
      <c r="N28" s="31">
        <f>IF(SUMIFS(Data!$U:$U,Data!$A:$A,$B28,Data!$C:$C,N$1)=0,"",SUMIFS(Data!$U:$U,Data!$A:$A,$B28,Data!$C:$C,N$1))</f>
        <v>2.1225000000000001</v>
      </c>
      <c r="O28" s="31">
        <f>IF(SUMIFS(Data!$U:$U,Data!$A:$A,$B28,Data!$C:$C,O$1)=0,"",SUMIFS(Data!$U:$U,Data!$A:$A,$B28,Data!$C:$C,O$1))</f>
        <v>2.3712499999999999</v>
      </c>
      <c r="P28" s="31">
        <f>IF(SUMIFS(Data!$U:$U,Data!$A:$A,$B28,Data!$C:$C,P$1)=0,"",SUMIFS(Data!$U:$U,Data!$A:$A,$B28,Data!$C:$C,P$1))</f>
        <v>2.42625</v>
      </c>
      <c r="Q28" s="31">
        <f>IF(SUMIFS(Data!$U:$U,Data!$A:$A,$B28,Data!$C:$C,Q$1)=0,"",SUMIFS(Data!$U:$U,Data!$A:$A,$B28,Data!$C:$C,Q$1))</f>
        <v>1.93875</v>
      </c>
      <c r="R28" s="31">
        <f>VLOOKUP(B28,'#ligaSYR'!$B:$R,17,0)</f>
        <v>5</v>
      </c>
      <c r="S28" s="31">
        <f>SUM(C28:R28)</f>
        <v>40.949874999999999</v>
      </c>
      <c r="T28" s="31">
        <f>SUMIFS(Data!D:D,Data!A:A,B28)</f>
        <v>118.7</v>
      </c>
    </row>
    <row r="29" spans="1:20" ht="13" x14ac:dyDescent="0.3">
      <c r="A29" s="79">
        <v>28</v>
      </c>
      <c r="B29" s="30" t="s">
        <v>343</v>
      </c>
      <c r="C29" s="31">
        <f>IF(SUMIFS(Data!$U:$U,Data!$A:$A,$B29,Data!$C:$C,C$1)=0,"",SUMIFS(Data!$U:$U,Data!$A:$A,$B29,Data!$C:$C,C$1))</f>
        <v>2.7357142857142858</v>
      </c>
      <c r="D29" s="31">
        <f>IF(SUMIFS(Data!$U:$U,Data!$A:$A,$B29,Data!$C:$C,D$1)=0,"",SUMIFS(Data!$U:$U,Data!$A:$A,$B29,Data!$C:$C,D$1))</f>
        <v>4.125</v>
      </c>
      <c r="E29" s="31">
        <f>IF(SUMIFS(Data!$U:$U,Data!$A:$A,$B29,Data!$C:$C,E$1)=0,"",SUMIFS(Data!$U:$U,Data!$A:$A,$B29,Data!$C:$C,E$1))</f>
        <v>4.0566666666666666</v>
      </c>
      <c r="F29" s="31">
        <f>IF(SUMIFS(Data!$U:$U,Data!$A:$A,$B29,Data!$C:$C,F$1)=0,"",SUMIFS(Data!$U:$U,Data!$A:$A,$B29,Data!$C:$C,F$1))</f>
        <v>4.1875</v>
      </c>
      <c r="G29" s="31">
        <f>IF(SUMIFS(Data!$U:$U,Data!$A:$A,$B29,Data!$C:$C,G$1)=0,"",SUMIFS(Data!$U:$U,Data!$A:$A,$B29,Data!$C:$C,G$1))</f>
        <v>3.7876904761904759</v>
      </c>
      <c r="H29" s="31">
        <f>IF(SUMIFS(Data!$U:$U,Data!$A:$A,$B29,Data!$C:$C,H$1)=0,"",SUMIFS(Data!$U:$U,Data!$A:$A,$B29,Data!$C:$C,H$1))</f>
        <v>3.4708333333333332</v>
      </c>
      <c r="I29" s="31">
        <f>IF(SUMIFS(Data!$U:$U,Data!$A:$A,$B29,Data!$C:$C,I$1)=0,"",SUMIFS(Data!$U:$U,Data!$A:$A,$B29,Data!$C:$C,I$1))</f>
        <v>4.4948333333333332</v>
      </c>
      <c r="J29" s="31">
        <f>IF(SUMIFS(Data!$U:$U,Data!$A:$A,$B29,Data!$C:$C,J$1)=0,"",SUMIFS(Data!$U:$U,Data!$A:$A,$B29,Data!$C:$C,J$1))</f>
        <v>3.7202380952380953</v>
      </c>
      <c r="K29" s="31">
        <f>IF(SUMIFS(Data!$U:$U,Data!$A:$A,$B29,Data!$C:$C,K$1)=0,"",SUMIFS(Data!$U:$U,Data!$A:$A,$B29,Data!$C:$C,K$1))</f>
        <v>3.4723809523809521</v>
      </c>
      <c r="L29" s="31" t="str">
        <f>IF(SUMIFS(Data!$U:$U,Data!$A:$A,$B29,Data!$C:$C,L$1)=0,"",SUMIFS(Data!$U:$U,Data!$A:$A,$B29,Data!$C:$C,L$1))</f>
        <v/>
      </c>
      <c r="M29" s="31" t="str">
        <f>IF(SUMIFS(Data!$U:$U,Data!$A:$A,$B29,Data!$C:$C,M$1)=0,"",SUMIFS(Data!$U:$U,Data!$A:$A,$B29,Data!$C:$C,M$1))</f>
        <v/>
      </c>
      <c r="N29" s="31" t="str">
        <f>IF(SUMIFS(Data!$U:$U,Data!$A:$A,$B29,Data!$C:$C,N$1)=0,"",SUMIFS(Data!$U:$U,Data!$A:$A,$B29,Data!$C:$C,N$1))</f>
        <v/>
      </c>
      <c r="O29" s="31" t="str">
        <f>IF(SUMIFS(Data!$U:$U,Data!$A:$A,$B29,Data!$C:$C,O$1)=0,"",SUMIFS(Data!$U:$U,Data!$A:$A,$B29,Data!$C:$C,O$1))</f>
        <v/>
      </c>
      <c r="P29" s="31" t="str">
        <f>IF(SUMIFS(Data!$U:$U,Data!$A:$A,$B29,Data!$C:$C,P$1)=0,"",SUMIFS(Data!$U:$U,Data!$A:$A,$B29,Data!$C:$C,P$1))</f>
        <v/>
      </c>
      <c r="Q29" s="31" t="str">
        <f>IF(SUMIFS(Data!$U:$U,Data!$A:$A,$B29,Data!$C:$C,Q$1)=0,"",SUMIFS(Data!$U:$U,Data!$A:$A,$B29,Data!$C:$C,Q$1))</f>
        <v/>
      </c>
      <c r="R29" s="31">
        <f>VLOOKUP(B29,'#ligaSYR'!$B:$R,17,0)</f>
        <v>2</v>
      </c>
      <c r="S29" s="31">
        <f>SUM(C29:R29)</f>
        <v>36.05085714285714</v>
      </c>
      <c r="T29" s="31">
        <f>SUMIFS(Data!D:D,Data!A:A,B29)</f>
        <v>150.22</v>
      </c>
    </row>
    <row r="30" spans="1:20" ht="13" x14ac:dyDescent="0.3">
      <c r="A30" s="79">
        <v>29</v>
      </c>
      <c r="B30" s="30" t="s">
        <v>369</v>
      </c>
      <c r="C30" s="31">
        <f>IF(SUMIFS(Data!$U:$U,Data!$A:$A,$B30,Data!$C:$C,C$1)=0,"",SUMIFS(Data!$U:$U,Data!$A:$A,$B30,Data!$C:$C,C$1))</f>
        <v>2.2831666666666663</v>
      </c>
      <c r="D30" s="31">
        <f>IF(SUMIFS(Data!$U:$U,Data!$A:$A,$B30,Data!$C:$C,D$1)=0,"",SUMIFS(Data!$U:$U,Data!$A:$A,$B30,Data!$C:$C,D$1))</f>
        <v>3.5476904761904762</v>
      </c>
      <c r="E30" s="31">
        <f>IF(SUMIFS(Data!$U:$U,Data!$A:$A,$B30,Data!$C:$C,E$1)=0,"",SUMIFS(Data!$U:$U,Data!$A:$A,$B30,Data!$C:$C,E$1))</f>
        <v>3.2090952380952378</v>
      </c>
      <c r="F30" s="31">
        <f>IF(SUMIFS(Data!$U:$U,Data!$A:$A,$B30,Data!$C:$C,F$1)=0,"",SUMIFS(Data!$U:$U,Data!$A:$A,$B30,Data!$C:$C,F$1))</f>
        <v>1.5</v>
      </c>
      <c r="G30" s="31" t="str">
        <f>IF(SUMIFS(Data!$U:$U,Data!$A:$A,$B30,Data!$C:$C,G$1)=0,"",SUMIFS(Data!$U:$U,Data!$A:$A,$B30,Data!$C:$C,G$1))</f>
        <v/>
      </c>
      <c r="H30" s="31">
        <f>IF(SUMIFS(Data!$U:$U,Data!$A:$A,$B30,Data!$C:$C,H$1)=0,"",SUMIFS(Data!$U:$U,Data!$A:$A,$B30,Data!$C:$C,H$1))</f>
        <v>3.0826666666666664</v>
      </c>
      <c r="I30" s="31">
        <f>IF(SUMIFS(Data!$U:$U,Data!$A:$A,$B30,Data!$C:$C,I$1)=0,"",SUMIFS(Data!$U:$U,Data!$A:$A,$B30,Data!$C:$C,I$1))</f>
        <v>2.7184523809523808</v>
      </c>
      <c r="J30" s="31">
        <f>IF(SUMIFS(Data!$U:$U,Data!$A:$A,$B30,Data!$C:$C,J$1)=0,"",SUMIFS(Data!$U:$U,Data!$A:$A,$B30,Data!$C:$C,J$1))</f>
        <v>2.9739761904761908</v>
      </c>
      <c r="K30" s="31">
        <f>IF(SUMIFS(Data!$U:$U,Data!$A:$A,$B30,Data!$C:$C,K$1)=0,"",SUMIFS(Data!$U:$U,Data!$A:$A,$B30,Data!$C:$C,K$1))</f>
        <v>1.950595238095238</v>
      </c>
      <c r="L30" s="31">
        <f>IF(SUMIFS(Data!$U:$U,Data!$A:$A,$B30,Data!$C:$C,L$1)=0,"",SUMIFS(Data!$U:$U,Data!$A:$A,$B30,Data!$C:$C,L$1))</f>
        <v>3.8716666666666666</v>
      </c>
      <c r="M30" s="31">
        <f>IF(SUMIFS(Data!$U:$U,Data!$A:$A,$B30,Data!$C:$C,M$1)=0,"",SUMIFS(Data!$U:$U,Data!$A:$A,$B30,Data!$C:$C,M$1))</f>
        <v>1.4255952380952381</v>
      </c>
      <c r="N30" s="31">
        <f>IF(SUMIFS(Data!$U:$U,Data!$A:$A,$B30,Data!$C:$C,N$1)=0,"",SUMIFS(Data!$U:$U,Data!$A:$A,$B30,Data!$C:$C,N$1))</f>
        <v>3.8166666666666669</v>
      </c>
      <c r="O30" s="31" t="str">
        <f>IF(SUMIFS(Data!$U:$U,Data!$A:$A,$B30,Data!$C:$C,O$1)=0,"",SUMIFS(Data!$U:$U,Data!$A:$A,$B30,Data!$C:$C,O$1))</f>
        <v/>
      </c>
      <c r="P30" s="31" t="str">
        <f>IF(SUMIFS(Data!$U:$U,Data!$A:$A,$B30,Data!$C:$C,P$1)=0,"",SUMIFS(Data!$U:$U,Data!$A:$A,$B30,Data!$C:$C,P$1))</f>
        <v/>
      </c>
      <c r="Q30" s="31">
        <f>IF(SUMIFS(Data!$U:$U,Data!$A:$A,$B30,Data!$C:$C,Q$1)=0,"",SUMIFS(Data!$U:$U,Data!$A:$A,$B30,Data!$C:$C,Q$1))</f>
        <v>3.625</v>
      </c>
      <c r="R30" s="31">
        <f>VLOOKUP(B30,'#ligaSYR'!$B:$R,17,0)</f>
        <v>0</v>
      </c>
      <c r="S30" s="31">
        <f>SUM(C30:R30)</f>
        <v>34.004571428571424</v>
      </c>
      <c r="T30" s="31">
        <f>SUMIFS(Data!D:D,Data!A:A,B30)</f>
        <v>201.25</v>
      </c>
    </row>
    <row r="31" spans="1:20" ht="13" x14ac:dyDescent="0.3">
      <c r="A31" s="79">
        <v>30</v>
      </c>
      <c r="B31" s="30" t="s">
        <v>430</v>
      </c>
      <c r="C31" s="31" t="str">
        <f>IF(SUMIFS(Data!$U:$U,Data!$A:$A,$B31,Data!$C:$C,C$1)=0,"",SUMIFS(Data!$U:$U,Data!$A:$A,$B31,Data!$C:$C,C$1))</f>
        <v/>
      </c>
      <c r="D31" s="31" t="str">
        <f>IF(SUMIFS(Data!$U:$U,Data!$A:$A,$B31,Data!$C:$C,D$1)=0,"",SUMIFS(Data!$U:$U,Data!$A:$A,$B31,Data!$C:$C,D$1))</f>
        <v/>
      </c>
      <c r="E31" s="31" t="str">
        <f>IF(SUMIFS(Data!$U:$U,Data!$A:$A,$B31,Data!$C:$C,E$1)=0,"",SUMIFS(Data!$U:$U,Data!$A:$A,$B31,Data!$C:$C,E$1))</f>
        <v/>
      </c>
      <c r="F31" s="31" t="str">
        <f>IF(SUMIFS(Data!$U:$U,Data!$A:$A,$B31,Data!$C:$C,F$1)=0,"",SUMIFS(Data!$U:$U,Data!$A:$A,$B31,Data!$C:$C,F$1))</f>
        <v/>
      </c>
      <c r="G31" s="31">
        <f>IF(SUMIFS(Data!$U:$U,Data!$A:$A,$B31,Data!$C:$C,G$1)=0,"",SUMIFS(Data!$U:$U,Data!$A:$A,$B31,Data!$C:$C,G$1))</f>
        <v>2.2261904761904763</v>
      </c>
      <c r="H31" s="31">
        <f>IF(SUMIFS(Data!$U:$U,Data!$A:$A,$B31,Data!$C:$C,H$1)=0,"",SUMIFS(Data!$U:$U,Data!$A:$A,$B31,Data!$C:$C,H$1))</f>
        <v>2.0892857142857144</v>
      </c>
      <c r="I31" s="31">
        <f>IF(SUMIFS(Data!$U:$U,Data!$A:$A,$B31,Data!$C:$C,I$1)=0,"",SUMIFS(Data!$U:$U,Data!$A:$A,$B31,Data!$C:$C,I$1))</f>
        <v>2.4910714285714288</v>
      </c>
      <c r="J31" s="31">
        <f>IF(SUMIFS(Data!$U:$U,Data!$A:$A,$B31,Data!$C:$C,J$1)=0,"",SUMIFS(Data!$U:$U,Data!$A:$A,$B31,Data!$C:$C,J$1))</f>
        <v>2.333333333333333</v>
      </c>
      <c r="K31" s="31">
        <f>IF(SUMIFS(Data!$U:$U,Data!$A:$A,$B31,Data!$C:$C,K$1)=0,"",SUMIFS(Data!$U:$U,Data!$A:$A,$B31,Data!$C:$C,K$1))</f>
        <v>2.5757142857142861</v>
      </c>
      <c r="L31" s="31">
        <f>IF(SUMIFS(Data!$U:$U,Data!$A:$A,$B31,Data!$C:$C,L$1)=0,"",SUMIFS(Data!$U:$U,Data!$A:$A,$B31,Data!$C:$C,L$1))</f>
        <v>3.1537619047619048</v>
      </c>
      <c r="M31" s="31">
        <f>IF(SUMIFS(Data!$U:$U,Data!$A:$A,$B31,Data!$C:$C,M$1)=0,"",SUMIFS(Data!$U:$U,Data!$A:$A,$B31,Data!$C:$C,M$1))</f>
        <v>3.2019761904761905</v>
      </c>
      <c r="N31" s="31">
        <f>IF(SUMIFS(Data!$U:$U,Data!$A:$A,$B31,Data!$C:$C,N$1)=0,"",SUMIFS(Data!$U:$U,Data!$A:$A,$B31,Data!$C:$C,N$1))</f>
        <v>2.3022857142857145</v>
      </c>
      <c r="O31" s="31">
        <f>IF(SUMIFS(Data!$U:$U,Data!$A:$A,$B31,Data!$C:$C,O$1)=0,"",SUMIFS(Data!$U:$U,Data!$A:$A,$B31,Data!$C:$C,O$1))</f>
        <v>3.5178571428571428</v>
      </c>
      <c r="P31" s="31">
        <f>IF(SUMIFS(Data!$U:$U,Data!$A:$A,$B31,Data!$C:$C,P$1)=0,"",SUMIFS(Data!$U:$U,Data!$A:$A,$B31,Data!$C:$C,P$1))</f>
        <v>2.0576428571428576</v>
      </c>
      <c r="Q31" s="31">
        <f>IF(SUMIFS(Data!$U:$U,Data!$A:$A,$B31,Data!$C:$C,Q$1)=0,"",SUMIFS(Data!$U:$U,Data!$A:$A,$B31,Data!$C:$C,Q$1))</f>
        <v>2.8284523809523807</v>
      </c>
      <c r="R31" s="31">
        <f>VLOOKUP(B31,'#ligaSYR'!$B:$R,17,0)</f>
        <v>3</v>
      </c>
      <c r="S31" s="31">
        <f>SUM(C31:R31)</f>
        <v>31.777571428571431</v>
      </c>
      <c r="T31" s="31">
        <f>SUMIFS(Data!D:D,Data!A:A,B31)</f>
        <v>144.12</v>
      </c>
    </row>
    <row r="32" spans="1:20" ht="13" x14ac:dyDescent="0.3">
      <c r="A32" s="79">
        <v>31</v>
      </c>
      <c r="B32" s="30" t="s">
        <v>431</v>
      </c>
      <c r="C32" s="31" t="str">
        <f>IF(SUMIFS(Data!$U:$U,Data!$A:$A,$B32,Data!$C:$C,C$1)=0,"",SUMIFS(Data!$U:$U,Data!$A:$A,$B32,Data!$C:$C,C$1))</f>
        <v/>
      </c>
      <c r="D32" s="31" t="str">
        <f>IF(SUMIFS(Data!$U:$U,Data!$A:$A,$B32,Data!$C:$C,D$1)=0,"",SUMIFS(Data!$U:$U,Data!$A:$A,$B32,Data!$C:$C,D$1))</f>
        <v/>
      </c>
      <c r="E32" s="31" t="str">
        <f>IF(SUMIFS(Data!$U:$U,Data!$A:$A,$B32,Data!$C:$C,E$1)=0,"",SUMIFS(Data!$U:$U,Data!$A:$A,$B32,Data!$C:$C,E$1))</f>
        <v/>
      </c>
      <c r="F32" s="31" t="str">
        <f>IF(SUMIFS(Data!$U:$U,Data!$A:$A,$B32,Data!$C:$C,F$1)=0,"",SUMIFS(Data!$U:$U,Data!$A:$A,$B32,Data!$C:$C,F$1))</f>
        <v/>
      </c>
      <c r="G32" s="31">
        <f>IF(SUMIFS(Data!$U:$U,Data!$A:$A,$B32,Data!$C:$C,G$1)=0,"",SUMIFS(Data!$U:$U,Data!$A:$A,$B32,Data!$C:$C,G$1))</f>
        <v>2.15</v>
      </c>
      <c r="H32" s="31">
        <f>IF(SUMIFS(Data!$U:$U,Data!$A:$A,$B32,Data!$C:$C,H$1)=0,"",SUMIFS(Data!$U:$U,Data!$A:$A,$B32,Data!$C:$C,H$1))</f>
        <v>2.6993749999999999</v>
      </c>
      <c r="I32" s="31">
        <f>IF(SUMIFS(Data!$U:$U,Data!$A:$A,$B32,Data!$C:$C,I$1)=0,"",SUMIFS(Data!$U:$U,Data!$A:$A,$B32,Data!$C:$C,I$1))</f>
        <v>3.4394166666666668</v>
      </c>
      <c r="J32" s="31">
        <f>IF(SUMIFS(Data!$U:$U,Data!$A:$A,$B32,Data!$C:$C,J$1)=0,"",SUMIFS(Data!$U:$U,Data!$A:$A,$B32,Data!$C:$C,J$1))</f>
        <v>2.4659166666666668</v>
      </c>
      <c r="K32" s="31">
        <f>IF(SUMIFS(Data!$U:$U,Data!$A:$A,$B32,Data!$C:$C,K$1)=0,"",SUMIFS(Data!$U:$U,Data!$A:$A,$B32,Data!$C:$C,K$1))</f>
        <v>2.5887499999999997</v>
      </c>
      <c r="L32" s="31">
        <f>IF(SUMIFS(Data!$U:$U,Data!$A:$A,$B32,Data!$C:$C,L$1)=0,"",SUMIFS(Data!$U:$U,Data!$A:$A,$B32,Data!$C:$C,L$1))</f>
        <v>3.7124999999999999</v>
      </c>
      <c r="M32" s="31">
        <f>IF(SUMIFS(Data!$U:$U,Data!$A:$A,$B32,Data!$C:$C,M$1)=0,"",SUMIFS(Data!$U:$U,Data!$A:$A,$B32,Data!$C:$C,M$1))</f>
        <v>2.0643750000000001</v>
      </c>
      <c r="N32" s="31">
        <f>IF(SUMIFS(Data!$U:$U,Data!$A:$A,$B32,Data!$C:$C,N$1)=0,"",SUMIFS(Data!$U:$U,Data!$A:$A,$B32,Data!$C:$C,N$1))</f>
        <v>3.0187499999999998</v>
      </c>
      <c r="O32" s="31">
        <f>IF(SUMIFS(Data!$U:$U,Data!$A:$A,$B32,Data!$C:$C,O$1)=0,"",SUMIFS(Data!$U:$U,Data!$A:$A,$B32,Data!$C:$C,O$1))</f>
        <v>2.5733333333333333</v>
      </c>
      <c r="P32" s="31">
        <f>IF(SUMIFS(Data!$U:$U,Data!$A:$A,$B32,Data!$C:$C,P$1)=0,"",SUMIFS(Data!$U:$U,Data!$A:$A,$B32,Data!$C:$C,P$1))</f>
        <v>2.4</v>
      </c>
      <c r="Q32" s="31">
        <f>IF(SUMIFS(Data!$U:$U,Data!$A:$A,$B32,Data!$C:$C,Q$1)=0,"",SUMIFS(Data!$U:$U,Data!$A:$A,$B32,Data!$C:$C,Q$1))</f>
        <v>2.6599999999999997</v>
      </c>
      <c r="R32" s="31">
        <f>VLOOKUP(B32,'#ligaSYR'!$B:$R,17,0)</f>
        <v>2</v>
      </c>
      <c r="S32" s="31">
        <f>SUM(C32:R32)</f>
        <v>31.772416666666668</v>
      </c>
      <c r="T32" s="31">
        <f>SUMIFS(Data!D:D,Data!A:A,B32)</f>
        <v>94.56</v>
      </c>
    </row>
    <row r="33" spans="1:20" ht="13" x14ac:dyDescent="0.3">
      <c r="A33" s="79">
        <v>32</v>
      </c>
      <c r="B33" s="30" t="s">
        <v>383</v>
      </c>
      <c r="C33" s="31" t="str">
        <f>IF(SUMIFS(Data!$U:$U,Data!$A:$A,$B33,Data!$C:$C,C$1)=0,"",SUMIFS(Data!$U:$U,Data!$A:$A,$B33,Data!$C:$C,C$1))</f>
        <v/>
      </c>
      <c r="D33" s="31">
        <f>IF(SUMIFS(Data!$U:$U,Data!$A:$A,$B33,Data!$C:$C,D$1)=0,"",SUMIFS(Data!$U:$U,Data!$A:$A,$B33,Data!$C:$C,D$1))</f>
        <v>2.36</v>
      </c>
      <c r="E33" s="31">
        <f>IF(SUMIFS(Data!$U:$U,Data!$A:$A,$B33,Data!$C:$C,E$1)=0,"",SUMIFS(Data!$U:$U,Data!$A:$A,$B33,Data!$C:$C,E$1))</f>
        <v>2.5362499999999999</v>
      </c>
      <c r="F33" s="31">
        <f>IF(SUMIFS(Data!$U:$U,Data!$A:$A,$B33,Data!$C:$C,F$1)=0,"",SUMIFS(Data!$U:$U,Data!$A:$A,$B33,Data!$C:$C,F$1))</f>
        <v>1.5</v>
      </c>
      <c r="G33" s="31">
        <f>IF(SUMIFS(Data!$U:$U,Data!$A:$A,$B33,Data!$C:$C,G$1)=0,"",SUMIFS(Data!$U:$U,Data!$A:$A,$B33,Data!$C:$C,G$1))</f>
        <v>1.6875</v>
      </c>
      <c r="H33" s="31">
        <f>IF(SUMIFS(Data!$U:$U,Data!$A:$A,$B33,Data!$C:$C,H$1)=0,"",SUMIFS(Data!$U:$U,Data!$A:$A,$B33,Data!$C:$C,H$1))</f>
        <v>1.940625</v>
      </c>
      <c r="I33" s="31">
        <f>IF(SUMIFS(Data!$U:$U,Data!$A:$A,$B33,Data!$C:$C,I$1)=0,"",SUMIFS(Data!$U:$U,Data!$A:$A,$B33,Data!$C:$C,I$1))</f>
        <v>2.0637499999999998</v>
      </c>
      <c r="J33" s="31">
        <f>IF(SUMIFS(Data!$U:$U,Data!$A:$A,$B33,Data!$C:$C,J$1)=0,"",SUMIFS(Data!$U:$U,Data!$A:$A,$B33,Data!$C:$C,J$1))</f>
        <v>2.5825</v>
      </c>
      <c r="K33" s="31">
        <f>IF(SUMIFS(Data!$U:$U,Data!$A:$A,$B33,Data!$C:$C,K$1)=0,"",SUMIFS(Data!$U:$U,Data!$A:$A,$B33,Data!$C:$C,K$1))</f>
        <v>2.3149999999999999</v>
      </c>
      <c r="L33" s="31">
        <f>IF(SUMIFS(Data!$U:$U,Data!$A:$A,$B33,Data!$C:$C,L$1)=0,"",SUMIFS(Data!$U:$U,Data!$A:$A,$B33,Data!$C:$C,L$1))</f>
        <v>3.411</v>
      </c>
      <c r="M33" s="31">
        <f>IF(SUMIFS(Data!$U:$U,Data!$A:$A,$B33,Data!$C:$C,M$1)=0,"",SUMIFS(Data!$U:$U,Data!$A:$A,$B33,Data!$C:$C,M$1))</f>
        <v>2.69</v>
      </c>
      <c r="N33" s="31">
        <f>IF(SUMIFS(Data!$U:$U,Data!$A:$A,$B33,Data!$C:$C,N$1)=0,"",SUMIFS(Data!$U:$U,Data!$A:$A,$B33,Data!$C:$C,N$1))</f>
        <v>1.5</v>
      </c>
      <c r="O33" s="31" t="str">
        <f>IF(SUMIFS(Data!$U:$U,Data!$A:$A,$B33,Data!$C:$C,O$1)=0,"",SUMIFS(Data!$U:$U,Data!$A:$A,$B33,Data!$C:$C,O$1))</f>
        <v/>
      </c>
      <c r="P33" s="31">
        <f>IF(SUMIFS(Data!$U:$U,Data!$A:$A,$B33,Data!$C:$C,P$1)=0,"",SUMIFS(Data!$U:$U,Data!$A:$A,$B33,Data!$C:$C,P$1))</f>
        <v>1.5631249999999999</v>
      </c>
      <c r="Q33" s="31">
        <f>IF(SUMIFS(Data!$U:$U,Data!$A:$A,$B33,Data!$C:$C,Q$1)=0,"",SUMIFS(Data!$U:$U,Data!$A:$A,$B33,Data!$C:$C,Q$1))</f>
        <v>1.3462499999999999</v>
      </c>
      <c r="R33" s="31">
        <f>VLOOKUP(B33,'#ligaSYR'!$B:$R,17,0)</f>
        <v>4</v>
      </c>
      <c r="S33" s="31">
        <f>SUM(C33:R33)</f>
        <v>31.496000000000006</v>
      </c>
      <c r="T33" s="31">
        <f>SUMIFS(Data!D:D,Data!A:A,B33)</f>
        <v>138.20000000000002</v>
      </c>
    </row>
    <row r="34" spans="1:20" ht="13" x14ac:dyDescent="0.3">
      <c r="A34" s="79">
        <v>33</v>
      </c>
      <c r="B34" s="30" t="s">
        <v>448</v>
      </c>
      <c r="C34" s="31" t="str">
        <f>IF(SUMIFS(Data!$U:$U,Data!$A:$A,$B34,Data!$C:$C,C$1)=0,"",SUMIFS(Data!$U:$U,Data!$A:$A,$B34,Data!$C:$C,C$1))</f>
        <v/>
      </c>
      <c r="D34" s="31" t="str">
        <f>IF(SUMIFS(Data!$U:$U,Data!$A:$A,$B34,Data!$C:$C,D$1)=0,"",SUMIFS(Data!$U:$U,Data!$A:$A,$B34,Data!$C:$C,D$1))</f>
        <v/>
      </c>
      <c r="E34" s="31" t="str">
        <f>IF(SUMIFS(Data!$U:$U,Data!$A:$A,$B34,Data!$C:$C,E$1)=0,"",SUMIFS(Data!$U:$U,Data!$A:$A,$B34,Data!$C:$C,E$1))</f>
        <v/>
      </c>
      <c r="F34" s="31" t="str">
        <f>IF(SUMIFS(Data!$U:$U,Data!$A:$A,$B34,Data!$C:$C,F$1)=0,"",SUMIFS(Data!$U:$U,Data!$A:$A,$B34,Data!$C:$C,F$1))</f>
        <v/>
      </c>
      <c r="G34" s="31" t="str">
        <f>IF(SUMIFS(Data!$U:$U,Data!$A:$A,$B34,Data!$C:$C,G$1)=0,"",SUMIFS(Data!$U:$U,Data!$A:$A,$B34,Data!$C:$C,G$1))</f>
        <v/>
      </c>
      <c r="H34" s="31">
        <f>IF(SUMIFS(Data!$U:$U,Data!$A:$A,$B34,Data!$C:$C,H$1)=0,"",SUMIFS(Data!$U:$U,Data!$A:$A,$B34,Data!$C:$C,H$1))</f>
        <v>2.1124999999999998</v>
      </c>
      <c r="I34" s="31">
        <f>IF(SUMIFS(Data!$U:$U,Data!$A:$A,$B34,Data!$C:$C,I$1)=0,"",SUMIFS(Data!$U:$U,Data!$A:$A,$B34,Data!$C:$C,I$1))</f>
        <v>1.0109999999999999</v>
      </c>
      <c r="J34" s="31">
        <f>IF(SUMIFS(Data!$U:$U,Data!$A:$A,$B34,Data!$C:$C,J$1)=0,"",SUMIFS(Data!$U:$U,Data!$A:$A,$B34,Data!$C:$C,J$1))</f>
        <v>3.875</v>
      </c>
      <c r="K34" s="31">
        <f>IF(SUMIFS(Data!$U:$U,Data!$A:$A,$B34,Data!$C:$C,K$1)=0,"",SUMIFS(Data!$U:$U,Data!$A:$A,$B34,Data!$C:$C,K$1))</f>
        <v>3.4624999999999999</v>
      </c>
      <c r="L34" s="31">
        <f>IF(SUMIFS(Data!$U:$U,Data!$A:$A,$B34,Data!$C:$C,L$1)=0,"",SUMIFS(Data!$U:$U,Data!$A:$A,$B34,Data!$C:$C,L$1))</f>
        <v>2.169</v>
      </c>
      <c r="M34" s="31">
        <f>IF(SUMIFS(Data!$U:$U,Data!$A:$A,$B34,Data!$C:$C,M$1)=0,"",SUMIFS(Data!$U:$U,Data!$A:$A,$B34,Data!$C:$C,M$1))</f>
        <v>3.0625</v>
      </c>
      <c r="N34" s="31">
        <f>IF(SUMIFS(Data!$U:$U,Data!$A:$A,$B34,Data!$C:$C,N$1)=0,"",SUMIFS(Data!$U:$U,Data!$A:$A,$B34,Data!$C:$C,N$1))</f>
        <v>2.1375000000000002</v>
      </c>
      <c r="O34" s="31">
        <f>IF(SUMIFS(Data!$U:$U,Data!$A:$A,$B34,Data!$C:$C,O$1)=0,"",SUMIFS(Data!$U:$U,Data!$A:$A,$B34,Data!$C:$C,O$1))</f>
        <v>3.4</v>
      </c>
      <c r="P34" s="31">
        <f>IF(SUMIFS(Data!$U:$U,Data!$A:$A,$B34,Data!$C:$C,P$1)=0,"",SUMIFS(Data!$U:$U,Data!$A:$A,$B34,Data!$C:$C,P$1))</f>
        <v>3.2124999999999999</v>
      </c>
      <c r="Q34" s="31">
        <f>IF(SUMIFS(Data!$U:$U,Data!$A:$A,$B34,Data!$C:$C,Q$1)=0,"",SUMIFS(Data!$U:$U,Data!$A:$A,$B34,Data!$C:$C,Q$1))</f>
        <v>2.9390238095238099</v>
      </c>
      <c r="R34" s="31">
        <f>VLOOKUP(B34,'#ligaSYR'!$B:$R,17,0)</f>
        <v>3</v>
      </c>
      <c r="S34" s="31">
        <f>SUM(C34:R34)</f>
        <v>30.381523809523809</v>
      </c>
      <c r="T34" s="31">
        <f>SUMIFS(Data!D:D,Data!A:A,B34)</f>
        <v>247.43999999999997</v>
      </c>
    </row>
    <row r="35" spans="1:20" ht="13" x14ac:dyDescent="0.3">
      <c r="A35" s="79">
        <v>34</v>
      </c>
      <c r="B35" s="30" t="s">
        <v>370</v>
      </c>
      <c r="C35" s="31">
        <f>IF(SUMIFS(Data!$U:$U,Data!$A:$A,$B35,Data!$C:$C,C$1)=0,"",SUMIFS(Data!$U:$U,Data!$A:$A,$B35,Data!$C:$C,C$1))</f>
        <v>2.316875</v>
      </c>
      <c r="D35" s="31">
        <f>IF(SUMIFS(Data!$U:$U,Data!$A:$A,$B35,Data!$C:$C,D$1)=0,"",SUMIFS(Data!$U:$U,Data!$A:$A,$B35,Data!$C:$C,D$1))</f>
        <v>2.5012499999999998</v>
      </c>
      <c r="E35" s="31">
        <f>IF(SUMIFS(Data!$U:$U,Data!$A:$A,$B35,Data!$C:$C,E$1)=0,"",SUMIFS(Data!$U:$U,Data!$A:$A,$B35,Data!$C:$C,E$1))</f>
        <v>2.00875</v>
      </c>
      <c r="F35" s="31" t="str">
        <f>IF(SUMIFS(Data!$U:$U,Data!$A:$A,$B35,Data!$C:$C,F$1)=0,"",SUMIFS(Data!$U:$U,Data!$A:$A,$B35,Data!$C:$C,F$1))</f>
        <v/>
      </c>
      <c r="G35" s="31" t="str">
        <f>IF(SUMIFS(Data!$U:$U,Data!$A:$A,$B35,Data!$C:$C,G$1)=0,"",SUMIFS(Data!$U:$U,Data!$A:$A,$B35,Data!$C:$C,G$1))</f>
        <v/>
      </c>
      <c r="H35" s="31">
        <f>IF(SUMIFS(Data!$U:$U,Data!$A:$A,$B35,Data!$C:$C,H$1)=0,"",SUMIFS(Data!$U:$U,Data!$A:$A,$B35,Data!$C:$C,H$1))</f>
        <v>3.0681250000000002</v>
      </c>
      <c r="I35" s="31">
        <f>IF(SUMIFS(Data!$U:$U,Data!$A:$A,$B35,Data!$C:$C,I$1)=0,"",SUMIFS(Data!$U:$U,Data!$A:$A,$B35,Data!$C:$C,I$1))</f>
        <v>2.831</v>
      </c>
      <c r="J35" s="31">
        <f>IF(SUMIFS(Data!$U:$U,Data!$A:$A,$B35,Data!$C:$C,J$1)=0,"",SUMIFS(Data!$U:$U,Data!$A:$A,$B35,Data!$C:$C,J$1))</f>
        <v>1.5</v>
      </c>
      <c r="K35" s="31">
        <f>IF(SUMIFS(Data!$U:$U,Data!$A:$A,$B35,Data!$C:$C,K$1)=0,"",SUMIFS(Data!$U:$U,Data!$A:$A,$B35,Data!$C:$C,K$1))</f>
        <v>2.645</v>
      </c>
      <c r="L35" s="31">
        <f>IF(SUMIFS(Data!$U:$U,Data!$A:$A,$B35,Data!$C:$C,L$1)=0,"",SUMIFS(Data!$U:$U,Data!$A:$A,$B35,Data!$C:$C,L$1))</f>
        <v>2.0175000000000001</v>
      </c>
      <c r="M35" s="31">
        <f>IF(SUMIFS(Data!$U:$U,Data!$A:$A,$B35,Data!$C:$C,M$1)=0,"",SUMIFS(Data!$U:$U,Data!$A:$A,$B35,Data!$C:$C,M$1))</f>
        <v>2.0681250000000002</v>
      </c>
      <c r="N35" s="31">
        <f>IF(SUMIFS(Data!$U:$U,Data!$A:$A,$B35,Data!$C:$C,N$1)=0,"",SUMIFS(Data!$U:$U,Data!$A:$A,$B35,Data!$C:$C,N$1))</f>
        <v>2.3781249999999998</v>
      </c>
      <c r="O35" s="31">
        <f>IF(SUMIFS(Data!$U:$U,Data!$A:$A,$B35,Data!$C:$C,O$1)=0,"",SUMIFS(Data!$U:$U,Data!$A:$A,$B35,Data!$C:$C,O$1))</f>
        <v>2.4236666666666666</v>
      </c>
      <c r="P35" s="31" t="str">
        <f>IF(SUMIFS(Data!$U:$U,Data!$A:$A,$B35,Data!$C:$C,P$1)=0,"",SUMIFS(Data!$U:$U,Data!$A:$A,$B35,Data!$C:$C,P$1))</f>
        <v/>
      </c>
      <c r="Q35" s="31" t="str">
        <f>IF(SUMIFS(Data!$U:$U,Data!$A:$A,$B35,Data!$C:$C,Q$1)=0,"",SUMIFS(Data!$U:$U,Data!$A:$A,$B35,Data!$C:$C,Q$1))</f>
        <v/>
      </c>
      <c r="R35" s="31">
        <f>VLOOKUP(B35,'#ligaSYR'!$B:$R,17,0)</f>
        <v>3</v>
      </c>
      <c r="S35" s="31">
        <f>SUM(C35:R35)</f>
        <v>28.758416666666669</v>
      </c>
      <c r="T35" s="31">
        <f>SUMIFS(Data!D:D,Data!A:A,B35)</f>
        <v>98.219999999999985</v>
      </c>
    </row>
    <row r="36" spans="1:20" ht="13" x14ac:dyDescent="0.3">
      <c r="A36" s="79">
        <v>35</v>
      </c>
      <c r="B36" s="30" t="s">
        <v>362</v>
      </c>
      <c r="C36" s="31">
        <f>IF(SUMIFS(Data!$U:$U,Data!$A:$A,$B36,Data!$C:$C,C$1)=0,"",SUMIFS(Data!$U:$U,Data!$A:$A,$B36,Data!$C:$C,C$1))</f>
        <v>4.8125</v>
      </c>
      <c r="D36" s="31">
        <f>IF(SUMIFS(Data!$U:$U,Data!$A:$A,$B36,Data!$C:$C,D$1)=0,"",SUMIFS(Data!$U:$U,Data!$A:$A,$B36,Data!$C:$C,D$1))</f>
        <v>3.8547857142857143</v>
      </c>
      <c r="E36" s="31" t="str">
        <f>IF(SUMIFS(Data!$U:$U,Data!$A:$A,$B36,Data!$C:$C,E$1)=0,"",SUMIFS(Data!$U:$U,Data!$A:$A,$B36,Data!$C:$C,E$1))</f>
        <v/>
      </c>
      <c r="F36" s="31">
        <f>IF(SUMIFS(Data!$U:$U,Data!$A:$A,$B36,Data!$C:$C,F$1)=0,"",SUMIFS(Data!$U:$U,Data!$A:$A,$B36,Data!$C:$C,F$1))</f>
        <v>3.6814999999999998</v>
      </c>
      <c r="G36" s="31">
        <f>IF(SUMIFS(Data!$U:$U,Data!$A:$A,$B36,Data!$C:$C,G$1)=0,"",SUMIFS(Data!$U:$U,Data!$A:$A,$B36,Data!$C:$C,G$1))</f>
        <v>5.9271666666666665</v>
      </c>
      <c r="H36" s="31">
        <f>IF(SUMIFS(Data!$U:$U,Data!$A:$A,$B36,Data!$C:$C,H$1)=0,"",SUMIFS(Data!$U:$U,Data!$A:$A,$B36,Data!$C:$C,H$1))</f>
        <v>1.9363095238095238</v>
      </c>
      <c r="I36" s="31">
        <f>IF(SUMIFS(Data!$U:$U,Data!$A:$A,$B36,Data!$C:$C,I$1)=0,"",SUMIFS(Data!$U:$U,Data!$A:$A,$B36,Data!$C:$C,I$1))</f>
        <v>2.116047619047619</v>
      </c>
      <c r="J36" s="31">
        <f>IF(SUMIFS(Data!$U:$U,Data!$A:$A,$B36,Data!$C:$C,J$1)=0,"",SUMIFS(Data!$U:$U,Data!$A:$A,$B36,Data!$C:$C,J$1))</f>
        <v>3.9697380952380952</v>
      </c>
      <c r="K36" s="31">
        <f>IF(SUMIFS(Data!$U:$U,Data!$A:$A,$B36,Data!$C:$C,K$1)=0,"",SUMIFS(Data!$U:$U,Data!$A:$A,$B36,Data!$C:$C,K$1))</f>
        <v>1.5446428571428572</v>
      </c>
      <c r="L36" s="31" t="str">
        <f>IF(SUMIFS(Data!$U:$U,Data!$A:$A,$B36,Data!$C:$C,L$1)=0,"",SUMIFS(Data!$U:$U,Data!$A:$A,$B36,Data!$C:$C,L$1))</f>
        <v/>
      </c>
      <c r="M36" s="31" t="str">
        <f>IF(SUMIFS(Data!$U:$U,Data!$A:$A,$B36,Data!$C:$C,M$1)=0,"",SUMIFS(Data!$U:$U,Data!$A:$A,$B36,Data!$C:$C,M$1))</f>
        <v/>
      </c>
      <c r="N36" s="31" t="str">
        <f>IF(SUMIFS(Data!$U:$U,Data!$A:$A,$B36,Data!$C:$C,N$1)=0,"",SUMIFS(Data!$U:$U,Data!$A:$A,$B36,Data!$C:$C,N$1))</f>
        <v/>
      </c>
      <c r="O36" s="31" t="str">
        <f>IF(SUMIFS(Data!$U:$U,Data!$A:$A,$B36,Data!$C:$C,O$1)=0,"",SUMIFS(Data!$U:$U,Data!$A:$A,$B36,Data!$C:$C,O$1))</f>
        <v/>
      </c>
      <c r="P36" s="31" t="str">
        <f>IF(SUMIFS(Data!$U:$U,Data!$A:$A,$B36,Data!$C:$C,P$1)=0,"",SUMIFS(Data!$U:$U,Data!$A:$A,$B36,Data!$C:$C,P$1))</f>
        <v/>
      </c>
      <c r="Q36" s="31" t="str">
        <f>IF(SUMIFS(Data!$U:$U,Data!$A:$A,$B36,Data!$C:$C,Q$1)=0,"",SUMIFS(Data!$U:$U,Data!$A:$A,$B36,Data!$C:$C,Q$1))</f>
        <v/>
      </c>
      <c r="R36" s="31">
        <f>VLOOKUP(B36,'#ligaSYR'!$B:$R,17,0)</f>
        <v>0</v>
      </c>
      <c r="S36" s="31">
        <f>SUM(C36:R36)</f>
        <v>27.84269047619048</v>
      </c>
      <c r="T36" s="31">
        <f>SUMIFS(Data!D:D,Data!A:A,B36)</f>
        <v>172.08</v>
      </c>
    </row>
    <row r="37" spans="1:20" ht="13" x14ac:dyDescent="0.3">
      <c r="A37" s="79">
        <v>36</v>
      </c>
      <c r="B37" s="30" t="s">
        <v>396</v>
      </c>
      <c r="C37" s="31" t="str">
        <f>IF(SUMIFS(Data!$U:$U,Data!$A:$A,$B37,Data!$C:$C,C$1)=0,"",SUMIFS(Data!$U:$U,Data!$A:$A,$B37,Data!$C:$C,C$1))</f>
        <v/>
      </c>
      <c r="D37" s="31" t="str">
        <f>IF(SUMIFS(Data!$U:$U,Data!$A:$A,$B37,Data!$C:$C,D$1)=0,"",SUMIFS(Data!$U:$U,Data!$A:$A,$B37,Data!$C:$C,D$1))</f>
        <v/>
      </c>
      <c r="E37" s="31" t="str">
        <f>IF(SUMIFS(Data!$U:$U,Data!$A:$A,$B37,Data!$C:$C,E$1)=0,"",SUMIFS(Data!$U:$U,Data!$A:$A,$B37,Data!$C:$C,E$1))</f>
        <v/>
      </c>
      <c r="F37" s="31">
        <f>IF(SUMIFS(Data!$U:$U,Data!$A:$A,$B37,Data!$C:$C,F$1)=0,"",SUMIFS(Data!$U:$U,Data!$A:$A,$B37,Data!$C:$C,F$1))</f>
        <v>3.1894166666666668</v>
      </c>
      <c r="G37" s="31">
        <f>IF(SUMIFS(Data!$U:$U,Data!$A:$A,$B37,Data!$C:$C,G$1)=0,"",SUMIFS(Data!$U:$U,Data!$A:$A,$B37,Data!$C:$C,G$1))</f>
        <v>2.1654999999999998</v>
      </c>
      <c r="H37" s="31">
        <f>IF(SUMIFS(Data!$U:$U,Data!$A:$A,$B37,Data!$C:$C,H$1)=0,"",SUMIFS(Data!$U:$U,Data!$A:$A,$B37,Data!$C:$C,H$1))</f>
        <v>2.7687499999999998</v>
      </c>
      <c r="I37" s="31">
        <f>IF(SUMIFS(Data!$U:$U,Data!$A:$A,$B37,Data!$C:$C,I$1)=0,"",SUMIFS(Data!$U:$U,Data!$A:$A,$B37,Data!$C:$C,I$1))</f>
        <v>2.875</v>
      </c>
      <c r="J37" s="31">
        <f>IF(SUMIFS(Data!$U:$U,Data!$A:$A,$B37,Data!$C:$C,J$1)=0,"",SUMIFS(Data!$U:$U,Data!$A:$A,$B37,Data!$C:$C,J$1))</f>
        <v>1.5075000000000001</v>
      </c>
      <c r="K37" s="31">
        <f>IF(SUMIFS(Data!$U:$U,Data!$A:$A,$B37,Data!$C:$C,K$1)=0,"",SUMIFS(Data!$U:$U,Data!$A:$A,$B37,Data!$C:$C,K$1))</f>
        <v>2.3962500000000002</v>
      </c>
      <c r="L37" s="31">
        <f>IF(SUMIFS(Data!$U:$U,Data!$A:$A,$B37,Data!$C:$C,L$1)=0,"",SUMIFS(Data!$U:$U,Data!$A:$A,$B37,Data!$C:$C,L$1))</f>
        <v>1.2631250000000001</v>
      </c>
      <c r="M37" s="31">
        <f>IF(SUMIFS(Data!$U:$U,Data!$A:$A,$B37,Data!$C:$C,M$1)=0,"",SUMIFS(Data!$U:$U,Data!$A:$A,$B37,Data!$C:$C,M$1))</f>
        <v>1.5925</v>
      </c>
      <c r="N37" s="31">
        <f>IF(SUMIFS(Data!$U:$U,Data!$A:$A,$B37,Data!$C:$C,N$1)=0,"",SUMIFS(Data!$U:$U,Data!$A:$A,$B37,Data!$C:$C,N$1))</f>
        <v>2.140625</v>
      </c>
      <c r="O37" s="31" t="str">
        <f>IF(SUMIFS(Data!$U:$U,Data!$A:$A,$B37,Data!$C:$C,O$1)=0,"",SUMIFS(Data!$U:$U,Data!$A:$A,$B37,Data!$C:$C,O$1))</f>
        <v/>
      </c>
      <c r="P37" s="31">
        <f>IF(SUMIFS(Data!$U:$U,Data!$A:$A,$B37,Data!$C:$C,P$1)=0,"",SUMIFS(Data!$U:$U,Data!$A:$A,$B37,Data!$C:$C,P$1))</f>
        <v>2.0912500000000001</v>
      </c>
      <c r="Q37" s="31">
        <f>IF(SUMIFS(Data!$U:$U,Data!$A:$A,$B37,Data!$C:$C,Q$1)=0,"",SUMIFS(Data!$U:$U,Data!$A:$A,$B37,Data!$C:$C,Q$1))</f>
        <v>1.6825000000000001</v>
      </c>
      <c r="R37" s="31">
        <f>VLOOKUP(B37,'#ligaSYR'!$B:$R,17,0)</f>
        <v>3</v>
      </c>
      <c r="S37" s="31">
        <f>SUM(C37:R37)</f>
        <v>26.672416666666667</v>
      </c>
      <c r="T37" s="31">
        <f>SUMIFS(Data!D:D,Data!A:A,B37)</f>
        <v>102.18999999999998</v>
      </c>
    </row>
    <row r="38" spans="1:20" ht="13" x14ac:dyDescent="0.3">
      <c r="A38" s="79">
        <v>37</v>
      </c>
      <c r="B38" s="30" t="s">
        <v>390</v>
      </c>
      <c r="C38" s="31" t="str">
        <f>IF(SUMIFS(Data!$U:$U,Data!$A:$A,$B38,Data!$C:$C,C$1)=0,"",SUMIFS(Data!$U:$U,Data!$A:$A,$B38,Data!$C:$C,C$1))</f>
        <v/>
      </c>
      <c r="D38" s="31" t="str">
        <f>IF(SUMIFS(Data!$U:$U,Data!$A:$A,$B38,Data!$C:$C,D$1)=0,"",SUMIFS(Data!$U:$U,Data!$A:$A,$B38,Data!$C:$C,D$1))</f>
        <v/>
      </c>
      <c r="E38" s="31">
        <f>IF(SUMIFS(Data!$U:$U,Data!$A:$A,$B38,Data!$C:$C,E$1)=0,"",SUMIFS(Data!$U:$U,Data!$A:$A,$B38,Data!$C:$C,E$1))</f>
        <v>2.6398333333333333</v>
      </c>
      <c r="F38" s="31">
        <f>IF(SUMIFS(Data!$U:$U,Data!$A:$A,$B38,Data!$C:$C,F$1)=0,"",SUMIFS(Data!$U:$U,Data!$A:$A,$B38,Data!$C:$C,F$1))</f>
        <v>2.30125</v>
      </c>
      <c r="G38" s="31">
        <f>IF(SUMIFS(Data!$U:$U,Data!$A:$A,$B38,Data!$C:$C,G$1)=0,"",SUMIFS(Data!$U:$U,Data!$A:$A,$B38,Data!$C:$C,G$1))</f>
        <v>2.5887500000000001</v>
      </c>
      <c r="H38" s="31" t="str">
        <f>IF(SUMIFS(Data!$U:$U,Data!$A:$A,$B38,Data!$C:$C,H$1)=0,"",SUMIFS(Data!$U:$U,Data!$A:$A,$B38,Data!$C:$C,H$1))</f>
        <v/>
      </c>
      <c r="I38" s="31">
        <f>IF(SUMIFS(Data!$U:$U,Data!$A:$A,$B38,Data!$C:$C,I$1)=0,"",SUMIFS(Data!$U:$U,Data!$A:$A,$B38,Data!$C:$C,I$1))</f>
        <v>2.3712499999999999</v>
      </c>
      <c r="J38" s="31">
        <f>IF(SUMIFS(Data!$U:$U,Data!$A:$A,$B38,Data!$C:$C,J$1)=0,"",SUMIFS(Data!$U:$U,Data!$A:$A,$B38,Data!$C:$C,J$1))</f>
        <v>2.53125</v>
      </c>
      <c r="K38" s="31" t="str">
        <f>IF(SUMIFS(Data!$U:$U,Data!$A:$A,$B38,Data!$C:$C,K$1)=0,"",SUMIFS(Data!$U:$U,Data!$A:$A,$B38,Data!$C:$C,K$1))</f>
        <v/>
      </c>
      <c r="L38" s="31" t="str">
        <f>IF(SUMIFS(Data!$U:$U,Data!$A:$A,$B38,Data!$C:$C,L$1)=0,"",SUMIFS(Data!$U:$U,Data!$A:$A,$B38,Data!$C:$C,L$1))</f>
        <v/>
      </c>
      <c r="M38" s="31">
        <f>IF(SUMIFS(Data!$U:$U,Data!$A:$A,$B38,Data!$C:$C,M$1)=0,"",SUMIFS(Data!$U:$U,Data!$A:$A,$B38,Data!$C:$C,M$1))</f>
        <v>2.4656250000000002</v>
      </c>
      <c r="N38" s="31" t="str">
        <f>IF(SUMIFS(Data!$U:$U,Data!$A:$A,$B38,Data!$C:$C,N$1)=0,"",SUMIFS(Data!$U:$U,Data!$A:$A,$B38,Data!$C:$C,N$1))</f>
        <v/>
      </c>
      <c r="O38" s="31">
        <f>IF(SUMIFS(Data!$U:$U,Data!$A:$A,$B38,Data!$C:$C,O$1)=0,"",SUMIFS(Data!$U:$U,Data!$A:$A,$B38,Data!$C:$C,O$1))</f>
        <v>2.9525833333333331</v>
      </c>
      <c r="P38" s="31">
        <f>IF(SUMIFS(Data!$U:$U,Data!$A:$A,$B38,Data!$C:$C,P$1)=0,"",SUMIFS(Data!$U:$U,Data!$A:$A,$B38,Data!$C:$C,P$1))</f>
        <v>3.1389166666666664</v>
      </c>
      <c r="Q38" s="31">
        <f>IF(SUMIFS(Data!$U:$U,Data!$A:$A,$B38,Data!$C:$C,Q$1)=0,"",SUMIFS(Data!$U:$U,Data!$A:$A,$B38,Data!$C:$C,Q$1))</f>
        <v>2.40625</v>
      </c>
      <c r="R38" s="31">
        <f>VLOOKUP(B38,'#ligaSYR'!$B:$R,17,0)</f>
        <v>1</v>
      </c>
      <c r="S38" s="31">
        <f>SUM(C38:R38)</f>
        <v>24.395708333333332</v>
      </c>
      <c r="T38" s="31">
        <f>SUMIFS(Data!D:D,Data!A:A,B38)</f>
        <v>89.52</v>
      </c>
    </row>
    <row r="39" spans="1:20" ht="13" x14ac:dyDescent="0.3">
      <c r="A39" s="79">
        <v>38</v>
      </c>
      <c r="B39" s="30" t="s">
        <v>354</v>
      </c>
      <c r="C39" s="31">
        <f>IF(SUMIFS(Data!$U:$U,Data!$A:$A,$B39,Data!$C:$C,C$1)=0,"",SUMIFS(Data!$U:$U,Data!$A:$A,$B39,Data!$C:$C,C$1))</f>
        <v>2.6496666666666666</v>
      </c>
      <c r="D39" s="31">
        <f>IF(SUMIFS(Data!$U:$U,Data!$A:$A,$B39,Data!$C:$C,D$1)=0,"",SUMIFS(Data!$U:$U,Data!$A:$A,$B39,Data!$C:$C,D$1))</f>
        <v>1.5526666666666666</v>
      </c>
      <c r="E39" s="31">
        <f>IF(SUMIFS(Data!$U:$U,Data!$A:$A,$B39,Data!$C:$C,E$1)=0,"",SUMIFS(Data!$U:$U,Data!$A:$A,$B39,Data!$C:$C,E$1))</f>
        <v>2.2125714285714286</v>
      </c>
      <c r="F39" s="31">
        <f>IF(SUMIFS(Data!$U:$U,Data!$A:$A,$B39,Data!$C:$C,F$1)=0,"",SUMIFS(Data!$U:$U,Data!$A:$A,$B39,Data!$C:$C,F$1))</f>
        <v>1.0964285714285715</v>
      </c>
      <c r="G39" s="31">
        <f>IF(SUMIFS(Data!$U:$U,Data!$A:$A,$B39,Data!$C:$C,G$1)=0,"",SUMIFS(Data!$U:$U,Data!$A:$A,$B39,Data!$C:$C,G$1))</f>
        <v>1.561595238095238</v>
      </c>
      <c r="H39" s="31">
        <f>IF(SUMIFS(Data!$U:$U,Data!$A:$A,$B39,Data!$C:$C,H$1)=0,"",SUMIFS(Data!$U:$U,Data!$A:$A,$B39,Data!$C:$C,H$1))</f>
        <v>2.0072142857142858</v>
      </c>
      <c r="I39" s="31">
        <f>IF(SUMIFS(Data!$U:$U,Data!$A:$A,$B39,Data!$C:$C,I$1)=0,"",SUMIFS(Data!$U:$U,Data!$A:$A,$B39,Data!$C:$C,I$1))</f>
        <v>2.9125952380952378</v>
      </c>
      <c r="J39" s="31">
        <f>IF(SUMIFS(Data!$U:$U,Data!$A:$A,$B39,Data!$C:$C,J$1)=0,"",SUMIFS(Data!$U:$U,Data!$A:$A,$B39,Data!$C:$C,J$1))</f>
        <v>1.8976190476190475</v>
      </c>
      <c r="K39" s="31">
        <f>IF(SUMIFS(Data!$U:$U,Data!$A:$A,$B39,Data!$C:$C,K$1)=0,"",SUMIFS(Data!$U:$U,Data!$A:$A,$B39,Data!$C:$C,K$1))</f>
        <v>2.7251666666666665</v>
      </c>
      <c r="L39" s="31" t="str">
        <f>IF(SUMIFS(Data!$U:$U,Data!$A:$A,$B39,Data!$C:$C,L$1)=0,"",SUMIFS(Data!$U:$U,Data!$A:$A,$B39,Data!$C:$C,L$1))</f>
        <v/>
      </c>
      <c r="M39" s="31">
        <f>IF(SUMIFS(Data!$U:$U,Data!$A:$A,$B39,Data!$C:$C,M$1)=0,"",SUMIFS(Data!$U:$U,Data!$A:$A,$B39,Data!$C:$C,M$1))</f>
        <v>2.0694285714285714</v>
      </c>
      <c r="N39" s="31">
        <f>IF(SUMIFS(Data!$U:$U,Data!$A:$A,$B39,Data!$C:$C,N$1)=0,"",SUMIFS(Data!$U:$U,Data!$A:$A,$B39,Data!$C:$C,N$1))</f>
        <v>1.0997857142857144</v>
      </c>
      <c r="O39" s="31" t="str">
        <f>IF(SUMIFS(Data!$U:$U,Data!$A:$A,$B39,Data!$C:$C,O$1)=0,"",SUMIFS(Data!$U:$U,Data!$A:$A,$B39,Data!$C:$C,O$1))</f>
        <v/>
      </c>
      <c r="P39" s="31" t="str">
        <f>IF(SUMIFS(Data!$U:$U,Data!$A:$A,$B39,Data!$C:$C,P$1)=0,"",SUMIFS(Data!$U:$U,Data!$A:$A,$B39,Data!$C:$C,P$1))</f>
        <v/>
      </c>
      <c r="Q39" s="31" t="str">
        <f>IF(SUMIFS(Data!$U:$U,Data!$A:$A,$B39,Data!$C:$C,Q$1)=0,"",SUMIFS(Data!$U:$U,Data!$A:$A,$B39,Data!$C:$C,Q$1))</f>
        <v/>
      </c>
      <c r="R39" s="31">
        <f>VLOOKUP(B39,'#ligaSYR'!$B:$R,17,0)</f>
        <v>2</v>
      </c>
      <c r="S39" s="31">
        <f>SUM(C39:R39)</f>
        <v>23.784738095238094</v>
      </c>
      <c r="T39" s="31">
        <f>SUMIFS(Data!D:D,Data!A:A,B39)</f>
        <v>135.56</v>
      </c>
    </row>
    <row r="40" spans="1:20" ht="13" x14ac:dyDescent="0.3">
      <c r="A40" s="79">
        <v>39</v>
      </c>
      <c r="B40" s="30" t="s">
        <v>406</v>
      </c>
      <c r="C40" s="31" t="str">
        <f>IF(SUMIFS(Data!$U:$U,Data!$A:$A,$B40,Data!$C:$C,C$1)=0,"",SUMIFS(Data!$U:$U,Data!$A:$A,$B40,Data!$C:$C,C$1))</f>
        <v/>
      </c>
      <c r="D40" s="31" t="str">
        <f>IF(SUMIFS(Data!$U:$U,Data!$A:$A,$B40,Data!$C:$C,D$1)=0,"",SUMIFS(Data!$U:$U,Data!$A:$A,$B40,Data!$C:$C,D$1))</f>
        <v/>
      </c>
      <c r="E40" s="31" t="str">
        <f>IF(SUMIFS(Data!$U:$U,Data!$A:$A,$B40,Data!$C:$C,E$1)=0,"",SUMIFS(Data!$U:$U,Data!$A:$A,$B40,Data!$C:$C,E$1))</f>
        <v/>
      </c>
      <c r="F40" s="31">
        <f>IF(SUMIFS(Data!$U:$U,Data!$A:$A,$B40,Data!$C:$C,F$1)=0,"",SUMIFS(Data!$U:$U,Data!$A:$A,$B40,Data!$C:$C,F$1))</f>
        <v>3.3367619047619046</v>
      </c>
      <c r="G40" s="31">
        <f>IF(SUMIFS(Data!$U:$U,Data!$A:$A,$B40,Data!$C:$C,G$1)=0,"",SUMIFS(Data!$U:$U,Data!$A:$A,$B40,Data!$C:$C,G$1))</f>
        <v>3.5968333333333335</v>
      </c>
      <c r="H40" s="31">
        <f>IF(SUMIFS(Data!$U:$U,Data!$A:$A,$B40,Data!$C:$C,H$1)=0,"",SUMIFS(Data!$U:$U,Data!$A:$A,$B40,Data!$C:$C,H$1))</f>
        <v>2.8374285714285716</v>
      </c>
      <c r="I40" s="31">
        <f>IF(SUMIFS(Data!$U:$U,Data!$A:$A,$B40,Data!$C:$C,I$1)=0,"",SUMIFS(Data!$U:$U,Data!$A:$A,$B40,Data!$C:$C,I$1))</f>
        <v>3.7255000000000003</v>
      </c>
      <c r="J40" s="31">
        <f>IF(SUMIFS(Data!$U:$U,Data!$A:$A,$B40,Data!$C:$C,J$1)=0,"",SUMIFS(Data!$U:$U,Data!$A:$A,$B40,Data!$C:$C,J$1))</f>
        <v>2.7833333333333332</v>
      </c>
      <c r="K40" s="31" t="str">
        <f>IF(SUMIFS(Data!$U:$U,Data!$A:$A,$B40,Data!$C:$C,K$1)=0,"",SUMIFS(Data!$U:$U,Data!$A:$A,$B40,Data!$C:$C,K$1))</f>
        <v/>
      </c>
      <c r="L40" s="31">
        <f>IF(SUMIFS(Data!$U:$U,Data!$A:$A,$B40,Data!$C:$C,L$1)=0,"",SUMIFS(Data!$U:$U,Data!$A:$A,$B40,Data!$C:$C,L$1))</f>
        <v>3.7250000000000001</v>
      </c>
      <c r="M40" s="31" t="str">
        <f>IF(SUMIFS(Data!$U:$U,Data!$A:$A,$B40,Data!$C:$C,M$1)=0,"",SUMIFS(Data!$U:$U,Data!$A:$A,$B40,Data!$C:$C,M$1))</f>
        <v/>
      </c>
      <c r="N40" s="31" t="str">
        <f>IF(SUMIFS(Data!$U:$U,Data!$A:$A,$B40,Data!$C:$C,N$1)=0,"",SUMIFS(Data!$U:$U,Data!$A:$A,$B40,Data!$C:$C,N$1))</f>
        <v/>
      </c>
      <c r="O40" s="31">
        <f>IF(SUMIFS(Data!$U:$U,Data!$A:$A,$B40,Data!$C:$C,O$1)=0,"",SUMIFS(Data!$U:$U,Data!$A:$A,$B40,Data!$C:$C,O$1))</f>
        <v>2.1378333333333335</v>
      </c>
      <c r="P40" s="31" t="str">
        <f>IF(SUMIFS(Data!$U:$U,Data!$A:$A,$B40,Data!$C:$C,P$1)=0,"",SUMIFS(Data!$U:$U,Data!$A:$A,$B40,Data!$C:$C,P$1))</f>
        <v/>
      </c>
      <c r="Q40" s="31" t="str">
        <f>IF(SUMIFS(Data!$U:$U,Data!$A:$A,$B40,Data!$C:$C,Q$1)=0,"",SUMIFS(Data!$U:$U,Data!$A:$A,$B40,Data!$C:$C,Q$1))</f>
        <v/>
      </c>
      <c r="R40" s="31">
        <f>VLOOKUP(B40,'#ligaSYR'!$B:$R,17,0)</f>
        <v>0</v>
      </c>
      <c r="S40" s="31">
        <f>SUM(C40:R40)</f>
        <v>22.142690476190477</v>
      </c>
      <c r="T40" s="31">
        <f>SUMIFS(Data!D:D,Data!A:A,B40)</f>
        <v>118.32</v>
      </c>
    </row>
    <row r="41" spans="1:20" ht="13" x14ac:dyDescent="0.3">
      <c r="A41" s="79">
        <v>40</v>
      </c>
      <c r="B41" s="30" t="s">
        <v>364</v>
      </c>
      <c r="C41" s="31">
        <f>IF(SUMIFS(Data!$U:$U,Data!$A:$A,$B41,Data!$C:$C,C$1)=0,"",SUMIFS(Data!$U:$U,Data!$A:$A,$B41,Data!$C:$C,C$1))</f>
        <v>1.5297619047619047</v>
      </c>
      <c r="D41" s="31">
        <f>IF(SUMIFS(Data!$U:$U,Data!$A:$A,$B41,Data!$C:$C,D$1)=0,"",SUMIFS(Data!$U:$U,Data!$A:$A,$B41,Data!$C:$C,D$1))</f>
        <v>2.0833095238095236</v>
      </c>
      <c r="E41" s="31">
        <f>IF(SUMIFS(Data!$U:$U,Data!$A:$A,$B41,Data!$C:$C,E$1)=0,"",SUMIFS(Data!$U:$U,Data!$A:$A,$B41,Data!$C:$C,E$1))</f>
        <v>1.9065476190476192</v>
      </c>
      <c r="F41" s="31">
        <f>IF(SUMIFS(Data!$U:$U,Data!$A:$A,$B41,Data!$C:$C,F$1)=0,"",SUMIFS(Data!$U:$U,Data!$A:$A,$B41,Data!$C:$C,F$1))</f>
        <v>2.7184523809523808</v>
      </c>
      <c r="G41" s="31">
        <f>IF(SUMIFS(Data!$U:$U,Data!$A:$A,$B41,Data!$C:$C,G$1)=0,"",SUMIFS(Data!$U:$U,Data!$A:$A,$B41,Data!$C:$C,G$1))</f>
        <v>3.1101190476190474</v>
      </c>
      <c r="H41" s="31">
        <f>IF(SUMIFS(Data!$U:$U,Data!$A:$A,$B41,Data!$C:$C,H$1)=0,"",SUMIFS(Data!$U:$U,Data!$A:$A,$B41,Data!$C:$C,H$1))</f>
        <v>3.3066666666666666</v>
      </c>
      <c r="I41" s="31" t="str">
        <f>IF(SUMIFS(Data!$U:$U,Data!$A:$A,$B41,Data!$C:$C,I$1)=0,"",SUMIFS(Data!$U:$U,Data!$A:$A,$B41,Data!$C:$C,I$1))</f>
        <v/>
      </c>
      <c r="J41" s="31">
        <f>IF(SUMIFS(Data!$U:$U,Data!$A:$A,$B41,Data!$C:$C,J$1)=0,"",SUMIFS(Data!$U:$U,Data!$A:$A,$B41,Data!$C:$C,J$1))</f>
        <v>2.1857142857142859</v>
      </c>
      <c r="K41" s="31">
        <f>IF(SUMIFS(Data!$U:$U,Data!$A:$A,$B41,Data!$C:$C,K$1)=0,"",SUMIFS(Data!$U:$U,Data!$A:$A,$B41,Data!$C:$C,K$1))</f>
        <v>1.4898809523809524</v>
      </c>
      <c r="L41" s="31" t="str">
        <f>IF(SUMIFS(Data!$U:$U,Data!$A:$A,$B41,Data!$C:$C,L$1)=0,"",SUMIFS(Data!$U:$U,Data!$A:$A,$B41,Data!$C:$C,L$1))</f>
        <v/>
      </c>
      <c r="M41" s="31" t="str">
        <f>IF(SUMIFS(Data!$U:$U,Data!$A:$A,$B41,Data!$C:$C,M$1)=0,"",SUMIFS(Data!$U:$U,Data!$A:$A,$B41,Data!$C:$C,M$1))</f>
        <v/>
      </c>
      <c r="N41" s="31" t="str">
        <f>IF(SUMIFS(Data!$U:$U,Data!$A:$A,$B41,Data!$C:$C,N$1)=0,"",SUMIFS(Data!$U:$U,Data!$A:$A,$B41,Data!$C:$C,N$1))</f>
        <v/>
      </c>
      <c r="O41" s="31" t="str">
        <f>IF(SUMIFS(Data!$U:$U,Data!$A:$A,$B41,Data!$C:$C,O$1)=0,"",SUMIFS(Data!$U:$U,Data!$A:$A,$B41,Data!$C:$C,O$1))</f>
        <v/>
      </c>
      <c r="P41" s="31" t="str">
        <f>IF(SUMIFS(Data!$U:$U,Data!$A:$A,$B41,Data!$C:$C,P$1)=0,"",SUMIFS(Data!$U:$U,Data!$A:$A,$B41,Data!$C:$C,P$1))</f>
        <v/>
      </c>
      <c r="Q41" s="31" t="str">
        <f>IF(SUMIFS(Data!$U:$U,Data!$A:$A,$B41,Data!$C:$C,Q$1)=0,"",SUMIFS(Data!$U:$U,Data!$A:$A,$B41,Data!$C:$C,Q$1))</f>
        <v/>
      </c>
      <c r="R41" s="31">
        <f>VLOOKUP(B41,'#ligaSYR'!$B:$R,17,0)</f>
        <v>2</v>
      </c>
      <c r="S41" s="31">
        <f>SUM(C41:R41)</f>
        <v>20.33045238095238</v>
      </c>
      <c r="T41" s="31">
        <f>SUMIFS(Data!D:D,Data!A:A,B41)</f>
        <v>98.67</v>
      </c>
    </row>
    <row r="42" spans="1:20" ht="13" x14ac:dyDescent="0.3">
      <c r="A42" s="79">
        <v>41</v>
      </c>
      <c r="B42" s="79" t="s">
        <v>483</v>
      </c>
      <c r="C42" s="31" t="str">
        <f>IF(SUMIFS(Data!$U:$U,Data!$A:$A,$B42,Data!$C:$C,C$1)=0,"",SUMIFS(Data!$U:$U,Data!$A:$A,$B42,Data!$C:$C,C$1))</f>
        <v/>
      </c>
      <c r="D42" s="31" t="str">
        <f>IF(SUMIFS(Data!$U:$U,Data!$A:$A,$B42,Data!$C:$C,D$1)=0,"",SUMIFS(Data!$U:$U,Data!$A:$A,$B42,Data!$C:$C,D$1))</f>
        <v/>
      </c>
      <c r="E42" s="31" t="str">
        <f>IF(SUMIFS(Data!$U:$U,Data!$A:$A,$B42,Data!$C:$C,E$1)=0,"",SUMIFS(Data!$U:$U,Data!$A:$A,$B42,Data!$C:$C,E$1))</f>
        <v/>
      </c>
      <c r="F42" s="31" t="str">
        <f>IF(SUMIFS(Data!$U:$U,Data!$A:$A,$B42,Data!$C:$C,F$1)=0,"",SUMIFS(Data!$U:$U,Data!$A:$A,$B42,Data!$C:$C,F$1))</f>
        <v/>
      </c>
      <c r="G42" s="31" t="str">
        <f>IF(SUMIFS(Data!$U:$U,Data!$A:$A,$B42,Data!$C:$C,G$1)=0,"",SUMIFS(Data!$U:$U,Data!$A:$A,$B42,Data!$C:$C,G$1))</f>
        <v/>
      </c>
      <c r="H42" s="31" t="str">
        <f>IF(SUMIFS(Data!$U:$U,Data!$A:$A,$B42,Data!$C:$C,H$1)=0,"",SUMIFS(Data!$U:$U,Data!$A:$A,$B42,Data!$C:$C,H$1))</f>
        <v/>
      </c>
      <c r="I42" s="31" t="str">
        <f>IF(SUMIFS(Data!$U:$U,Data!$A:$A,$B42,Data!$C:$C,I$1)=0,"",SUMIFS(Data!$U:$U,Data!$A:$A,$B42,Data!$C:$C,I$1))</f>
        <v/>
      </c>
      <c r="J42" s="31" t="str">
        <f>IF(SUMIFS(Data!$U:$U,Data!$A:$A,$B42,Data!$C:$C,J$1)=0,"",SUMIFS(Data!$U:$U,Data!$A:$A,$B42,Data!$C:$C,J$1))</f>
        <v/>
      </c>
      <c r="K42" s="31">
        <f>IF(SUMIFS(Data!$U:$U,Data!$A:$A,$B42,Data!$C:$C,K$1)=0,"",SUMIFS(Data!$U:$U,Data!$A:$A,$B42,Data!$C:$C,K$1))</f>
        <v>2.610214285714286</v>
      </c>
      <c r="L42" s="31">
        <f>IF(SUMIFS(Data!$U:$U,Data!$A:$A,$B42,Data!$C:$C,L$1)=0,"",SUMIFS(Data!$U:$U,Data!$A:$A,$B42,Data!$C:$C,L$1))</f>
        <v>2.6467857142857145</v>
      </c>
      <c r="M42" s="31" t="str">
        <f>IF(SUMIFS(Data!$U:$U,Data!$A:$A,$B42,Data!$C:$C,M$1)=0,"",SUMIFS(Data!$U:$U,Data!$A:$A,$B42,Data!$C:$C,M$1))</f>
        <v/>
      </c>
      <c r="N42" s="31">
        <f>IF(SUMIFS(Data!$U:$U,Data!$A:$A,$B42,Data!$C:$C,N$1)=0,"",SUMIFS(Data!$U:$U,Data!$A:$A,$B42,Data!$C:$C,N$1))</f>
        <v>2.0458809523809522</v>
      </c>
      <c r="O42" s="31">
        <f>IF(SUMIFS(Data!$U:$U,Data!$A:$A,$B42,Data!$C:$C,O$1)=0,"",SUMIFS(Data!$U:$U,Data!$A:$A,$B42,Data!$C:$C,O$1))</f>
        <v>4.1946666666666665</v>
      </c>
      <c r="P42" s="31">
        <f>IF(SUMIFS(Data!$U:$U,Data!$A:$A,$B42,Data!$C:$C,P$1)=0,"",SUMIFS(Data!$U:$U,Data!$A:$A,$B42,Data!$C:$C,P$1))</f>
        <v>2.6573333333333338</v>
      </c>
      <c r="Q42" s="31">
        <f>IF(SUMIFS(Data!$U:$U,Data!$A:$A,$B42,Data!$C:$C,Q$1)=0,"",SUMIFS(Data!$U:$U,Data!$A:$A,$B42,Data!$C:$C,Q$1))</f>
        <v>2.2182857142857144</v>
      </c>
      <c r="R42" s="31">
        <f>VLOOKUP(B42,'#ligaSYR'!$B:$R,17,0)</f>
        <v>1</v>
      </c>
      <c r="S42" s="31">
        <f>SUM(C42:R42)</f>
        <v>17.373166666666666</v>
      </c>
      <c r="T42" s="31">
        <f>SUMIFS(Data!D:D,Data!A:A,B42)</f>
        <v>103.79</v>
      </c>
    </row>
    <row r="43" spans="1:20" ht="13" x14ac:dyDescent="0.3">
      <c r="A43" s="79">
        <v>42</v>
      </c>
      <c r="B43" s="30" t="s">
        <v>398</v>
      </c>
      <c r="C43" s="31" t="str">
        <f>IF(SUMIFS(Data!$U:$U,Data!$A:$A,$B43,Data!$C:$C,C$1)=0,"",SUMIFS(Data!$U:$U,Data!$A:$A,$B43,Data!$C:$C,C$1))</f>
        <v/>
      </c>
      <c r="D43" s="31" t="str">
        <f>IF(SUMIFS(Data!$U:$U,Data!$A:$A,$B43,Data!$C:$C,D$1)=0,"",SUMIFS(Data!$U:$U,Data!$A:$A,$B43,Data!$C:$C,D$1))</f>
        <v/>
      </c>
      <c r="E43" s="31">
        <f>IF(SUMIFS(Data!$U:$U,Data!$A:$A,$B43,Data!$C:$C,E$1)=0,"",SUMIFS(Data!$U:$U,Data!$A:$A,$B43,Data!$C:$C,E$1))</f>
        <v>3.0536250000000003</v>
      </c>
      <c r="F43" s="31">
        <f>IF(SUMIFS(Data!$U:$U,Data!$A:$A,$B43,Data!$C:$C,F$1)=0,"",SUMIFS(Data!$U:$U,Data!$A:$A,$B43,Data!$C:$C,F$1))</f>
        <v>1.95875</v>
      </c>
      <c r="G43" s="31">
        <f>IF(SUMIFS(Data!$U:$U,Data!$A:$A,$B43,Data!$C:$C,G$1)=0,"",SUMIFS(Data!$U:$U,Data!$A:$A,$B43,Data!$C:$C,G$1))</f>
        <v>1.91</v>
      </c>
      <c r="H43" s="31">
        <f>IF(SUMIFS(Data!$U:$U,Data!$A:$A,$B43,Data!$C:$C,H$1)=0,"",SUMIFS(Data!$U:$U,Data!$A:$A,$B43,Data!$C:$C,H$1))</f>
        <v>2.0137499999999999</v>
      </c>
      <c r="I43" s="31" t="str">
        <f>IF(SUMIFS(Data!$U:$U,Data!$A:$A,$B43,Data!$C:$C,I$1)=0,"",SUMIFS(Data!$U:$U,Data!$A:$A,$B43,Data!$C:$C,I$1))</f>
        <v/>
      </c>
      <c r="J43" s="31">
        <f>IF(SUMIFS(Data!$U:$U,Data!$A:$A,$B43,Data!$C:$C,J$1)=0,"",SUMIFS(Data!$U:$U,Data!$A:$A,$B43,Data!$C:$C,J$1))</f>
        <v>1.5131250000000001</v>
      </c>
      <c r="K43" s="31">
        <f>IF(SUMIFS(Data!$U:$U,Data!$A:$A,$B43,Data!$C:$C,K$1)=0,"",SUMIFS(Data!$U:$U,Data!$A:$A,$B43,Data!$C:$C,K$1))</f>
        <v>2.0143750000000002</v>
      </c>
      <c r="L43" s="31" t="str">
        <f>IF(SUMIFS(Data!$U:$U,Data!$A:$A,$B43,Data!$C:$C,L$1)=0,"",SUMIFS(Data!$U:$U,Data!$A:$A,$B43,Data!$C:$C,L$1))</f>
        <v/>
      </c>
      <c r="M43" s="31" t="str">
        <f>IF(SUMIFS(Data!$U:$U,Data!$A:$A,$B43,Data!$C:$C,M$1)=0,"",SUMIFS(Data!$U:$U,Data!$A:$A,$B43,Data!$C:$C,M$1))</f>
        <v/>
      </c>
      <c r="N43" s="31" t="str">
        <f>IF(SUMIFS(Data!$U:$U,Data!$A:$A,$B43,Data!$C:$C,N$1)=0,"",SUMIFS(Data!$U:$U,Data!$A:$A,$B43,Data!$C:$C,N$1))</f>
        <v/>
      </c>
      <c r="O43" s="31" t="str">
        <f>IF(SUMIFS(Data!$U:$U,Data!$A:$A,$B43,Data!$C:$C,O$1)=0,"",SUMIFS(Data!$U:$U,Data!$A:$A,$B43,Data!$C:$C,O$1))</f>
        <v/>
      </c>
      <c r="P43" s="31" t="str">
        <f>IF(SUMIFS(Data!$U:$U,Data!$A:$A,$B43,Data!$C:$C,P$1)=0,"",SUMIFS(Data!$U:$U,Data!$A:$A,$B43,Data!$C:$C,P$1))</f>
        <v/>
      </c>
      <c r="Q43" s="31" t="str">
        <f>IF(SUMIFS(Data!$U:$U,Data!$A:$A,$B43,Data!$C:$C,Q$1)=0,"",SUMIFS(Data!$U:$U,Data!$A:$A,$B43,Data!$C:$C,Q$1))</f>
        <v/>
      </c>
      <c r="R43" s="31">
        <f>VLOOKUP(B43,'#ligaSYR'!$B:$R,17,0)</f>
        <v>0</v>
      </c>
      <c r="S43" s="31">
        <f>SUM(C43:R43)</f>
        <v>12.463625</v>
      </c>
      <c r="T43" s="31">
        <f>SUMIFS(Data!D:D,Data!A:A,B43)</f>
        <v>41.22</v>
      </c>
    </row>
    <row r="44" spans="1:20" ht="13" x14ac:dyDescent="0.3">
      <c r="A44" s="79">
        <v>43</v>
      </c>
      <c r="B44" s="30" t="s">
        <v>469</v>
      </c>
      <c r="C44" s="31" t="str">
        <f>IF(SUMIFS(Data!$U:$U,Data!$A:$A,$B44,Data!$C:$C,C$1)=0,"",SUMIFS(Data!$U:$U,Data!$A:$A,$B44,Data!$C:$C,C$1))</f>
        <v/>
      </c>
      <c r="D44" s="31" t="str">
        <f>IF(SUMIFS(Data!$U:$U,Data!$A:$A,$B44,Data!$C:$C,D$1)=0,"",SUMIFS(Data!$U:$U,Data!$A:$A,$B44,Data!$C:$C,D$1))</f>
        <v/>
      </c>
      <c r="E44" s="31" t="str">
        <f>IF(SUMIFS(Data!$U:$U,Data!$A:$A,$B44,Data!$C:$C,E$1)=0,"",SUMIFS(Data!$U:$U,Data!$A:$A,$B44,Data!$C:$C,E$1))</f>
        <v/>
      </c>
      <c r="F44" s="31" t="str">
        <f>IF(SUMIFS(Data!$U:$U,Data!$A:$A,$B44,Data!$C:$C,F$1)=0,"",SUMIFS(Data!$U:$U,Data!$A:$A,$B44,Data!$C:$C,F$1))</f>
        <v/>
      </c>
      <c r="G44" s="31" t="str">
        <f>IF(SUMIFS(Data!$U:$U,Data!$A:$A,$B44,Data!$C:$C,G$1)=0,"",SUMIFS(Data!$U:$U,Data!$A:$A,$B44,Data!$C:$C,G$1))</f>
        <v/>
      </c>
      <c r="H44" s="31" t="str">
        <f>IF(SUMIFS(Data!$U:$U,Data!$A:$A,$B44,Data!$C:$C,H$1)=0,"",SUMIFS(Data!$U:$U,Data!$A:$A,$B44,Data!$C:$C,H$1))</f>
        <v/>
      </c>
      <c r="I44" s="31" t="str">
        <f>IF(SUMIFS(Data!$U:$U,Data!$A:$A,$B44,Data!$C:$C,I$1)=0,"",SUMIFS(Data!$U:$U,Data!$A:$A,$B44,Data!$C:$C,I$1))</f>
        <v/>
      </c>
      <c r="J44" s="31">
        <f>IF(SUMIFS(Data!$U:$U,Data!$A:$A,$B44,Data!$C:$C,J$1)=0,"",SUMIFS(Data!$U:$U,Data!$A:$A,$B44,Data!$C:$C,J$1))</f>
        <v>3.7016666666666667</v>
      </c>
      <c r="K44" s="31" t="str">
        <f>IF(SUMIFS(Data!$U:$U,Data!$A:$A,$B44,Data!$C:$C,K$1)=0,"",SUMIFS(Data!$U:$U,Data!$A:$A,$B44,Data!$C:$C,K$1))</f>
        <v/>
      </c>
      <c r="L44" s="31">
        <f>IF(SUMIFS(Data!$U:$U,Data!$A:$A,$B44,Data!$C:$C,L$1)=0,"",SUMIFS(Data!$U:$U,Data!$A:$A,$B44,Data!$C:$C,L$1))</f>
        <v>3.3650238095238096</v>
      </c>
      <c r="M44" s="31" t="str">
        <f>IF(SUMIFS(Data!$U:$U,Data!$A:$A,$B44,Data!$C:$C,M$1)=0,"",SUMIFS(Data!$U:$U,Data!$A:$A,$B44,Data!$C:$C,M$1))</f>
        <v/>
      </c>
      <c r="N44" s="31" t="str">
        <f>IF(SUMIFS(Data!$U:$U,Data!$A:$A,$B44,Data!$C:$C,N$1)=0,"",SUMIFS(Data!$U:$U,Data!$A:$A,$B44,Data!$C:$C,N$1))</f>
        <v/>
      </c>
      <c r="O44" s="31">
        <f>IF(SUMIFS(Data!$U:$U,Data!$A:$A,$B44,Data!$C:$C,O$1)=0,"",SUMIFS(Data!$U:$U,Data!$A:$A,$B44,Data!$C:$C,O$1))</f>
        <v>2.1767857142857143</v>
      </c>
      <c r="P44" s="31" t="str">
        <f>IF(SUMIFS(Data!$U:$U,Data!$A:$A,$B44,Data!$C:$C,P$1)=0,"",SUMIFS(Data!$U:$U,Data!$A:$A,$B44,Data!$C:$C,P$1))</f>
        <v/>
      </c>
      <c r="Q44" s="31">
        <f>IF(SUMIFS(Data!$U:$U,Data!$A:$A,$B44,Data!$C:$C,Q$1)=0,"",SUMIFS(Data!$U:$U,Data!$A:$A,$B44,Data!$C:$C,Q$1))</f>
        <v>2.8437142857142854</v>
      </c>
      <c r="R44" s="31">
        <f>VLOOKUP(B44,'#ligaSYR'!$B:$R,17,0)</f>
        <v>0</v>
      </c>
      <c r="S44" s="31">
        <f>SUM(C44:R44)</f>
        <v>12.087190476190475</v>
      </c>
      <c r="T44" s="31">
        <f>SUMIFS(Data!D:D,Data!A:A,B44)</f>
        <v>58.150000000000006</v>
      </c>
    </row>
    <row r="45" spans="1:20" ht="13" x14ac:dyDescent="0.3">
      <c r="A45" s="79">
        <v>44</v>
      </c>
      <c r="B45" s="30" t="s">
        <v>340</v>
      </c>
      <c r="C45" s="31">
        <f>IF(SUMIFS(Data!$U:$U,Data!$A:$A,$B45,Data!$C:$C,C$1)=0,"",SUMIFS(Data!$U:$U,Data!$A:$A,$B45,Data!$C:$C,C$1))</f>
        <v>1.8958333333333333</v>
      </c>
      <c r="D45" s="31">
        <f>IF(SUMIFS(Data!$U:$U,Data!$A:$A,$B45,Data!$C:$C,D$1)=0,"",SUMIFS(Data!$U:$U,Data!$A:$A,$B45,Data!$C:$C,D$1))</f>
        <v>1.6821428571428572</v>
      </c>
      <c r="E45" s="31">
        <f>IF(SUMIFS(Data!$U:$U,Data!$A:$A,$B45,Data!$C:$C,E$1)=0,"",SUMIFS(Data!$U:$U,Data!$A:$A,$B45,Data!$C:$C,E$1))</f>
        <v>1.8946428571428571</v>
      </c>
      <c r="F45" s="31">
        <f>IF(SUMIFS(Data!$U:$U,Data!$A:$A,$B45,Data!$C:$C,F$1)=0,"",SUMIFS(Data!$U:$U,Data!$A:$A,$B45,Data!$C:$C,F$1))</f>
        <v>1.8779761904761905</v>
      </c>
      <c r="G45" s="31">
        <f>IF(SUMIFS(Data!$U:$U,Data!$A:$A,$B45,Data!$C:$C,G$1)=0,"",SUMIFS(Data!$U:$U,Data!$A:$A,$B45,Data!$C:$C,G$1))</f>
        <v>1.9613095238095239</v>
      </c>
      <c r="H45" s="31">
        <f>IF(SUMIFS(Data!$U:$U,Data!$A:$A,$B45,Data!$C:$C,H$1)=0,"",SUMIFS(Data!$U:$U,Data!$A:$A,$B45,Data!$C:$C,H$1))</f>
        <v>1.3458333333333332</v>
      </c>
      <c r="I45" s="31" t="str">
        <f>IF(SUMIFS(Data!$U:$U,Data!$A:$A,$B45,Data!$C:$C,I$1)=0,"",SUMIFS(Data!$U:$U,Data!$A:$A,$B45,Data!$C:$C,I$1))</f>
        <v/>
      </c>
      <c r="J45" s="31" t="str">
        <f>IF(SUMIFS(Data!$U:$U,Data!$A:$A,$B45,Data!$C:$C,J$1)=0,"",SUMIFS(Data!$U:$U,Data!$A:$A,$B45,Data!$C:$C,J$1))</f>
        <v/>
      </c>
      <c r="K45" s="31" t="str">
        <f>IF(SUMIFS(Data!$U:$U,Data!$A:$A,$B45,Data!$C:$C,K$1)=0,"",SUMIFS(Data!$U:$U,Data!$A:$A,$B45,Data!$C:$C,K$1))</f>
        <v/>
      </c>
      <c r="L45" s="31" t="str">
        <f>IF(SUMIFS(Data!$U:$U,Data!$A:$A,$B45,Data!$C:$C,L$1)=0,"",SUMIFS(Data!$U:$U,Data!$A:$A,$B45,Data!$C:$C,L$1))</f>
        <v/>
      </c>
      <c r="M45" s="31" t="str">
        <f>IF(SUMIFS(Data!$U:$U,Data!$A:$A,$B45,Data!$C:$C,M$1)=0,"",SUMIFS(Data!$U:$U,Data!$A:$A,$B45,Data!$C:$C,M$1))</f>
        <v/>
      </c>
      <c r="N45" s="31" t="str">
        <f>IF(SUMIFS(Data!$U:$U,Data!$A:$A,$B45,Data!$C:$C,N$1)=0,"",SUMIFS(Data!$U:$U,Data!$A:$A,$B45,Data!$C:$C,N$1))</f>
        <v/>
      </c>
      <c r="O45" s="31" t="str">
        <f>IF(SUMIFS(Data!$U:$U,Data!$A:$A,$B45,Data!$C:$C,O$1)=0,"",SUMIFS(Data!$U:$U,Data!$A:$A,$B45,Data!$C:$C,O$1))</f>
        <v/>
      </c>
      <c r="P45" s="31" t="str">
        <f>IF(SUMIFS(Data!$U:$U,Data!$A:$A,$B45,Data!$C:$C,P$1)=0,"",SUMIFS(Data!$U:$U,Data!$A:$A,$B45,Data!$C:$C,P$1))</f>
        <v/>
      </c>
      <c r="Q45" s="31" t="str">
        <f>IF(SUMIFS(Data!$U:$U,Data!$A:$A,$B45,Data!$C:$C,Q$1)=0,"",SUMIFS(Data!$U:$U,Data!$A:$A,$B45,Data!$C:$C,Q$1))</f>
        <v/>
      </c>
      <c r="R45" s="31">
        <f>VLOOKUP(B45,'#ligaSYR'!$B:$R,17,0)</f>
        <v>1</v>
      </c>
      <c r="S45" s="31">
        <f>SUM(C45:R45)</f>
        <v>11.657738095238095</v>
      </c>
      <c r="T45" s="31">
        <f>SUMIFS(Data!D:D,Data!A:A,B45)</f>
        <v>56.35</v>
      </c>
    </row>
    <row r="46" spans="1:20" ht="13" x14ac:dyDescent="0.3">
      <c r="A46" s="79">
        <v>45</v>
      </c>
      <c r="B46" s="30" t="s">
        <v>392</v>
      </c>
      <c r="C46" s="31" t="str">
        <f>IF(SUMIFS(Data!$U:$U,Data!$A:$A,$B46,Data!$C:$C,C$1)=0,"",SUMIFS(Data!$U:$U,Data!$A:$A,$B46,Data!$C:$C,C$1))</f>
        <v/>
      </c>
      <c r="D46" s="31" t="str">
        <f>IF(SUMIFS(Data!$U:$U,Data!$A:$A,$B46,Data!$C:$C,D$1)=0,"",SUMIFS(Data!$U:$U,Data!$A:$A,$B46,Data!$C:$C,D$1))</f>
        <v/>
      </c>
      <c r="E46" s="31">
        <f>IF(SUMIFS(Data!$U:$U,Data!$A:$A,$B46,Data!$C:$C,E$1)=0,"",SUMIFS(Data!$U:$U,Data!$A:$A,$B46,Data!$C:$C,E$1))</f>
        <v>1.8119047619047617</v>
      </c>
      <c r="F46" s="31" t="str">
        <f>IF(SUMIFS(Data!$U:$U,Data!$A:$A,$B46,Data!$C:$C,F$1)=0,"",SUMIFS(Data!$U:$U,Data!$A:$A,$B46,Data!$C:$C,F$1))</f>
        <v/>
      </c>
      <c r="G46" s="31">
        <f>IF(SUMIFS(Data!$U:$U,Data!$A:$A,$B46,Data!$C:$C,G$1)=0,"",SUMIFS(Data!$U:$U,Data!$A:$A,$B46,Data!$C:$C,G$1))</f>
        <v>2.1166666666666667</v>
      </c>
      <c r="H46" s="31">
        <f>IF(SUMIFS(Data!$U:$U,Data!$A:$A,$B46,Data!$C:$C,H$1)=0,"",SUMIFS(Data!$U:$U,Data!$A:$A,$B46,Data!$C:$C,H$1))</f>
        <v>3.125</v>
      </c>
      <c r="I46" s="31">
        <f>IF(SUMIFS(Data!$U:$U,Data!$A:$A,$B46,Data!$C:$C,I$1)=0,"",SUMIFS(Data!$U:$U,Data!$A:$A,$B46,Data!$C:$C,I$1))</f>
        <v>3.3125</v>
      </c>
      <c r="J46" s="31" t="str">
        <f>IF(SUMIFS(Data!$U:$U,Data!$A:$A,$B46,Data!$C:$C,J$1)=0,"",SUMIFS(Data!$U:$U,Data!$A:$A,$B46,Data!$C:$C,J$1))</f>
        <v/>
      </c>
      <c r="K46" s="31" t="str">
        <f>IF(SUMIFS(Data!$U:$U,Data!$A:$A,$B46,Data!$C:$C,K$1)=0,"",SUMIFS(Data!$U:$U,Data!$A:$A,$B46,Data!$C:$C,K$1))</f>
        <v/>
      </c>
      <c r="L46" s="31" t="str">
        <f>IF(SUMIFS(Data!$U:$U,Data!$A:$A,$B46,Data!$C:$C,L$1)=0,"",SUMIFS(Data!$U:$U,Data!$A:$A,$B46,Data!$C:$C,L$1))</f>
        <v/>
      </c>
      <c r="M46" s="31" t="str">
        <f>IF(SUMIFS(Data!$U:$U,Data!$A:$A,$B46,Data!$C:$C,M$1)=0,"",SUMIFS(Data!$U:$U,Data!$A:$A,$B46,Data!$C:$C,M$1))</f>
        <v/>
      </c>
      <c r="N46" s="31" t="str">
        <f>IF(SUMIFS(Data!$U:$U,Data!$A:$A,$B46,Data!$C:$C,N$1)=0,"",SUMIFS(Data!$U:$U,Data!$A:$A,$B46,Data!$C:$C,N$1))</f>
        <v/>
      </c>
      <c r="O46" s="31" t="str">
        <f>IF(SUMIFS(Data!$U:$U,Data!$A:$A,$B46,Data!$C:$C,O$1)=0,"",SUMIFS(Data!$U:$U,Data!$A:$A,$B46,Data!$C:$C,O$1))</f>
        <v/>
      </c>
      <c r="P46" s="31" t="str">
        <f>IF(SUMIFS(Data!$U:$U,Data!$A:$A,$B46,Data!$C:$C,P$1)=0,"",SUMIFS(Data!$U:$U,Data!$A:$A,$B46,Data!$C:$C,P$1))</f>
        <v/>
      </c>
      <c r="Q46" s="31" t="str">
        <f>IF(SUMIFS(Data!$U:$U,Data!$A:$A,$B46,Data!$C:$C,Q$1)=0,"",SUMIFS(Data!$U:$U,Data!$A:$A,$B46,Data!$C:$C,Q$1))</f>
        <v/>
      </c>
      <c r="R46" s="31">
        <f>VLOOKUP(B46,'#ligaSYR'!$B:$R,17,0)</f>
        <v>0</v>
      </c>
      <c r="S46" s="31">
        <f>SUM(C46:R46)</f>
        <v>10.366071428571429</v>
      </c>
      <c r="T46" s="31">
        <f>SUMIFS(Data!D:D,Data!A:A,B46)</f>
        <v>67.3</v>
      </c>
    </row>
    <row r="47" spans="1:20" ht="13" x14ac:dyDescent="0.3">
      <c r="A47" s="79">
        <v>46</v>
      </c>
      <c r="B47" s="30" t="s">
        <v>358</v>
      </c>
      <c r="C47" s="31">
        <f>IF(SUMIFS(Data!$U:$U,Data!$A:$A,$B47,Data!$C:$C,C$1)=0,"",SUMIFS(Data!$U:$U,Data!$A:$A,$B47,Data!$C:$C,C$1))</f>
        <v>3.1909999999999998</v>
      </c>
      <c r="D47" s="31">
        <f>IF(SUMIFS(Data!$U:$U,Data!$A:$A,$B47,Data!$C:$C,D$1)=0,"",SUMIFS(Data!$U:$U,Data!$A:$A,$B47,Data!$C:$C,D$1))</f>
        <v>1.5</v>
      </c>
      <c r="E47" s="31">
        <f>IF(SUMIFS(Data!$U:$U,Data!$A:$A,$B47,Data!$C:$C,E$1)=0,"",SUMIFS(Data!$U:$U,Data!$A:$A,$B47,Data!$C:$C,E$1))</f>
        <v>3.1998333333333333</v>
      </c>
      <c r="F47" s="31">
        <f>IF(SUMIFS(Data!$U:$U,Data!$A:$A,$B47,Data!$C:$C,F$1)=0,"",SUMIFS(Data!$U:$U,Data!$A:$A,$B47,Data!$C:$C,F$1))</f>
        <v>1.4728333333333334</v>
      </c>
      <c r="G47" s="31">
        <f>IF(SUMIFS(Data!$U:$U,Data!$A:$A,$B47,Data!$C:$C,G$1)=0,"",SUMIFS(Data!$U:$U,Data!$A:$A,$B47,Data!$C:$C,G$1))</f>
        <v>0.9395</v>
      </c>
      <c r="H47" s="31" t="str">
        <f>IF(SUMIFS(Data!$U:$U,Data!$A:$A,$B47,Data!$C:$C,H$1)=0,"",SUMIFS(Data!$U:$U,Data!$A:$A,$B47,Data!$C:$C,H$1))</f>
        <v/>
      </c>
      <c r="I47" s="31" t="str">
        <f>IF(SUMIFS(Data!$U:$U,Data!$A:$A,$B47,Data!$C:$C,I$1)=0,"",SUMIFS(Data!$U:$U,Data!$A:$A,$B47,Data!$C:$C,I$1))</f>
        <v/>
      </c>
      <c r="J47" s="31" t="str">
        <f>IF(SUMIFS(Data!$U:$U,Data!$A:$A,$B47,Data!$C:$C,J$1)=0,"",SUMIFS(Data!$U:$U,Data!$A:$A,$B47,Data!$C:$C,J$1))</f>
        <v/>
      </c>
      <c r="K47" s="31" t="str">
        <f>IF(SUMIFS(Data!$U:$U,Data!$A:$A,$B47,Data!$C:$C,K$1)=0,"",SUMIFS(Data!$U:$U,Data!$A:$A,$B47,Data!$C:$C,K$1))</f>
        <v/>
      </c>
      <c r="L47" s="31" t="str">
        <f>IF(SUMIFS(Data!$U:$U,Data!$A:$A,$B47,Data!$C:$C,L$1)=0,"",SUMIFS(Data!$U:$U,Data!$A:$A,$B47,Data!$C:$C,L$1))</f>
        <v/>
      </c>
      <c r="M47" s="31" t="str">
        <f>IF(SUMIFS(Data!$U:$U,Data!$A:$A,$B47,Data!$C:$C,M$1)=0,"",SUMIFS(Data!$U:$U,Data!$A:$A,$B47,Data!$C:$C,M$1))</f>
        <v/>
      </c>
      <c r="N47" s="31" t="str">
        <f>IF(SUMIFS(Data!$U:$U,Data!$A:$A,$B47,Data!$C:$C,N$1)=0,"",SUMIFS(Data!$U:$U,Data!$A:$A,$B47,Data!$C:$C,N$1))</f>
        <v/>
      </c>
      <c r="O47" s="31" t="str">
        <f>IF(SUMIFS(Data!$U:$U,Data!$A:$A,$B47,Data!$C:$C,O$1)=0,"",SUMIFS(Data!$U:$U,Data!$A:$A,$B47,Data!$C:$C,O$1))</f>
        <v/>
      </c>
      <c r="P47" s="31" t="str">
        <f>IF(SUMIFS(Data!$U:$U,Data!$A:$A,$B47,Data!$C:$C,P$1)=0,"",SUMIFS(Data!$U:$U,Data!$A:$A,$B47,Data!$C:$C,P$1))</f>
        <v/>
      </c>
      <c r="Q47" s="31" t="str">
        <f>IF(SUMIFS(Data!$U:$U,Data!$A:$A,$B47,Data!$C:$C,Q$1)=0,"",SUMIFS(Data!$U:$U,Data!$A:$A,$B47,Data!$C:$C,Q$1))</f>
        <v/>
      </c>
      <c r="R47" s="31">
        <f>VLOOKUP(B47,'#ligaSYR'!$B:$R,17,0)</f>
        <v>0</v>
      </c>
      <c r="S47" s="31">
        <f>SUM(C47:R47)</f>
        <v>10.303166666666668</v>
      </c>
      <c r="T47" s="31">
        <f>SUMIFS(Data!D:D,Data!A:A,B47)</f>
        <v>56.980000000000004</v>
      </c>
    </row>
    <row r="48" spans="1:20" ht="13" x14ac:dyDescent="0.3">
      <c r="A48" s="79">
        <v>47</v>
      </c>
      <c r="B48" s="30" t="s">
        <v>373</v>
      </c>
      <c r="C48" s="31">
        <f>IF(SUMIFS(Data!$U:$U,Data!$A:$A,$B48,Data!$C:$C,C$1)=0,"",SUMIFS(Data!$U:$U,Data!$A:$A,$B48,Data!$C:$C,C$1))</f>
        <v>1.7162500000000001</v>
      </c>
      <c r="D48" s="31">
        <f>IF(SUMIFS(Data!$U:$U,Data!$A:$A,$B48,Data!$C:$C,D$1)=0,"",SUMIFS(Data!$U:$U,Data!$A:$A,$B48,Data!$C:$C,D$1))</f>
        <v>2.9387499999999998</v>
      </c>
      <c r="E48" s="31">
        <f>IF(SUMIFS(Data!$U:$U,Data!$A:$A,$B48,Data!$C:$C,E$1)=0,"",SUMIFS(Data!$U:$U,Data!$A:$A,$B48,Data!$C:$C,E$1))</f>
        <v>3.223125</v>
      </c>
      <c r="F48" s="31">
        <f>IF(SUMIFS(Data!$U:$U,Data!$A:$A,$B48,Data!$C:$C,F$1)=0,"",SUMIFS(Data!$U:$U,Data!$A:$A,$B48,Data!$C:$C,F$1))</f>
        <v>1.9393750000000001</v>
      </c>
      <c r="G48" s="31" t="str">
        <f>IF(SUMIFS(Data!$U:$U,Data!$A:$A,$B48,Data!$C:$C,G$1)=0,"",SUMIFS(Data!$U:$U,Data!$A:$A,$B48,Data!$C:$C,G$1))</f>
        <v/>
      </c>
      <c r="H48" s="31" t="str">
        <f>IF(SUMIFS(Data!$U:$U,Data!$A:$A,$B48,Data!$C:$C,H$1)=0,"",SUMIFS(Data!$U:$U,Data!$A:$A,$B48,Data!$C:$C,H$1))</f>
        <v/>
      </c>
      <c r="I48" s="31" t="str">
        <f>IF(SUMIFS(Data!$U:$U,Data!$A:$A,$B48,Data!$C:$C,I$1)=0,"",SUMIFS(Data!$U:$U,Data!$A:$A,$B48,Data!$C:$C,I$1))</f>
        <v/>
      </c>
      <c r="J48" s="31" t="str">
        <f>IF(SUMIFS(Data!$U:$U,Data!$A:$A,$B48,Data!$C:$C,J$1)=0,"",SUMIFS(Data!$U:$U,Data!$A:$A,$B48,Data!$C:$C,J$1))</f>
        <v/>
      </c>
      <c r="K48" s="31" t="str">
        <f>IF(SUMIFS(Data!$U:$U,Data!$A:$A,$B48,Data!$C:$C,K$1)=0,"",SUMIFS(Data!$U:$U,Data!$A:$A,$B48,Data!$C:$C,K$1))</f>
        <v/>
      </c>
      <c r="L48" s="31" t="str">
        <f>IF(SUMIFS(Data!$U:$U,Data!$A:$A,$B48,Data!$C:$C,L$1)=0,"",SUMIFS(Data!$U:$U,Data!$A:$A,$B48,Data!$C:$C,L$1))</f>
        <v/>
      </c>
      <c r="M48" s="31" t="str">
        <f>IF(SUMIFS(Data!$U:$U,Data!$A:$A,$B48,Data!$C:$C,M$1)=0,"",SUMIFS(Data!$U:$U,Data!$A:$A,$B48,Data!$C:$C,M$1))</f>
        <v/>
      </c>
      <c r="N48" s="31" t="str">
        <f>IF(SUMIFS(Data!$U:$U,Data!$A:$A,$B48,Data!$C:$C,N$1)=0,"",SUMIFS(Data!$U:$U,Data!$A:$A,$B48,Data!$C:$C,N$1))</f>
        <v/>
      </c>
      <c r="O48" s="31" t="str">
        <f>IF(SUMIFS(Data!$U:$U,Data!$A:$A,$B48,Data!$C:$C,O$1)=0,"",SUMIFS(Data!$U:$U,Data!$A:$A,$B48,Data!$C:$C,O$1))</f>
        <v/>
      </c>
      <c r="P48" s="31" t="str">
        <f>IF(SUMIFS(Data!$U:$U,Data!$A:$A,$B48,Data!$C:$C,P$1)=0,"",SUMIFS(Data!$U:$U,Data!$A:$A,$B48,Data!$C:$C,P$1))</f>
        <v/>
      </c>
      <c r="Q48" s="31" t="str">
        <f>IF(SUMIFS(Data!$U:$U,Data!$A:$A,$B48,Data!$C:$C,Q$1)=0,"",SUMIFS(Data!$U:$U,Data!$A:$A,$B48,Data!$C:$C,Q$1))</f>
        <v/>
      </c>
      <c r="R48" s="31">
        <f>VLOOKUP(B48,'#ligaSYR'!$B:$R,17,0)</f>
        <v>0</v>
      </c>
      <c r="S48" s="31">
        <f>SUM(C48:R48)</f>
        <v>9.817499999999999</v>
      </c>
      <c r="T48" s="31">
        <f>SUMIFS(Data!D:D,Data!A:A,B48)</f>
        <v>22.080000000000002</v>
      </c>
    </row>
    <row r="49" spans="1:20" ht="13" x14ac:dyDescent="0.3">
      <c r="A49" s="79">
        <v>48</v>
      </c>
      <c r="B49" s="30" t="s">
        <v>433</v>
      </c>
      <c r="C49" s="31" t="str">
        <f>IF(SUMIFS(Data!$U:$U,Data!$A:$A,$B49,Data!$C:$C,C$1)=0,"",SUMIFS(Data!$U:$U,Data!$A:$A,$B49,Data!$C:$C,C$1))</f>
        <v/>
      </c>
      <c r="D49" s="31" t="str">
        <f>IF(SUMIFS(Data!$U:$U,Data!$A:$A,$B49,Data!$C:$C,D$1)=0,"",SUMIFS(Data!$U:$U,Data!$A:$A,$B49,Data!$C:$C,D$1))</f>
        <v/>
      </c>
      <c r="E49" s="31" t="str">
        <f>IF(SUMIFS(Data!$U:$U,Data!$A:$A,$B49,Data!$C:$C,E$1)=0,"",SUMIFS(Data!$U:$U,Data!$A:$A,$B49,Data!$C:$C,E$1))</f>
        <v/>
      </c>
      <c r="F49" s="31" t="str">
        <f>IF(SUMIFS(Data!$U:$U,Data!$A:$A,$B49,Data!$C:$C,F$1)=0,"",SUMIFS(Data!$U:$U,Data!$A:$A,$B49,Data!$C:$C,F$1))</f>
        <v/>
      </c>
      <c r="G49" s="31">
        <f>IF(SUMIFS(Data!$U:$U,Data!$A:$A,$B49,Data!$C:$C,G$1)=0,"",SUMIFS(Data!$U:$U,Data!$A:$A,$B49,Data!$C:$C,G$1))</f>
        <v>1.7321428571428572</v>
      </c>
      <c r="H49" s="31">
        <f>IF(SUMIFS(Data!$U:$U,Data!$A:$A,$B49,Data!$C:$C,H$1)=0,"",SUMIFS(Data!$U:$U,Data!$A:$A,$B49,Data!$C:$C,H$1))</f>
        <v>2.7764047619047618</v>
      </c>
      <c r="I49" s="31">
        <f>IF(SUMIFS(Data!$U:$U,Data!$A:$A,$B49,Data!$C:$C,I$1)=0,"",SUMIFS(Data!$U:$U,Data!$A:$A,$B49,Data!$C:$C,I$1))</f>
        <v>2.4337380952380951</v>
      </c>
      <c r="J49" s="31">
        <f>IF(SUMIFS(Data!$U:$U,Data!$A:$A,$B49,Data!$C:$C,J$1)=0,"",SUMIFS(Data!$U:$U,Data!$A:$A,$B49,Data!$C:$C,J$1))</f>
        <v>2.2701666666666664</v>
      </c>
      <c r="K49" s="31" t="str">
        <f>IF(SUMIFS(Data!$U:$U,Data!$A:$A,$B49,Data!$C:$C,K$1)=0,"",SUMIFS(Data!$U:$U,Data!$A:$A,$B49,Data!$C:$C,K$1))</f>
        <v/>
      </c>
      <c r="L49" s="31" t="str">
        <f>IF(SUMIFS(Data!$U:$U,Data!$A:$A,$B49,Data!$C:$C,L$1)=0,"",SUMIFS(Data!$U:$U,Data!$A:$A,$B49,Data!$C:$C,L$1))</f>
        <v/>
      </c>
      <c r="M49" s="31" t="str">
        <f>IF(SUMIFS(Data!$U:$U,Data!$A:$A,$B49,Data!$C:$C,M$1)=0,"",SUMIFS(Data!$U:$U,Data!$A:$A,$B49,Data!$C:$C,M$1))</f>
        <v/>
      </c>
      <c r="N49" s="31" t="str">
        <f>IF(SUMIFS(Data!$U:$U,Data!$A:$A,$B49,Data!$C:$C,N$1)=0,"",SUMIFS(Data!$U:$U,Data!$A:$A,$B49,Data!$C:$C,N$1))</f>
        <v/>
      </c>
      <c r="O49" s="31" t="str">
        <f>IF(SUMIFS(Data!$U:$U,Data!$A:$A,$B49,Data!$C:$C,O$1)=0,"",SUMIFS(Data!$U:$U,Data!$A:$A,$B49,Data!$C:$C,O$1))</f>
        <v/>
      </c>
      <c r="P49" s="31" t="str">
        <f>IF(SUMIFS(Data!$U:$U,Data!$A:$A,$B49,Data!$C:$C,P$1)=0,"",SUMIFS(Data!$U:$U,Data!$A:$A,$B49,Data!$C:$C,P$1))</f>
        <v/>
      </c>
      <c r="Q49" s="31" t="str">
        <f>IF(SUMIFS(Data!$U:$U,Data!$A:$A,$B49,Data!$C:$C,Q$1)=0,"",SUMIFS(Data!$U:$U,Data!$A:$A,$B49,Data!$C:$C,Q$1))</f>
        <v/>
      </c>
      <c r="R49" s="31">
        <f>VLOOKUP(B49,'#ligaSYR'!$B:$R,17,0)</f>
        <v>0</v>
      </c>
      <c r="S49" s="31">
        <f>SUM(C49:R49)</f>
        <v>9.2124523809523797</v>
      </c>
      <c r="T49" s="31">
        <f>SUMIFS(Data!D:D,Data!A:A,B49)</f>
        <v>57.51</v>
      </c>
    </row>
    <row r="50" spans="1:20" ht="13" x14ac:dyDescent="0.3">
      <c r="A50" s="79">
        <v>49</v>
      </c>
      <c r="B50" s="30" t="s">
        <v>380</v>
      </c>
      <c r="C50" s="31" t="str">
        <f>IF(SUMIFS(Data!$U:$U,Data!$A:$A,$B50,Data!$C:$C,C$1)=0,"",SUMIFS(Data!$U:$U,Data!$A:$A,$B50,Data!$C:$C,C$1))</f>
        <v/>
      </c>
      <c r="D50" s="31">
        <f>IF(SUMIFS(Data!$U:$U,Data!$A:$A,$B50,Data!$C:$C,D$1)=0,"",SUMIFS(Data!$U:$U,Data!$A:$A,$B50,Data!$C:$C,D$1))</f>
        <v>2.2916666666666665</v>
      </c>
      <c r="E50" s="31" t="str">
        <f>IF(SUMIFS(Data!$U:$U,Data!$A:$A,$B50,Data!$C:$C,E$1)=0,"",SUMIFS(Data!$U:$U,Data!$A:$A,$B50,Data!$C:$C,E$1))</f>
        <v/>
      </c>
      <c r="F50" s="31" t="str">
        <f>IF(SUMIFS(Data!$U:$U,Data!$A:$A,$B50,Data!$C:$C,F$1)=0,"",SUMIFS(Data!$U:$U,Data!$A:$A,$B50,Data!$C:$C,F$1))</f>
        <v/>
      </c>
      <c r="G50" s="31" t="str">
        <f>IF(SUMIFS(Data!$U:$U,Data!$A:$A,$B50,Data!$C:$C,G$1)=0,"",SUMIFS(Data!$U:$U,Data!$A:$A,$B50,Data!$C:$C,G$1))</f>
        <v/>
      </c>
      <c r="H50" s="31" t="str">
        <f>IF(SUMIFS(Data!$U:$U,Data!$A:$A,$B50,Data!$C:$C,H$1)=0,"",SUMIFS(Data!$U:$U,Data!$A:$A,$B50,Data!$C:$C,H$1))</f>
        <v/>
      </c>
      <c r="I50" s="31" t="str">
        <f>IF(SUMIFS(Data!$U:$U,Data!$A:$A,$B50,Data!$C:$C,I$1)=0,"",SUMIFS(Data!$U:$U,Data!$A:$A,$B50,Data!$C:$C,I$1))</f>
        <v/>
      </c>
      <c r="J50" s="31">
        <f>IF(SUMIFS(Data!$U:$U,Data!$A:$A,$B50,Data!$C:$C,J$1)=0,"",SUMIFS(Data!$U:$U,Data!$A:$A,$B50,Data!$C:$C,J$1))</f>
        <v>2.7250000000000001</v>
      </c>
      <c r="K50" s="31" t="str">
        <f>IF(SUMIFS(Data!$U:$U,Data!$A:$A,$B50,Data!$C:$C,K$1)=0,"",SUMIFS(Data!$U:$U,Data!$A:$A,$B50,Data!$C:$C,K$1))</f>
        <v/>
      </c>
      <c r="L50" s="31" t="str">
        <f>IF(SUMIFS(Data!$U:$U,Data!$A:$A,$B50,Data!$C:$C,L$1)=0,"",SUMIFS(Data!$U:$U,Data!$A:$A,$B50,Data!$C:$C,L$1))</f>
        <v/>
      </c>
      <c r="M50" s="31" t="str">
        <f>IF(SUMIFS(Data!$U:$U,Data!$A:$A,$B50,Data!$C:$C,M$1)=0,"",SUMIFS(Data!$U:$U,Data!$A:$A,$B50,Data!$C:$C,M$1))</f>
        <v/>
      </c>
      <c r="N50" s="31">
        <f>IF(SUMIFS(Data!$U:$U,Data!$A:$A,$B50,Data!$C:$C,N$1)=0,"",SUMIFS(Data!$U:$U,Data!$A:$A,$B50,Data!$C:$C,N$1))</f>
        <v>3.375</v>
      </c>
      <c r="O50" s="31" t="str">
        <f>IF(SUMIFS(Data!$U:$U,Data!$A:$A,$B50,Data!$C:$C,O$1)=0,"",SUMIFS(Data!$U:$U,Data!$A:$A,$B50,Data!$C:$C,O$1))</f>
        <v/>
      </c>
      <c r="P50" s="31" t="str">
        <f>IF(SUMIFS(Data!$U:$U,Data!$A:$A,$B50,Data!$C:$C,P$1)=0,"",SUMIFS(Data!$U:$U,Data!$A:$A,$B50,Data!$C:$C,P$1))</f>
        <v/>
      </c>
      <c r="Q50" s="31" t="str">
        <f>IF(SUMIFS(Data!$U:$U,Data!$A:$A,$B50,Data!$C:$C,Q$1)=0,"",SUMIFS(Data!$U:$U,Data!$A:$A,$B50,Data!$C:$C,Q$1))</f>
        <v/>
      </c>
      <c r="R50" s="31">
        <f>VLOOKUP(B50,'#ligaSYR'!$B:$R,17,0)</f>
        <v>0</v>
      </c>
      <c r="S50" s="31">
        <f>SUM(C50:R50)</f>
        <v>8.3916666666666657</v>
      </c>
      <c r="T50" s="31">
        <f>SUMIFS(Data!D:D,Data!A:A,B50)</f>
        <v>47.43</v>
      </c>
    </row>
    <row r="51" spans="1:20" ht="13" x14ac:dyDescent="0.3">
      <c r="A51" s="79">
        <v>50</v>
      </c>
      <c r="B51" s="30" t="s">
        <v>350</v>
      </c>
      <c r="C51" s="31">
        <f>IF(SUMIFS(Data!$U:$U,Data!$A:$A,$B51,Data!$C:$C,C$1)=0,"",SUMIFS(Data!$U:$U,Data!$A:$A,$B51,Data!$C:$C,C$1))</f>
        <v>4.5971666666666664</v>
      </c>
      <c r="D51" s="31">
        <f>IF(SUMIFS(Data!$U:$U,Data!$A:$A,$B51,Data!$C:$C,D$1)=0,"",SUMIFS(Data!$U:$U,Data!$A:$A,$B51,Data!$C:$C,D$1))</f>
        <v>3.0674999999999999</v>
      </c>
      <c r="E51" s="31" t="str">
        <f>IF(SUMIFS(Data!$U:$U,Data!$A:$A,$B51,Data!$C:$C,E$1)=0,"",SUMIFS(Data!$U:$U,Data!$A:$A,$B51,Data!$C:$C,E$1))</f>
        <v/>
      </c>
      <c r="F51" s="31" t="str">
        <f>IF(SUMIFS(Data!$U:$U,Data!$A:$A,$B51,Data!$C:$C,F$1)=0,"",SUMIFS(Data!$U:$U,Data!$A:$A,$B51,Data!$C:$C,F$1))</f>
        <v/>
      </c>
      <c r="G51" s="31" t="str">
        <f>IF(SUMIFS(Data!$U:$U,Data!$A:$A,$B51,Data!$C:$C,G$1)=0,"",SUMIFS(Data!$U:$U,Data!$A:$A,$B51,Data!$C:$C,G$1))</f>
        <v/>
      </c>
      <c r="H51" s="31" t="str">
        <f>IF(SUMIFS(Data!$U:$U,Data!$A:$A,$B51,Data!$C:$C,H$1)=0,"",SUMIFS(Data!$U:$U,Data!$A:$A,$B51,Data!$C:$C,H$1))</f>
        <v/>
      </c>
      <c r="I51" s="31" t="str">
        <f>IF(SUMIFS(Data!$U:$U,Data!$A:$A,$B51,Data!$C:$C,I$1)=0,"",SUMIFS(Data!$U:$U,Data!$A:$A,$B51,Data!$C:$C,I$1))</f>
        <v/>
      </c>
      <c r="J51" s="31" t="str">
        <f>IF(SUMIFS(Data!$U:$U,Data!$A:$A,$B51,Data!$C:$C,J$1)=0,"",SUMIFS(Data!$U:$U,Data!$A:$A,$B51,Data!$C:$C,J$1))</f>
        <v/>
      </c>
      <c r="K51" s="31" t="str">
        <f>IF(SUMIFS(Data!$U:$U,Data!$A:$A,$B51,Data!$C:$C,K$1)=0,"",SUMIFS(Data!$U:$U,Data!$A:$A,$B51,Data!$C:$C,K$1))</f>
        <v/>
      </c>
      <c r="L51" s="31" t="str">
        <f>IF(SUMIFS(Data!$U:$U,Data!$A:$A,$B51,Data!$C:$C,L$1)=0,"",SUMIFS(Data!$U:$U,Data!$A:$A,$B51,Data!$C:$C,L$1))</f>
        <v/>
      </c>
      <c r="M51" s="31" t="str">
        <f>IF(SUMIFS(Data!$U:$U,Data!$A:$A,$B51,Data!$C:$C,M$1)=0,"",SUMIFS(Data!$U:$U,Data!$A:$A,$B51,Data!$C:$C,M$1))</f>
        <v/>
      </c>
      <c r="N51" s="31" t="str">
        <f>IF(SUMIFS(Data!$U:$U,Data!$A:$A,$B51,Data!$C:$C,N$1)=0,"",SUMIFS(Data!$U:$U,Data!$A:$A,$B51,Data!$C:$C,N$1))</f>
        <v/>
      </c>
      <c r="O51" s="31" t="str">
        <f>IF(SUMIFS(Data!$U:$U,Data!$A:$A,$B51,Data!$C:$C,O$1)=0,"",SUMIFS(Data!$U:$U,Data!$A:$A,$B51,Data!$C:$C,O$1))</f>
        <v/>
      </c>
      <c r="P51" s="31" t="str">
        <f>IF(SUMIFS(Data!$U:$U,Data!$A:$A,$B51,Data!$C:$C,P$1)=0,"",SUMIFS(Data!$U:$U,Data!$A:$A,$B51,Data!$C:$C,P$1))</f>
        <v/>
      </c>
      <c r="Q51" s="31" t="str">
        <f>IF(SUMIFS(Data!$U:$U,Data!$A:$A,$B51,Data!$C:$C,Q$1)=0,"",SUMIFS(Data!$U:$U,Data!$A:$A,$B51,Data!$C:$C,Q$1))</f>
        <v/>
      </c>
      <c r="R51" s="31">
        <f>VLOOKUP(B51,'#ligaSYR'!$B:$R,17,0)</f>
        <v>0</v>
      </c>
      <c r="S51" s="31">
        <f>SUM(C51:R51)</f>
        <v>7.6646666666666663</v>
      </c>
      <c r="T51" s="31">
        <f>SUMIFS(Data!D:D,Data!A:A,B51)</f>
        <v>37.58</v>
      </c>
    </row>
    <row r="52" spans="1:20" ht="13" x14ac:dyDescent="0.3">
      <c r="A52" s="79">
        <v>51</v>
      </c>
      <c r="B52" s="30" t="s">
        <v>393</v>
      </c>
      <c r="C52" s="31" t="str">
        <f>IF(SUMIFS(Data!$U:$U,Data!$A:$A,$B52,Data!$C:$C,C$1)=0,"",SUMIFS(Data!$U:$U,Data!$A:$A,$B52,Data!$C:$C,C$1))</f>
        <v/>
      </c>
      <c r="D52" s="31" t="str">
        <f>IF(SUMIFS(Data!$U:$U,Data!$A:$A,$B52,Data!$C:$C,D$1)=0,"",SUMIFS(Data!$U:$U,Data!$A:$A,$B52,Data!$C:$C,D$1))</f>
        <v/>
      </c>
      <c r="E52" s="31">
        <f>IF(SUMIFS(Data!$U:$U,Data!$A:$A,$B52,Data!$C:$C,E$1)=0,"",SUMIFS(Data!$U:$U,Data!$A:$A,$B52,Data!$C:$C,E$1))</f>
        <v>2.3487142857142853</v>
      </c>
      <c r="F52" s="31" t="str">
        <f>IF(SUMIFS(Data!$U:$U,Data!$A:$A,$B52,Data!$C:$C,F$1)=0,"",SUMIFS(Data!$U:$U,Data!$A:$A,$B52,Data!$C:$C,F$1))</f>
        <v/>
      </c>
      <c r="G52" s="31" t="str">
        <f>IF(SUMIFS(Data!$U:$U,Data!$A:$A,$B52,Data!$C:$C,G$1)=0,"",SUMIFS(Data!$U:$U,Data!$A:$A,$B52,Data!$C:$C,G$1))</f>
        <v/>
      </c>
      <c r="H52" s="31" t="str">
        <f>IF(SUMIFS(Data!$U:$U,Data!$A:$A,$B52,Data!$C:$C,H$1)=0,"",SUMIFS(Data!$U:$U,Data!$A:$A,$B52,Data!$C:$C,H$1))</f>
        <v/>
      </c>
      <c r="I52" s="31" t="str">
        <f>IF(SUMIFS(Data!$U:$U,Data!$A:$A,$B52,Data!$C:$C,I$1)=0,"",SUMIFS(Data!$U:$U,Data!$A:$A,$B52,Data!$C:$C,I$1))</f>
        <v/>
      </c>
      <c r="J52" s="31" t="str">
        <f>IF(SUMIFS(Data!$U:$U,Data!$A:$A,$B52,Data!$C:$C,J$1)=0,"",SUMIFS(Data!$U:$U,Data!$A:$A,$B52,Data!$C:$C,J$1))</f>
        <v/>
      </c>
      <c r="K52" s="31" t="str">
        <f>IF(SUMIFS(Data!$U:$U,Data!$A:$A,$B52,Data!$C:$C,K$1)=0,"",SUMIFS(Data!$U:$U,Data!$A:$A,$B52,Data!$C:$C,K$1))</f>
        <v/>
      </c>
      <c r="L52" s="31">
        <f>IF(SUMIFS(Data!$U:$U,Data!$A:$A,$B52,Data!$C:$C,L$1)=0,"",SUMIFS(Data!$U:$U,Data!$A:$A,$B52,Data!$C:$C,L$1))</f>
        <v>2.9061428571428571</v>
      </c>
      <c r="M52" s="31" t="str">
        <f>IF(SUMIFS(Data!$U:$U,Data!$A:$A,$B52,Data!$C:$C,M$1)=0,"",SUMIFS(Data!$U:$U,Data!$A:$A,$B52,Data!$C:$C,M$1))</f>
        <v/>
      </c>
      <c r="N52" s="31" t="str">
        <f>IF(SUMIFS(Data!$U:$U,Data!$A:$A,$B52,Data!$C:$C,N$1)=0,"",SUMIFS(Data!$U:$U,Data!$A:$A,$B52,Data!$C:$C,N$1))</f>
        <v/>
      </c>
      <c r="O52" s="31">
        <f>IF(SUMIFS(Data!$U:$U,Data!$A:$A,$B52,Data!$C:$C,O$1)=0,"",SUMIFS(Data!$U:$U,Data!$A:$A,$B52,Data!$C:$C,O$1))</f>
        <v>2.1956666666666664</v>
      </c>
      <c r="P52" s="31" t="str">
        <f>IF(SUMIFS(Data!$U:$U,Data!$A:$A,$B52,Data!$C:$C,P$1)=0,"",SUMIFS(Data!$U:$U,Data!$A:$A,$B52,Data!$C:$C,P$1))</f>
        <v/>
      </c>
      <c r="Q52" s="31" t="str">
        <f>IF(SUMIFS(Data!$U:$U,Data!$A:$A,$B52,Data!$C:$C,Q$1)=0,"",SUMIFS(Data!$U:$U,Data!$A:$A,$B52,Data!$C:$C,Q$1))</f>
        <v/>
      </c>
      <c r="R52" s="31">
        <f>VLOOKUP(B52,'#ligaSYR'!$B:$R,17,0)</f>
        <v>0</v>
      </c>
      <c r="S52" s="31">
        <f>SUM(C52:R52)</f>
        <v>7.4505238095238084</v>
      </c>
      <c r="T52" s="31">
        <f>SUMIFS(Data!D:D,Data!A:A,B52)</f>
        <v>40.769999999999996</v>
      </c>
    </row>
    <row r="53" spans="1:20" ht="13" x14ac:dyDescent="0.3">
      <c r="A53" s="79">
        <v>52</v>
      </c>
      <c r="B53" s="30" t="s">
        <v>337</v>
      </c>
      <c r="C53" s="31">
        <f>IF(SUMIFS(Data!$U:$U,Data!$A:$A,$B53,Data!$C:$C,C$1)=0,"",SUMIFS(Data!$U:$U,Data!$A:$A,$B53,Data!$C:$C,C$1))</f>
        <v>2.8190476190476188</v>
      </c>
      <c r="D53" s="31">
        <f>IF(SUMIFS(Data!$U:$U,Data!$A:$A,$B53,Data!$C:$C,D$1)=0,"",SUMIFS(Data!$U:$U,Data!$A:$A,$B53,Data!$C:$C,D$1))</f>
        <v>3.2363095238095236</v>
      </c>
      <c r="E53" s="31" t="str">
        <f>IF(SUMIFS(Data!$U:$U,Data!$A:$A,$B53,Data!$C:$C,E$1)=0,"",SUMIFS(Data!$U:$U,Data!$A:$A,$B53,Data!$C:$C,E$1))</f>
        <v/>
      </c>
      <c r="F53" s="31" t="str">
        <f>IF(SUMIFS(Data!$U:$U,Data!$A:$A,$B53,Data!$C:$C,F$1)=0,"",SUMIFS(Data!$U:$U,Data!$A:$A,$B53,Data!$C:$C,F$1))</f>
        <v/>
      </c>
      <c r="G53" s="31" t="str">
        <f>IF(SUMIFS(Data!$U:$U,Data!$A:$A,$B53,Data!$C:$C,G$1)=0,"",SUMIFS(Data!$U:$U,Data!$A:$A,$B53,Data!$C:$C,G$1))</f>
        <v/>
      </c>
      <c r="H53" s="31" t="str">
        <f>IF(SUMIFS(Data!$U:$U,Data!$A:$A,$B53,Data!$C:$C,H$1)=0,"",SUMIFS(Data!$U:$U,Data!$A:$A,$B53,Data!$C:$C,H$1))</f>
        <v/>
      </c>
      <c r="I53" s="31" t="str">
        <f>IF(SUMIFS(Data!$U:$U,Data!$A:$A,$B53,Data!$C:$C,I$1)=0,"",SUMIFS(Data!$U:$U,Data!$A:$A,$B53,Data!$C:$C,I$1))</f>
        <v/>
      </c>
      <c r="J53" s="31" t="str">
        <f>IF(SUMIFS(Data!$U:$U,Data!$A:$A,$B53,Data!$C:$C,J$1)=0,"",SUMIFS(Data!$U:$U,Data!$A:$A,$B53,Data!$C:$C,J$1))</f>
        <v/>
      </c>
      <c r="K53" s="31" t="str">
        <f>IF(SUMIFS(Data!$U:$U,Data!$A:$A,$B53,Data!$C:$C,K$1)=0,"",SUMIFS(Data!$U:$U,Data!$A:$A,$B53,Data!$C:$C,K$1))</f>
        <v/>
      </c>
      <c r="L53" s="31" t="str">
        <f>IF(SUMIFS(Data!$U:$U,Data!$A:$A,$B53,Data!$C:$C,L$1)=0,"",SUMIFS(Data!$U:$U,Data!$A:$A,$B53,Data!$C:$C,L$1))</f>
        <v/>
      </c>
      <c r="M53" s="31" t="str">
        <f>IF(SUMIFS(Data!$U:$U,Data!$A:$A,$B53,Data!$C:$C,M$1)=0,"",SUMIFS(Data!$U:$U,Data!$A:$A,$B53,Data!$C:$C,M$1))</f>
        <v/>
      </c>
      <c r="N53" s="31" t="str">
        <f>IF(SUMIFS(Data!$U:$U,Data!$A:$A,$B53,Data!$C:$C,N$1)=0,"",SUMIFS(Data!$U:$U,Data!$A:$A,$B53,Data!$C:$C,N$1))</f>
        <v/>
      </c>
      <c r="O53" s="31" t="str">
        <f>IF(SUMIFS(Data!$U:$U,Data!$A:$A,$B53,Data!$C:$C,O$1)=0,"",SUMIFS(Data!$U:$U,Data!$A:$A,$B53,Data!$C:$C,O$1))</f>
        <v/>
      </c>
      <c r="P53" s="31" t="str">
        <f>IF(SUMIFS(Data!$U:$U,Data!$A:$A,$B53,Data!$C:$C,P$1)=0,"",SUMIFS(Data!$U:$U,Data!$A:$A,$B53,Data!$C:$C,P$1))</f>
        <v/>
      </c>
      <c r="Q53" s="31" t="str">
        <f>IF(SUMIFS(Data!$U:$U,Data!$A:$A,$B53,Data!$C:$C,Q$1)=0,"",SUMIFS(Data!$U:$U,Data!$A:$A,$B53,Data!$C:$C,Q$1))</f>
        <v/>
      </c>
      <c r="R53" s="31">
        <f>VLOOKUP(B53,'#ligaSYR'!$B:$R,17,0)</f>
        <v>0</v>
      </c>
      <c r="S53" s="31">
        <f>SUM(C53:R53)</f>
        <v>6.055357142857142</v>
      </c>
      <c r="T53" s="31">
        <f>SUMIFS(Data!D:D,Data!A:A,B53)</f>
        <v>26.77</v>
      </c>
    </row>
    <row r="54" spans="1:20" ht="13" x14ac:dyDescent="0.3">
      <c r="A54" s="79">
        <v>53</v>
      </c>
      <c r="B54" s="30" t="s">
        <v>461</v>
      </c>
      <c r="C54" s="31" t="str">
        <f>IF(SUMIFS(Data!$U:$U,Data!$A:$A,$B54,Data!$C:$C,C$1)=0,"",SUMIFS(Data!$U:$U,Data!$A:$A,$B54,Data!$C:$C,C$1))</f>
        <v/>
      </c>
      <c r="D54" s="31" t="str">
        <f>IF(SUMIFS(Data!$U:$U,Data!$A:$A,$B54,Data!$C:$C,D$1)=0,"",SUMIFS(Data!$U:$U,Data!$A:$A,$B54,Data!$C:$C,D$1))</f>
        <v/>
      </c>
      <c r="E54" s="31" t="str">
        <f>IF(SUMIFS(Data!$U:$U,Data!$A:$A,$B54,Data!$C:$C,E$1)=0,"",SUMIFS(Data!$U:$U,Data!$A:$A,$B54,Data!$C:$C,E$1))</f>
        <v/>
      </c>
      <c r="F54" s="31" t="str">
        <f>IF(SUMIFS(Data!$U:$U,Data!$A:$A,$B54,Data!$C:$C,F$1)=0,"",SUMIFS(Data!$U:$U,Data!$A:$A,$B54,Data!$C:$C,F$1))</f>
        <v/>
      </c>
      <c r="G54" s="31" t="str">
        <f>IF(SUMIFS(Data!$U:$U,Data!$A:$A,$B54,Data!$C:$C,G$1)=0,"",SUMIFS(Data!$U:$U,Data!$A:$A,$B54,Data!$C:$C,G$1))</f>
        <v/>
      </c>
      <c r="H54" s="31" t="str">
        <f>IF(SUMIFS(Data!$U:$U,Data!$A:$A,$B54,Data!$C:$C,H$1)=0,"",SUMIFS(Data!$U:$U,Data!$A:$A,$B54,Data!$C:$C,H$1))</f>
        <v/>
      </c>
      <c r="I54" s="31">
        <f>IF(SUMIFS(Data!$U:$U,Data!$A:$A,$B54,Data!$C:$C,I$1)=0,"",SUMIFS(Data!$U:$U,Data!$A:$A,$B54,Data!$C:$C,I$1))</f>
        <v>1.5809523809523809</v>
      </c>
      <c r="J54" s="31">
        <f>IF(SUMIFS(Data!$U:$U,Data!$A:$A,$B54,Data!$C:$C,J$1)=0,"",SUMIFS(Data!$U:$U,Data!$A:$A,$B54,Data!$C:$C,J$1))</f>
        <v>1.2791666666666666</v>
      </c>
      <c r="K54" s="31">
        <f>IF(SUMIFS(Data!$U:$U,Data!$A:$A,$B54,Data!$C:$C,K$1)=0,"",SUMIFS(Data!$U:$U,Data!$A:$A,$B54,Data!$C:$C,K$1))</f>
        <v>1.2922619047619048</v>
      </c>
      <c r="L54" s="31">
        <f>IF(SUMIFS(Data!$U:$U,Data!$A:$A,$B54,Data!$C:$C,L$1)=0,"",SUMIFS(Data!$U:$U,Data!$A:$A,$B54,Data!$C:$C,L$1))</f>
        <v>1.5041666666666667</v>
      </c>
      <c r="M54" s="31" t="str">
        <f>IF(SUMIFS(Data!$U:$U,Data!$A:$A,$B54,Data!$C:$C,M$1)=0,"",SUMIFS(Data!$U:$U,Data!$A:$A,$B54,Data!$C:$C,M$1))</f>
        <v/>
      </c>
      <c r="N54" s="31" t="str">
        <f>IF(SUMIFS(Data!$U:$U,Data!$A:$A,$B54,Data!$C:$C,N$1)=0,"",SUMIFS(Data!$U:$U,Data!$A:$A,$B54,Data!$C:$C,N$1))</f>
        <v/>
      </c>
      <c r="O54" s="31" t="str">
        <f>IF(SUMIFS(Data!$U:$U,Data!$A:$A,$B54,Data!$C:$C,O$1)=0,"",SUMIFS(Data!$U:$U,Data!$A:$A,$B54,Data!$C:$C,O$1))</f>
        <v/>
      </c>
      <c r="P54" s="31" t="str">
        <f>IF(SUMIFS(Data!$U:$U,Data!$A:$A,$B54,Data!$C:$C,P$1)=0,"",SUMIFS(Data!$U:$U,Data!$A:$A,$B54,Data!$C:$C,P$1))</f>
        <v/>
      </c>
      <c r="Q54" s="31" t="str">
        <f>IF(SUMIFS(Data!$U:$U,Data!$A:$A,$B54,Data!$C:$C,Q$1)=0,"",SUMIFS(Data!$U:$U,Data!$A:$A,$B54,Data!$C:$C,Q$1))</f>
        <v/>
      </c>
      <c r="R54" s="31">
        <f>VLOOKUP(B54,'#ligaSYR'!$B:$R,17,0)</f>
        <v>0</v>
      </c>
      <c r="S54" s="31">
        <f>SUM(C54:R54)</f>
        <v>5.6565476190476183</v>
      </c>
      <c r="T54" s="31">
        <f>SUMIFS(Data!D:D,Data!A:A,B54)</f>
        <v>46.54</v>
      </c>
    </row>
    <row r="55" spans="1:20" ht="13" x14ac:dyDescent="0.3">
      <c r="A55" s="79">
        <v>54</v>
      </c>
      <c r="B55" s="30" t="s">
        <v>363</v>
      </c>
      <c r="C55" s="31">
        <f>IF(SUMIFS(Data!$U:$U,Data!$A:$A,$B55,Data!$C:$C,C$1)=0,"",SUMIFS(Data!$U:$U,Data!$A:$A,$B55,Data!$C:$C,C$1))</f>
        <v>2.6287500000000001</v>
      </c>
      <c r="D55" s="31" t="str">
        <f>IF(SUMIFS(Data!$U:$U,Data!$A:$A,$B55,Data!$C:$C,D$1)=0,"",SUMIFS(Data!$U:$U,Data!$A:$A,$B55,Data!$C:$C,D$1))</f>
        <v/>
      </c>
      <c r="E55" s="31" t="str">
        <f>IF(SUMIFS(Data!$U:$U,Data!$A:$A,$B55,Data!$C:$C,E$1)=0,"",SUMIFS(Data!$U:$U,Data!$A:$A,$B55,Data!$C:$C,E$1))</f>
        <v/>
      </c>
      <c r="F55" s="31" t="str">
        <f>IF(SUMIFS(Data!$U:$U,Data!$A:$A,$B55,Data!$C:$C,F$1)=0,"",SUMIFS(Data!$U:$U,Data!$A:$A,$B55,Data!$C:$C,F$1))</f>
        <v/>
      </c>
      <c r="G55" s="31" t="str">
        <f>IF(SUMIFS(Data!$U:$U,Data!$A:$A,$B55,Data!$C:$C,G$1)=0,"",SUMIFS(Data!$U:$U,Data!$A:$A,$B55,Data!$C:$C,G$1))</f>
        <v/>
      </c>
      <c r="H55" s="31" t="str">
        <f>IF(SUMIFS(Data!$U:$U,Data!$A:$A,$B55,Data!$C:$C,H$1)=0,"",SUMIFS(Data!$U:$U,Data!$A:$A,$B55,Data!$C:$C,H$1))</f>
        <v/>
      </c>
      <c r="I55" s="31" t="str">
        <f>IF(SUMIFS(Data!$U:$U,Data!$A:$A,$B55,Data!$C:$C,I$1)=0,"",SUMIFS(Data!$U:$U,Data!$A:$A,$B55,Data!$C:$C,I$1))</f>
        <v/>
      </c>
      <c r="J55" s="31" t="str">
        <f>IF(SUMIFS(Data!$U:$U,Data!$A:$A,$B55,Data!$C:$C,J$1)=0,"",SUMIFS(Data!$U:$U,Data!$A:$A,$B55,Data!$C:$C,J$1))</f>
        <v/>
      </c>
      <c r="K55" s="31" t="str">
        <f>IF(SUMIFS(Data!$U:$U,Data!$A:$A,$B55,Data!$C:$C,K$1)=0,"",SUMIFS(Data!$U:$U,Data!$A:$A,$B55,Data!$C:$C,K$1))</f>
        <v/>
      </c>
      <c r="L55" s="31">
        <f>IF(SUMIFS(Data!$U:$U,Data!$A:$A,$B55,Data!$C:$C,L$1)=0,"",SUMIFS(Data!$U:$U,Data!$A:$A,$B55,Data!$C:$C,L$1))</f>
        <v>1.9375</v>
      </c>
      <c r="M55" s="31">
        <f>IF(SUMIFS(Data!$U:$U,Data!$A:$A,$B55,Data!$C:$C,M$1)=0,"",SUMIFS(Data!$U:$U,Data!$A:$A,$B55,Data!$C:$C,M$1))</f>
        <v>0.4375</v>
      </c>
      <c r="N55" s="31" t="str">
        <f>IF(SUMIFS(Data!$U:$U,Data!$A:$A,$B55,Data!$C:$C,N$1)=0,"",SUMIFS(Data!$U:$U,Data!$A:$A,$B55,Data!$C:$C,N$1))</f>
        <v/>
      </c>
      <c r="O55" s="31" t="str">
        <f>IF(SUMIFS(Data!$U:$U,Data!$A:$A,$B55,Data!$C:$C,O$1)=0,"",SUMIFS(Data!$U:$U,Data!$A:$A,$B55,Data!$C:$C,O$1))</f>
        <v/>
      </c>
      <c r="P55" s="31" t="str">
        <f>IF(SUMIFS(Data!$U:$U,Data!$A:$A,$B55,Data!$C:$C,P$1)=0,"",SUMIFS(Data!$U:$U,Data!$A:$A,$B55,Data!$C:$C,P$1))</f>
        <v/>
      </c>
      <c r="Q55" s="31" t="str">
        <f>IF(SUMIFS(Data!$U:$U,Data!$A:$A,$B55,Data!$C:$C,Q$1)=0,"",SUMIFS(Data!$U:$U,Data!$A:$A,$B55,Data!$C:$C,Q$1))</f>
        <v/>
      </c>
      <c r="R55" s="31">
        <f>VLOOKUP(B55,'#ligaSYR'!$B:$R,17,0)</f>
        <v>0</v>
      </c>
      <c r="S55" s="31">
        <f>SUM(C55:R55)</f>
        <v>5.0037500000000001</v>
      </c>
      <c r="T55" s="31">
        <f>SUMIFS(Data!D:D,Data!A:A,B55)</f>
        <v>29.62</v>
      </c>
    </row>
    <row r="56" spans="1:20" ht="13" x14ac:dyDescent="0.3">
      <c r="A56" s="79">
        <v>55</v>
      </c>
      <c r="B56" s="30" t="s">
        <v>365</v>
      </c>
      <c r="C56" s="31">
        <f>IF(SUMIFS(Data!$U:$U,Data!$A:$A,$B56,Data!$C:$C,C$1)=0,"",SUMIFS(Data!$U:$U,Data!$A:$A,$B56,Data!$C:$C,C$1))</f>
        <v>0.99404761904761907</v>
      </c>
      <c r="D56" s="31">
        <f>IF(SUMIFS(Data!$U:$U,Data!$A:$A,$B56,Data!$C:$C,D$1)=0,"",SUMIFS(Data!$U:$U,Data!$A:$A,$B56,Data!$C:$C,D$1))</f>
        <v>1.7928571428571429</v>
      </c>
      <c r="E56" s="31" t="str">
        <f>IF(SUMIFS(Data!$U:$U,Data!$A:$A,$B56,Data!$C:$C,E$1)=0,"",SUMIFS(Data!$U:$U,Data!$A:$A,$B56,Data!$C:$C,E$1))</f>
        <v/>
      </c>
      <c r="F56" s="31" t="str">
        <f>IF(SUMIFS(Data!$U:$U,Data!$A:$A,$B56,Data!$C:$C,F$1)=0,"",SUMIFS(Data!$U:$U,Data!$A:$A,$B56,Data!$C:$C,F$1))</f>
        <v/>
      </c>
      <c r="G56" s="31">
        <f>IF(SUMIFS(Data!$U:$U,Data!$A:$A,$B56,Data!$C:$C,G$1)=0,"",SUMIFS(Data!$U:$U,Data!$A:$A,$B56,Data!$C:$C,G$1))</f>
        <v>1.7577380952380952</v>
      </c>
      <c r="H56" s="31" t="str">
        <f>IF(SUMIFS(Data!$U:$U,Data!$A:$A,$B56,Data!$C:$C,H$1)=0,"",SUMIFS(Data!$U:$U,Data!$A:$A,$B56,Data!$C:$C,H$1))</f>
        <v/>
      </c>
      <c r="I56" s="31" t="str">
        <f>IF(SUMIFS(Data!$U:$U,Data!$A:$A,$B56,Data!$C:$C,I$1)=0,"",SUMIFS(Data!$U:$U,Data!$A:$A,$B56,Data!$C:$C,I$1))</f>
        <v/>
      </c>
      <c r="J56" s="31" t="str">
        <f>IF(SUMIFS(Data!$U:$U,Data!$A:$A,$B56,Data!$C:$C,J$1)=0,"",SUMIFS(Data!$U:$U,Data!$A:$A,$B56,Data!$C:$C,J$1))</f>
        <v/>
      </c>
      <c r="K56" s="31" t="str">
        <f>IF(SUMIFS(Data!$U:$U,Data!$A:$A,$B56,Data!$C:$C,K$1)=0,"",SUMIFS(Data!$U:$U,Data!$A:$A,$B56,Data!$C:$C,K$1))</f>
        <v/>
      </c>
      <c r="L56" s="31" t="str">
        <f>IF(SUMIFS(Data!$U:$U,Data!$A:$A,$B56,Data!$C:$C,L$1)=0,"",SUMIFS(Data!$U:$U,Data!$A:$A,$B56,Data!$C:$C,L$1))</f>
        <v/>
      </c>
      <c r="M56" s="31" t="str">
        <f>IF(SUMIFS(Data!$U:$U,Data!$A:$A,$B56,Data!$C:$C,M$1)=0,"",SUMIFS(Data!$U:$U,Data!$A:$A,$B56,Data!$C:$C,M$1))</f>
        <v/>
      </c>
      <c r="N56" s="31" t="str">
        <f>IF(SUMIFS(Data!$U:$U,Data!$A:$A,$B56,Data!$C:$C,N$1)=0,"",SUMIFS(Data!$U:$U,Data!$A:$A,$B56,Data!$C:$C,N$1))</f>
        <v/>
      </c>
      <c r="O56" s="31" t="str">
        <f>IF(SUMIFS(Data!$U:$U,Data!$A:$A,$B56,Data!$C:$C,O$1)=0,"",SUMIFS(Data!$U:$U,Data!$A:$A,$B56,Data!$C:$C,O$1))</f>
        <v/>
      </c>
      <c r="P56" s="31" t="str">
        <f>IF(SUMIFS(Data!$U:$U,Data!$A:$A,$B56,Data!$C:$C,P$1)=0,"",SUMIFS(Data!$U:$U,Data!$A:$A,$B56,Data!$C:$C,P$1))</f>
        <v/>
      </c>
      <c r="Q56" s="31" t="str">
        <f>IF(SUMIFS(Data!$U:$U,Data!$A:$A,$B56,Data!$C:$C,Q$1)=0,"",SUMIFS(Data!$U:$U,Data!$A:$A,$B56,Data!$C:$C,Q$1))</f>
        <v/>
      </c>
      <c r="R56" s="31">
        <f>VLOOKUP(B56,'#ligaSYR'!$B:$R,17,0)</f>
        <v>0</v>
      </c>
      <c r="S56" s="31">
        <f>SUM(C56:R56)</f>
        <v>4.5446428571428577</v>
      </c>
      <c r="T56" s="31">
        <f>SUMIFS(Data!D:D,Data!A:A,B56)</f>
        <v>27.69</v>
      </c>
    </row>
    <row r="57" spans="1:20" ht="13" x14ac:dyDescent="0.3">
      <c r="A57" s="79">
        <v>56</v>
      </c>
      <c r="B57" s="30" t="s">
        <v>381</v>
      </c>
      <c r="C57" s="31" t="str">
        <f>IF(SUMIFS(Data!$U:$U,Data!$A:$A,$B57,Data!$C:$C,C$1)=0,"",SUMIFS(Data!$U:$U,Data!$A:$A,$B57,Data!$C:$C,C$1))</f>
        <v/>
      </c>
      <c r="D57" s="31">
        <f>IF(SUMIFS(Data!$U:$U,Data!$A:$A,$B57,Data!$C:$C,D$1)=0,"",SUMIFS(Data!$U:$U,Data!$A:$A,$B57,Data!$C:$C,D$1))</f>
        <v>1.8525238095238095</v>
      </c>
      <c r="E57" s="31" t="str">
        <f>IF(SUMIFS(Data!$U:$U,Data!$A:$A,$B57,Data!$C:$C,E$1)=0,"",SUMIFS(Data!$U:$U,Data!$A:$A,$B57,Data!$C:$C,E$1))</f>
        <v/>
      </c>
      <c r="F57" s="31">
        <f>IF(SUMIFS(Data!$U:$U,Data!$A:$A,$B57,Data!$C:$C,F$1)=0,"",SUMIFS(Data!$U:$U,Data!$A:$A,$B57,Data!$C:$C,F$1))</f>
        <v>1.9809523809523808</v>
      </c>
      <c r="G57" s="31" t="str">
        <f>IF(SUMIFS(Data!$U:$U,Data!$A:$A,$B57,Data!$C:$C,G$1)=0,"",SUMIFS(Data!$U:$U,Data!$A:$A,$B57,Data!$C:$C,G$1))</f>
        <v/>
      </c>
      <c r="H57" s="31" t="str">
        <f>IF(SUMIFS(Data!$U:$U,Data!$A:$A,$B57,Data!$C:$C,H$1)=0,"",SUMIFS(Data!$U:$U,Data!$A:$A,$B57,Data!$C:$C,H$1))</f>
        <v/>
      </c>
      <c r="I57" s="31" t="str">
        <f>IF(SUMIFS(Data!$U:$U,Data!$A:$A,$B57,Data!$C:$C,I$1)=0,"",SUMIFS(Data!$U:$U,Data!$A:$A,$B57,Data!$C:$C,I$1))</f>
        <v/>
      </c>
      <c r="J57" s="31" t="str">
        <f>IF(SUMIFS(Data!$U:$U,Data!$A:$A,$B57,Data!$C:$C,J$1)=0,"",SUMIFS(Data!$U:$U,Data!$A:$A,$B57,Data!$C:$C,J$1))</f>
        <v/>
      </c>
      <c r="K57" s="31" t="str">
        <f>IF(SUMIFS(Data!$U:$U,Data!$A:$A,$B57,Data!$C:$C,K$1)=0,"",SUMIFS(Data!$U:$U,Data!$A:$A,$B57,Data!$C:$C,K$1))</f>
        <v/>
      </c>
      <c r="L57" s="31" t="str">
        <f>IF(SUMIFS(Data!$U:$U,Data!$A:$A,$B57,Data!$C:$C,L$1)=0,"",SUMIFS(Data!$U:$U,Data!$A:$A,$B57,Data!$C:$C,L$1))</f>
        <v/>
      </c>
      <c r="M57" s="31" t="str">
        <f>IF(SUMIFS(Data!$U:$U,Data!$A:$A,$B57,Data!$C:$C,M$1)=0,"",SUMIFS(Data!$U:$U,Data!$A:$A,$B57,Data!$C:$C,M$1))</f>
        <v/>
      </c>
      <c r="N57" s="31" t="str">
        <f>IF(SUMIFS(Data!$U:$U,Data!$A:$A,$B57,Data!$C:$C,N$1)=0,"",SUMIFS(Data!$U:$U,Data!$A:$A,$B57,Data!$C:$C,N$1))</f>
        <v/>
      </c>
      <c r="O57" s="31" t="str">
        <f>IF(SUMIFS(Data!$U:$U,Data!$A:$A,$B57,Data!$C:$C,O$1)=0,"",SUMIFS(Data!$U:$U,Data!$A:$A,$B57,Data!$C:$C,O$1))</f>
        <v/>
      </c>
      <c r="P57" s="31" t="str">
        <f>IF(SUMIFS(Data!$U:$U,Data!$A:$A,$B57,Data!$C:$C,P$1)=0,"",SUMIFS(Data!$U:$U,Data!$A:$A,$B57,Data!$C:$C,P$1))</f>
        <v/>
      </c>
      <c r="Q57" s="31" t="str">
        <f>IF(SUMIFS(Data!$U:$U,Data!$A:$A,$B57,Data!$C:$C,Q$1)=0,"",SUMIFS(Data!$U:$U,Data!$A:$A,$B57,Data!$C:$C,Q$1))</f>
        <v/>
      </c>
      <c r="R57" s="31">
        <f>VLOOKUP(B57,'#ligaSYR'!$B:$R,17,0)</f>
        <v>0</v>
      </c>
      <c r="S57" s="31">
        <f>SUM(C57:R57)</f>
        <v>3.8334761904761905</v>
      </c>
      <c r="T57" s="31">
        <f>SUMIFS(Data!D:D,Data!A:A,B57)</f>
        <v>19.309999999999999</v>
      </c>
    </row>
    <row r="58" spans="1:20" ht="13" x14ac:dyDescent="0.3">
      <c r="A58" s="79">
        <v>57</v>
      </c>
      <c r="B58" s="30" t="s">
        <v>352</v>
      </c>
      <c r="C58" s="31">
        <f>IF(SUMIFS(Data!$U:$U,Data!$A:$A,$B58,Data!$C:$C,C$1)=0,"",SUMIFS(Data!$U:$U,Data!$A:$A,$B58,Data!$C:$C,C$1))</f>
        <v>1.8916666666666666</v>
      </c>
      <c r="D58" s="31">
        <f>IF(SUMIFS(Data!$U:$U,Data!$A:$A,$B58,Data!$C:$C,D$1)=0,"",SUMIFS(Data!$U:$U,Data!$A:$A,$B58,Data!$C:$C,D$1))</f>
        <v>1.4886904761904762</v>
      </c>
      <c r="E58" s="31" t="str">
        <f>IF(SUMIFS(Data!$U:$U,Data!$A:$A,$B58,Data!$C:$C,E$1)=0,"",SUMIFS(Data!$U:$U,Data!$A:$A,$B58,Data!$C:$C,E$1))</f>
        <v/>
      </c>
      <c r="F58" s="31" t="str">
        <f>IF(SUMIFS(Data!$U:$U,Data!$A:$A,$B58,Data!$C:$C,F$1)=0,"",SUMIFS(Data!$U:$U,Data!$A:$A,$B58,Data!$C:$C,F$1))</f>
        <v/>
      </c>
      <c r="G58" s="31" t="str">
        <f>IF(SUMIFS(Data!$U:$U,Data!$A:$A,$B58,Data!$C:$C,G$1)=0,"",SUMIFS(Data!$U:$U,Data!$A:$A,$B58,Data!$C:$C,G$1))</f>
        <v/>
      </c>
      <c r="H58" s="31" t="str">
        <f>IF(SUMIFS(Data!$U:$U,Data!$A:$A,$B58,Data!$C:$C,H$1)=0,"",SUMIFS(Data!$U:$U,Data!$A:$A,$B58,Data!$C:$C,H$1))</f>
        <v/>
      </c>
      <c r="I58" s="31" t="str">
        <f>IF(SUMIFS(Data!$U:$U,Data!$A:$A,$B58,Data!$C:$C,I$1)=0,"",SUMIFS(Data!$U:$U,Data!$A:$A,$B58,Data!$C:$C,I$1))</f>
        <v/>
      </c>
      <c r="J58" s="31" t="str">
        <f>IF(SUMIFS(Data!$U:$U,Data!$A:$A,$B58,Data!$C:$C,J$1)=0,"",SUMIFS(Data!$U:$U,Data!$A:$A,$B58,Data!$C:$C,J$1))</f>
        <v/>
      </c>
      <c r="K58" s="31" t="str">
        <f>IF(SUMIFS(Data!$U:$U,Data!$A:$A,$B58,Data!$C:$C,K$1)=0,"",SUMIFS(Data!$U:$U,Data!$A:$A,$B58,Data!$C:$C,K$1))</f>
        <v/>
      </c>
      <c r="L58" s="31" t="str">
        <f>IF(SUMIFS(Data!$U:$U,Data!$A:$A,$B58,Data!$C:$C,L$1)=0,"",SUMIFS(Data!$U:$U,Data!$A:$A,$B58,Data!$C:$C,L$1))</f>
        <v/>
      </c>
      <c r="M58" s="31" t="str">
        <f>IF(SUMIFS(Data!$U:$U,Data!$A:$A,$B58,Data!$C:$C,M$1)=0,"",SUMIFS(Data!$U:$U,Data!$A:$A,$B58,Data!$C:$C,M$1))</f>
        <v/>
      </c>
      <c r="N58" s="31" t="str">
        <f>IF(SUMIFS(Data!$U:$U,Data!$A:$A,$B58,Data!$C:$C,N$1)=0,"",SUMIFS(Data!$U:$U,Data!$A:$A,$B58,Data!$C:$C,N$1))</f>
        <v/>
      </c>
      <c r="O58" s="31" t="str">
        <f>IF(SUMIFS(Data!$U:$U,Data!$A:$A,$B58,Data!$C:$C,O$1)=0,"",SUMIFS(Data!$U:$U,Data!$A:$A,$B58,Data!$C:$C,O$1))</f>
        <v/>
      </c>
      <c r="P58" s="31" t="str">
        <f>IF(SUMIFS(Data!$U:$U,Data!$A:$A,$B58,Data!$C:$C,P$1)=0,"",SUMIFS(Data!$U:$U,Data!$A:$A,$B58,Data!$C:$C,P$1))</f>
        <v/>
      </c>
      <c r="Q58" s="31" t="str">
        <f>IF(SUMIFS(Data!$U:$U,Data!$A:$A,$B58,Data!$C:$C,Q$1)=0,"",SUMIFS(Data!$U:$U,Data!$A:$A,$B58,Data!$C:$C,Q$1))</f>
        <v/>
      </c>
      <c r="R58" s="31">
        <f>VLOOKUP(B58,'#ligaSYR'!$B:$R,17,0)</f>
        <v>0</v>
      </c>
      <c r="S58" s="31">
        <f>SUM(C58:R58)</f>
        <v>3.3803571428571431</v>
      </c>
      <c r="T58" s="31">
        <f>SUMIFS(Data!D:D,Data!A:A,B58)</f>
        <v>9.5400000000000009</v>
      </c>
    </row>
    <row r="59" spans="1:20" ht="13" x14ac:dyDescent="0.3">
      <c r="A59" s="79">
        <v>58</v>
      </c>
      <c r="B59" s="30" t="s">
        <v>338</v>
      </c>
      <c r="C59" s="31">
        <f>IF(SUMIFS(Data!$U:$U,Data!$A:$A,$B59,Data!$C:$C,C$1)=0,"",SUMIFS(Data!$U:$U,Data!$A:$A,$B59,Data!$C:$C,C$1))</f>
        <v>3.1065833333333335</v>
      </c>
      <c r="D59" s="31" t="str">
        <f>IF(SUMIFS(Data!$U:$U,Data!$A:$A,$B59,Data!$C:$C,D$1)=0,"",SUMIFS(Data!$U:$U,Data!$A:$A,$B59,Data!$C:$C,D$1))</f>
        <v/>
      </c>
      <c r="E59" s="31" t="str">
        <f>IF(SUMIFS(Data!$U:$U,Data!$A:$A,$B59,Data!$C:$C,E$1)=0,"",SUMIFS(Data!$U:$U,Data!$A:$A,$B59,Data!$C:$C,E$1))</f>
        <v/>
      </c>
      <c r="F59" s="31" t="str">
        <f>IF(SUMIFS(Data!$U:$U,Data!$A:$A,$B59,Data!$C:$C,F$1)=0,"",SUMIFS(Data!$U:$U,Data!$A:$A,$B59,Data!$C:$C,F$1))</f>
        <v/>
      </c>
      <c r="G59" s="31" t="str">
        <f>IF(SUMIFS(Data!$U:$U,Data!$A:$A,$B59,Data!$C:$C,G$1)=0,"",SUMIFS(Data!$U:$U,Data!$A:$A,$B59,Data!$C:$C,G$1))</f>
        <v/>
      </c>
      <c r="H59" s="31" t="str">
        <f>IF(SUMIFS(Data!$U:$U,Data!$A:$A,$B59,Data!$C:$C,H$1)=0,"",SUMIFS(Data!$U:$U,Data!$A:$A,$B59,Data!$C:$C,H$1))</f>
        <v/>
      </c>
      <c r="I59" s="31" t="str">
        <f>IF(SUMIFS(Data!$U:$U,Data!$A:$A,$B59,Data!$C:$C,I$1)=0,"",SUMIFS(Data!$U:$U,Data!$A:$A,$B59,Data!$C:$C,I$1))</f>
        <v/>
      </c>
      <c r="J59" s="31" t="str">
        <f>IF(SUMIFS(Data!$U:$U,Data!$A:$A,$B59,Data!$C:$C,J$1)=0,"",SUMIFS(Data!$U:$U,Data!$A:$A,$B59,Data!$C:$C,J$1))</f>
        <v/>
      </c>
      <c r="K59" s="31" t="str">
        <f>IF(SUMIFS(Data!$U:$U,Data!$A:$A,$B59,Data!$C:$C,K$1)=0,"",SUMIFS(Data!$U:$U,Data!$A:$A,$B59,Data!$C:$C,K$1))</f>
        <v/>
      </c>
      <c r="L59" s="31" t="str">
        <f>IF(SUMIFS(Data!$U:$U,Data!$A:$A,$B59,Data!$C:$C,L$1)=0,"",SUMIFS(Data!$U:$U,Data!$A:$A,$B59,Data!$C:$C,L$1))</f>
        <v/>
      </c>
      <c r="M59" s="31" t="str">
        <f>IF(SUMIFS(Data!$U:$U,Data!$A:$A,$B59,Data!$C:$C,M$1)=0,"",SUMIFS(Data!$U:$U,Data!$A:$A,$B59,Data!$C:$C,M$1))</f>
        <v/>
      </c>
      <c r="N59" s="31" t="str">
        <f>IF(SUMIFS(Data!$U:$U,Data!$A:$A,$B59,Data!$C:$C,N$1)=0,"",SUMIFS(Data!$U:$U,Data!$A:$A,$B59,Data!$C:$C,N$1))</f>
        <v/>
      </c>
      <c r="O59" s="31" t="str">
        <f>IF(SUMIFS(Data!$U:$U,Data!$A:$A,$B59,Data!$C:$C,O$1)=0,"",SUMIFS(Data!$U:$U,Data!$A:$A,$B59,Data!$C:$C,O$1))</f>
        <v/>
      </c>
      <c r="P59" s="31" t="str">
        <f>IF(SUMIFS(Data!$U:$U,Data!$A:$A,$B59,Data!$C:$C,P$1)=0,"",SUMIFS(Data!$U:$U,Data!$A:$A,$B59,Data!$C:$C,P$1))</f>
        <v/>
      </c>
      <c r="Q59" s="31" t="str">
        <f>IF(SUMIFS(Data!$U:$U,Data!$A:$A,$B59,Data!$C:$C,Q$1)=0,"",SUMIFS(Data!$U:$U,Data!$A:$A,$B59,Data!$C:$C,Q$1))</f>
        <v/>
      </c>
      <c r="R59" s="31">
        <f>VLOOKUP(B59,'#ligaSYR'!$B:$R,17,0)</f>
        <v>0</v>
      </c>
      <c r="S59" s="31">
        <f>SUM(C59:R59)</f>
        <v>3.1065833333333335</v>
      </c>
      <c r="T59" s="31">
        <f>SUMIFS(Data!D:D,Data!A:A,B59)</f>
        <v>13.59</v>
      </c>
    </row>
    <row r="60" spans="1:20" ht="13" x14ac:dyDescent="0.3">
      <c r="A60" s="79">
        <v>59</v>
      </c>
      <c r="B60" s="30" t="s">
        <v>385</v>
      </c>
      <c r="C60" s="31" t="str">
        <f>IF(SUMIFS(Data!$U:$U,Data!$A:$A,$B60,Data!$C:$C,C$1)=0,"",SUMIFS(Data!$U:$U,Data!$A:$A,$B60,Data!$C:$C,C$1))</f>
        <v/>
      </c>
      <c r="D60" s="31">
        <f>IF(SUMIFS(Data!$U:$U,Data!$A:$A,$B60,Data!$C:$C,D$1)=0,"",SUMIFS(Data!$U:$U,Data!$A:$A,$B60,Data!$C:$C,D$1))</f>
        <v>2.9387499999999998</v>
      </c>
      <c r="E60" s="31" t="str">
        <f>IF(SUMIFS(Data!$U:$U,Data!$A:$A,$B60,Data!$C:$C,E$1)=0,"",SUMIFS(Data!$U:$U,Data!$A:$A,$B60,Data!$C:$C,E$1))</f>
        <v/>
      </c>
      <c r="F60" s="31" t="str">
        <f>IF(SUMIFS(Data!$U:$U,Data!$A:$A,$B60,Data!$C:$C,F$1)=0,"",SUMIFS(Data!$U:$U,Data!$A:$A,$B60,Data!$C:$C,F$1))</f>
        <v/>
      </c>
      <c r="G60" s="31" t="str">
        <f>IF(SUMIFS(Data!$U:$U,Data!$A:$A,$B60,Data!$C:$C,G$1)=0,"",SUMIFS(Data!$U:$U,Data!$A:$A,$B60,Data!$C:$C,G$1))</f>
        <v/>
      </c>
      <c r="H60" s="31" t="str">
        <f>IF(SUMIFS(Data!$U:$U,Data!$A:$A,$B60,Data!$C:$C,H$1)=0,"",SUMIFS(Data!$U:$U,Data!$A:$A,$B60,Data!$C:$C,H$1))</f>
        <v/>
      </c>
      <c r="I60" s="31" t="str">
        <f>IF(SUMIFS(Data!$U:$U,Data!$A:$A,$B60,Data!$C:$C,I$1)=0,"",SUMIFS(Data!$U:$U,Data!$A:$A,$B60,Data!$C:$C,I$1))</f>
        <v/>
      </c>
      <c r="J60" s="31" t="str">
        <f>IF(SUMIFS(Data!$U:$U,Data!$A:$A,$B60,Data!$C:$C,J$1)=0,"",SUMIFS(Data!$U:$U,Data!$A:$A,$B60,Data!$C:$C,J$1))</f>
        <v/>
      </c>
      <c r="K60" s="31" t="str">
        <f>IF(SUMIFS(Data!$U:$U,Data!$A:$A,$B60,Data!$C:$C,K$1)=0,"",SUMIFS(Data!$U:$U,Data!$A:$A,$B60,Data!$C:$C,K$1))</f>
        <v/>
      </c>
      <c r="L60" s="31" t="str">
        <f>IF(SUMIFS(Data!$U:$U,Data!$A:$A,$B60,Data!$C:$C,L$1)=0,"",SUMIFS(Data!$U:$U,Data!$A:$A,$B60,Data!$C:$C,L$1))</f>
        <v/>
      </c>
      <c r="M60" s="31" t="str">
        <f>IF(SUMIFS(Data!$U:$U,Data!$A:$A,$B60,Data!$C:$C,M$1)=0,"",SUMIFS(Data!$U:$U,Data!$A:$A,$B60,Data!$C:$C,M$1))</f>
        <v/>
      </c>
      <c r="N60" s="31" t="str">
        <f>IF(SUMIFS(Data!$U:$U,Data!$A:$A,$B60,Data!$C:$C,N$1)=0,"",SUMIFS(Data!$U:$U,Data!$A:$A,$B60,Data!$C:$C,N$1))</f>
        <v/>
      </c>
      <c r="O60" s="31" t="str">
        <f>IF(SUMIFS(Data!$U:$U,Data!$A:$A,$B60,Data!$C:$C,O$1)=0,"",SUMIFS(Data!$U:$U,Data!$A:$A,$B60,Data!$C:$C,O$1))</f>
        <v/>
      </c>
      <c r="P60" s="31" t="str">
        <f>IF(SUMIFS(Data!$U:$U,Data!$A:$A,$B60,Data!$C:$C,P$1)=0,"",SUMIFS(Data!$U:$U,Data!$A:$A,$B60,Data!$C:$C,P$1))</f>
        <v/>
      </c>
      <c r="Q60" s="31" t="str">
        <f>IF(SUMIFS(Data!$U:$U,Data!$A:$A,$B60,Data!$C:$C,Q$1)=0,"",SUMIFS(Data!$U:$U,Data!$A:$A,$B60,Data!$C:$C,Q$1))</f>
        <v/>
      </c>
      <c r="R60" s="31">
        <f>VLOOKUP(B60,'#ligaSYR'!$B:$R,17,0)</f>
        <v>0</v>
      </c>
      <c r="S60" s="31">
        <f>SUM(C60:R60)</f>
        <v>2.9387499999999998</v>
      </c>
      <c r="T60" s="31">
        <f>SUMIFS(Data!D:D,Data!A:A,B60)</f>
        <v>10.02</v>
      </c>
    </row>
    <row r="61" spans="1:20" ht="13" x14ac:dyDescent="0.3">
      <c r="A61" s="79">
        <v>60</v>
      </c>
      <c r="B61" s="30" t="s">
        <v>304</v>
      </c>
      <c r="C61" s="31" t="str">
        <f>IF(SUMIFS(Data!$U:$U,Data!$A:$A,$B61,Data!$C:$C,C$1)=0,"",SUMIFS(Data!$U:$U,Data!$A:$A,$B61,Data!$C:$C,C$1))</f>
        <v/>
      </c>
      <c r="D61" s="31" t="str">
        <f>IF(SUMIFS(Data!$U:$U,Data!$A:$A,$B61,Data!$C:$C,D$1)=0,"",SUMIFS(Data!$U:$U,Data!$A:$A,$B61,Data!$C:$C,D$1))</f>
        <v/>
      </c>
      <c r="E61" s="31">
        <f>IF(SUMIFS(Data!$U:$U,Data!$A:$A,$B61,Data!$C:$C,E$1)=0,"",SUMIFS(Data!$U:$U,Data!$A:$A,$B61,Data!$C:$C,E$1))</f>
        <v>2.7250000000000001</v>
      </c>
      <c r="F61" s="31" t="str">
        <f>IF(SUMIFS(Data!$U:$U,Data!$A:$A,$B61,Data!$C:$C,F$1)=0,"",SUMIFS(Data!$U:$U,Data!$A:$A,$B61,Data!$C:$C,F$1))</f>
        <v/>
      </c>
      <c r="G61" s="31" t="str">
        <f>IF(SUMIFS(Data!$U:$U,Data!$A:$A,$B61,Data!$C:$C,G$1)=0,"",SUMIFS(Data!$U:$U,Data!$A:$A,$B61,Data!$C:$C,G$1))</f>
        <v/>
      </c>
      <c r="H61" s="31" t="str">
        <f>IF(SUMIFS(Data!$U:$U,Data!$A:$A,$B61,Data!$C:$C,H$1)=0,"",SUMIFS(Data!$U:$U,Data!$A:$A,$B61,Data!$C:$C,H$1))</f>
        <v/>
      </c>
      <c r="I61" s="31" t="str">
        <f>IF(SUMIFS(Data!$U:$U,Data!$A:$A,$B61,Data!$C:$C,I$1)=0,"",SUMIFS(Data!$U:$U,Data!$A:$A,$B61,Data!$C:$C,I$1))</f>
        <v/>
      </c>
      <c r="J61" s="31" t="str">
        <f>IF(SUMIFS(Data!$U:$U,Data!$A:$A,$B61,Data!$C:$C,J$1)=0,"",SUMIFS(Data!$U:$U,Data!$A:$A,$B61,Data!$C:$C,J$1))</f>
        <v/>
      </c>
      <c r="K61" s="31" t="str">
        <f>IF(SUMIFS(Data!$U:$U,Data!$A:$A,$B61,Data!$C:$C,K$1)=0,"",SUMIFS(Data!$U:$U,Data!$A:$A,$B61,Data!$C:$C,K$1))</f>
        <v/>
      </c>
      <c r="L61" s="31" t="str">
        <f>IF(SUMIFS(Data!$U:$U,Data!$A:$A,$B61,Data!$C:$C,L$1)=0,"",SUMIFS(Data!$U:$U,Data!$A:$A,$B61,Data!$C:$C,L$1))</f>
        <v/>
      </c>
      <c r="M61" s="31" t="str">
        <f>IF(SUMIFS(Data!$U:$U,Data!$A:$A,$B61,Data!$C:$C,M$1)=0,"",SUMIFS(Data!$U:$U,Data!$A:$A,$B61,Data!$C:$C,M$1))</f>
        <v/>
      </c>
      <c r="N61" s="31" t="str">
        <f>IF(SUMIFS(Data!$U:$U,Data!$A:$A,$B61,Data!$C:$C,N$1)=0,"",SUMIFS(Data!$U:$U,Data!$A:$A,$B61,Data!$C:$C,N$1))</f>
        <v/>
      </c>
      <c r="O61" s="31" t="str">
        <f>IF(SUMIFS(Data!$U:$U,Data!$A:$A,$B61,Data!$C:$C,O$1)=0,"",SUMIFS(Data!$U:$U,Data!$A:$A,$B61,Data!$C:$C,O$1))</f>
        <v/>
      </c>
      <c r="P61" s="31" t="str">
        <f>IF(SUMIFS(Data!$U:$U,Data!$A:$A,$B61,Data!$C:$C,P$1)=0,"",SUMIFS(Data!$U:$U,Data!$A:$A,$B61,Data!$C:$C,P$1))</f>
        <v/>
      </c>
      <c r="Q61" s="31" t="str">
        <f>IF(SUMIFS(Data!$U:$U,Data!$A:$A,$B61,Data!$C:$C,Q$1)=0,"",SUMIFS(Data!$U:$U,Data!$A:$A,$B61,Data!$C:$C,Q$1))</f>
        <v/>
      </c>
      <c r="R61" s="31">
        <f>VLOOKUP(B61,'#ligaSYR'!$B:$R,17,0)</f>
        <v>0</v>
      </c>
      <c r="S61" s="31">
        <f>SUM(C61:R61)</f>
        <v>2.7250000000000001</v>
      </c>
      <c r="T61" s="31">
        <f>SUMIFS(Data!D:D,Data!A:A,B61)</f>
        <v>24.25</v>
      </c>
    </row>
    <row r="62" spans="1:20" ht="13" x14ac:dyDescent="0.3">
      <c r="A62" s="79">
        <v>61</v>
      </c>
      <c r="B62" s="30" t="s">
        <v>394</v>
      </c>
      <c r="C62" s="31" t="str">
        <f>IF(SUMIFS(Data!$U:$U,Data!$A:$A,$B62,Data!$C:$C,C$1)=0,"",SUMIFS(Data!$U:$U,Data!$A:$A,$B62,Data!$C:$C,C$1))</f>
        <v/>
      </c>
      <c r="D62" s="31" t="str">
        <f>IF(SUMIFS(Data!$U:$U,Data!$A:$A,$B62,Data!$C:$C,D$1)=0,"",SUMIFS(Data!$U:$U,Data!$A:$A,$B62,Data!$C:$C,D$1))</f>
        <v/>
      </c>
      <c r="E62" s="31">
        <f>IF(SUMIFS(Data!$U:$U,Data!$A:$A,$B62,Data!$C:$C,E$1)=0,"",SUMIFS(Data!$U:$U,Data!$A:$A,$B62,Data!$C:$C,E$1))</f>
        <v>2.1428571428571428</v>
      </c>
      <c r="F62" s="31" t="str">
        <f>IF(SUMIFS(Data!$U:$U,Data!$A:$A,$B62,Data!$C:$C,F$1)=0,"",SUMIFS(Data!$U:$U,Data!$A:$A,$B62,Data!$C:$C,F$1))</f>
        <v/>
      </c>
      <c r="G62" s="31" t="str">
        <f>IF(SUMIFS(Data!$U:$U,Data!$A:$A,$B62,Data!$C:$C,G$1)=0,"",SUMIFS(Data!$U:$U,Data!$A:$A,$B62,Data!$C:$C,G$1))</f>
        <v/>
      </c>
      <c r="H62" s="31" t="str">
        <f>IF(SUMIFS(Data!$U:$U,Data!$A:$A,$B62,Data!$C:$C,H$1)=0,"",SUMIFS(Data!$U:$U,Data!$A:$A,$B62,Data!$C:$C,H$1))</f>
        <v/>
      </c>
      <c r="I62" s="31" t="str">
        <f>IF(SUMIFS(Data!$U:$U,Data!$A:$A,$B62,Data!$C:$C,I$1)=0,"",SUMIFS(Data!$U:$U,Data!$A:$A,$B62,Data!$C:$C,I$1))</f>
        <v/>
      </c>
      <c r="J62" s="31" t="str">
        <f>IF(SUMIFS(Data!$U:$U,Data!$A:$A,$B62,Data!$C:$C,J$1)=0,"",SUMIFS(Data!$U:$U,Data!$A:$A,$B62,Data!$C:$C,J$1))</f>
        <v/>
      </c>
      <c r="K62" s="31" t="str">
        <f>IF(SUMIFS(Data!$U:$U,Data!$A:$A,$B62,Data!$C:$C,K$1)=0,"",SUMIFS(Data!$U:$U,Data!$A:$A,$B62,Data!$C:$C,K$1))</f>
        <v/>
      </c>
      <c r="L62" s="31" t="str">
        <f>IF(SUMIFS(Data!$U:$U,Data!$A:$A,$B62,Data!$C:$C,L$1)=0,"",SUMIFS(Data!$U:$U,Data!$A:$A,$B62,Data!$C:$C,L$1))</f>
        <v/>
      </c>
      <c r="M62" s="31" t="str">
        <f>IF(SUMIFS(Data!$U:$U,Data!$A:$A,$B62,Data!$C:$C,M$1)=0,"",SUMIFS(Data!$U:$U,Data!$A:$A,$B62,Data!$C:$C,M$1))</f>
        <v/>
      </c>
      <c r="N62" s="31" t="str">
        <f>IF(SUMIFS(Data!$U:$U,Data!$A:$A,$B62,Data!$C:$C,N$1)=0,"",SUMIFS(Data!$U:$U,Data!$A:$A,$B62,Data!$C:$C,N$1))</f>
        <v/>
      </c>
      <c r="O62" s="31" t="str">
        <f>IF(SUMIFS(Data!$U:$U,Data!$A:$A,$B62,Data!$C:$C,O$1)=0,"",SUMIFS(Data!$U:$U,Data!$A:$A,$B62,Data!$C:$C,O$1))</f>
        <v/>
      </c>
      <c r="P62" s="31" t="str">
        <f>IF(SUMIFS(Data!$U:$U,Data!$A:$A,$B62,Data!$C:$C,P$1)=0,"",SUMIFS(Data!$U:$U,Data!$A:$A,$B62,Data!$C:$C,P$1))</f>
        <v/>
      </c>
      <c r="Q62" s="31" t="str">
        <f>IF(SUMIFS(Data!$U:$U,Data!$A:$A,$B62,Data!$C:$C,Q$1)=0,"",SUMIFS(Data!$U:$U,Data!$A:$A,$B62,Data!$C:$C,Q$1))</f>
        <v/>
      </c>
      <c r="R62" s="31">
        <f>VLOOKUP(B62,'#ligaSYR'!$B:$R,17,0)</f>
        <v>0</v>
      </c>
      <c r="S62" s="31">
        <f>SUM(C62:R62)</f>
        <v>2.1428571428571428</v>
      </c>
      <c r="T62" s="31">
        <f>SUMIFS(Data!D:D,Data!A:A,B62)</f>
        <v>10.8</v>
      </c>
    </row>
    <row r="63" spans="1:20" ht="13" x14ac:dyDescent="0.3">
      <c r="A63" s="79">
        <v>62</v>
      </c>
      <c r="B63" s="30" t="s">
        <v>371</v>
      </c>
      <c r="C63" s="31">
        <f>IF(SUMIFS(Data!$U:$U,Data!$A:$A,$B63,Data!$C:$C,C$1)=0,"",SUMIFS(Data!$U:$U,Data!$A:$A,$B63,Data!$C:$C,C$1))</f>
        <v>2</v>
      </c>
      <c r="D63" s="31" t="str">
        <f>IF(SUMIFS(Data!$U:$U,Data!$A:$A,$B63,Data!$C:$C,D$1)=0,"",SUMIFS(Data!$U:$U,Data!$A:$A,$B63,Data!$C:$C,D$1))</f>
        <v/>
      </c>
      <c r="E63" s="31" t="str">
        <f>IF(SUMIFS(Data!$U:$U,Data!$A:$A,$B63,Data!$C:$C,E$1)=0,"",SUMIFS(Data!$U:$U,Data!$A:$A,$B63,Data!$C:$C,E$1))</f>
        <v/>
      </c>
      <c r="F63" s="31" t="str">
        <f>IF(SUMIFS(Data!$U:$U,Data!$A:$A,$B63,Data!$C:$C,F$1)=0,"",SUMIFS(Data!$U:$U,Data!$A:$A,$B63,Data!$C:$C,F$1))</f>
        <v/>
      </c>
      <c r="G63" s="31" t="str">
        <f>IF(SUMIFS(Data!$U:$U,Data!$A:$A,$B63,Data!$C:$C,G$1)=0,"",SUMIFS(Data!$U:$U,Data!$A:$A,$B63,Data!$C:$C,G$1))</f>
        <v/>
      </c>
      <c r="H63" s="31" t="str">
        <f>IF(SUMIFS(Data!$U:$U,Data!$A:$A,$B63,Data!$C:$C,H$1)=0,"",SUMIFS(Data!$U:$U,Data!$A:$A,$B63,Data!$C:$C,H$1))</f>
        <v/>
      </c>
      <c r="I63" s="31" t="str">
        <f>IF(SUMIFS(Data!$U:$U,Data!$A:$A,$B63,Data!$C:$C,I$1)=0,"",SUMIFS(Data!$U:$U,Data!$A:$A,$B63,Data!$C:$C,I$1))</f>
        <v/>
      </c>
      <c r="J63" s="31" t="str">
        <f>IF(SUMIFS(Data!$U:$U,Data!$A:$A,$B63,Data!$C:$C,J$1)=0,"",SUMIFS(Data!$U:$U,Data!$A:$A,$B63,Data!$C:$C,J$1))</f>
        <v/>
      </c>
      <c r="K63" s="31" t="str">
        <f>IF(SUMIFS(Data!$U:$U,Data!$A:$A,$B63,Data!$C:$C,K$1)=0,"",SUMIFS(Data!$U:$U,Data!$A:$A,$B63,Data!$C:$C,K$1))</f>
        <v/>
      </c>
      <c r="L63" s="31" t="str">
        <f>IF(SUMIFS(Data!$U:$U,Data!$A:$A,$B63,Data!$C:$C,L$1)=0,"",SUMIFS(Data!$U:$U,Data!$A:$A,$B63,Data!$C:$C,L$1))</f>
        <v/>
      </c>
      <c r="M63" s="31" t="str">
        <f>IF(SUMIFS(Data!$U:$U,Data!$A:$A,$B63,Data!$C:$C,M$1)=0,"",SUMIFS(Data!$U:$U,Data!$A:$A,$B63,Data!$C:$C,M$1))</f>
        <v/>
      </c>
      <c r="N63" s="31" t="str">
        <f>IF(SUMIFS(Data!$U:$U,Data!$A:$A,$B63,Data!$C:$C,N$1)=0,"",SUMIFS(Data!$U:$U,Data!$A:$A,$B63,Data!$C:$C,N$1))</f>
        <v/>
      </c>
      <c r="O63" s="31" t="str">
        <f>IF(SUMIFS(Data!$U:$U,Data!$A:$A,$B63,Data!$C:$C,O$1)=0,"",SUMIFS(Data!$U:$U,Data!$A:$A,$B63,Data!$C:$C,O$1))</f>
        <v/>
      </c>
      <c r="P63" s="31" t="str">
        <f>IF(SUMIFS(Data!$U:$U,Data!$A:$A,$B63,Data!$C:$C,P$1)=0,"",SUMIFS(Data!$U:$U,Data!$A:$A,$B63,Data!$C:$C,P$1))</f>
        <v/>
      </c>
      <c r="Q63" s="31" t="str">
        <f>IF(SUMIFS(Data!$U:$U,Data!$A:$A,$B63,Data!$C:$C,Q$1)=0,"",SUMIFS(Data!$U:$U,Data!$A:$A,$B63,Data!$C:$C,Q$1))</f>
        <v/>
      </c>
      <c r="R63" s="31">
        <f>VLOOKUP(B63,'#ligaSYR'!$B:$R,17,0)</f>
        <v>0</v>
      </c>
      <c r="S63" s="31">
        <f>SUM(C63:R63)</f>
        <v>2</v>
      </c>
      <c r="T63" s="31">
        <f>SUMIFS(Data!D:D,Data!A:A,B63)</f>
        <v>10</v>
      </c>
    </row>
    <row r="64" spans="1:20" ht="13" x14ac:dyDescent="0.3">
      <c r="A64" s="79">
        <v>63</v>
      </c>
      <c r="B64" s="30" t="s">
        <v>342</v>
      </c>
      <c r="C64" s="31">
        <f>IF(SUMIFS(Data!$U:$U,Data!$A:$A,$B64,Data!$C:$C,C$1)=0,"",SUMIFS(Data!$U:$U,Data!$A:$A,$B64,Data!$C:$C,C$1))</f>
        <v>1.675</v>
      </c>
      <c r="D64" s="31" t="str">
        <f>IF(SUMIFS(Data!$U:$U,Data!$A:$A,$B64,Data!$C:$C,D$1)=0,"",SUMIFS(Data!$U:$U,Data!$A:$A,$B64,Data!$C:$C,D$1))</f>
        <v/>
      </c>
      <c r="E64" s="31" t="str">
        <f>IF(SUMIFS(Data!$U:$U,Data!$A:$A,$B64,Data!$C:$C,E$1)=0,"",SUMIFS(Data!$U:$U,Data!$A:$A,$B64,Data!$C:$C,E$1))</f>
        <v/>
      </c>
      <c r="F64" s="31" t="str">
        <f>IF(SUMIFS(Data!$U:$U,Data!$A:$A,$B64,Data!$C:$C,F$1)=0,"",SUMIFS(Data!$U:$U,Data!$A:$A,$B64,Data!$C:$C,F$1))</f>
        <v/>
      </c>
      <c r="G64" s="31" t="str">
        <f>IF(SUMIFS(Data!$U:$U,Data!$A:$A,$B64,Data!$C:$C,G$1)=0,"",SUMIFS(Data!$U:$U,Data!$A:$A,$B64,Data!$C:$C,G$1))</f>
        <v/>
      </c>
      <c r="H64" s="31" t="str">
        <f>IF(SUMIFS(Data!$U:$U,Data!$A:$A,$B64,Data!$C:$C,H$1)=0,"",SUMIFS(Data!$U:$U,Data!$A:$A,$B64,Data!$C:$C,H$1))</f>
        <v/>
      </c>
      <c r="I64" s="31" t="str">
        <f>IF(SUMIFS(Data!$U:$U,Data!$A:$A,$B64,Data!$C:$C,I$1)=0,"",SUMIFS(Data!$U:$U,Data!$A:$A,$B64,Data!$C:$C,I$1))</f>
        <v/>
      </c>
      <c r="J64" s="31" t="str">
        <f>IF(SUMIFS(Data!$U:$U,Data!$A:$A,$B64,Data!$C:$C,J$1)=0,"",SUMIFS(Data!$U:$U,Data!$A:$A,$B64,Data!$C:$C,J$1))</f>
        <v/>
      </c>
      <c r="K64" s="31" t="str">
        <f>IF(SUMIFS(Data!$U:$U,Data!$A:$A,$B64,Data!$C:$C,K$1)=0,"",SUMIFS(Data!$U:$U,Data!$A:$A,$B64,Data!$C:$C,K$1))</f>
        <v/>
      </c>
      <c r="L64" s="31" t="str">
        <f>IF(SUMIFS(Data!$U:$U,Data!$A:$A,$B64,Data!$C:$C,L$1)=0,"",SUMIFS(Data!$U:$U,Data!$A:$A,$B64,Data!$C:$C,L$1))</f>
        <v/>
      </c>
      <c r="M64" s="31" t="str">
        <f>IF(SUMIFS(Data!$U:$U,Data!$A:$A,$B64,Data!$C:$C,M$1)=0,"",SUMIFS(Data!$U:$U,Data!$A:$A,$B64,Data!$C:$C,M$1))</f>
        <v/>
      </c>
      <c r="N64" s="31" t="str">
        <f>IF(SUMIFS(Data!$U:$U,Data!$A:$A,$B64,Data!$C:$C,N$1)=0,"",SUMIFS(Data!$U:$U,Data!$A:$A,$B64,Data!$C:$C,N$1))</f>
        <v/>
      </c>
      <c r="O64" s="31" t="str">
        <f>IF(SUMIFS(Data!$U:$U,Data!$A:$A,$B64,Data!$C:$C,O$1)=0,"",SUMIFS(Data!$U:$U,Data!$A:$A,$B64,Data!$C:$C,O$1))</f>
        <v/>
      </c>
      <c r="P64" s="31" t="str">
        <f>IF(SUMIFS(Data!$U:$U,Data!$A:$A,$B64,Data!$C:$C,P$1)=0,"",SUMIFS(Data!$U:$U,Data!$A:$A,$B64,Data!$C:$C,P$1))</f>
        <v/>
      </c>
      <c r="Q64" s="31" t="str">
        <f>IF(SUMIFS(Data!$U:$U,Data!$A:$A,$B64,Data!$C:$C,Q$1)=0,"",SUMIFS(Data!$U:$U,Data!$A:$A,$B64,Data!$C:$C,Q$1))</f>
        <v/>
      </c>
      <c r="R64" s="31">
        <f>VLOOKUP(B64,'#ligaSYR'!$B:$R,17,0)</f>
        <v>0</v>
      </c>
      <c r="S64" s="31">
        <f>SUM(C64:R64)</f>
        <v>1.675</v>
      </c>
      <c r="T64" s="31">
        <f>SUMIFS(Data!D:D,Data!A:A,B64)</f>
        <v>5.04</v>
      </c>
    </row>
    <row r="65" spans="1:20" ht="13" x14ac:dyDescent="0.3">
      <c r="A65" s="79">
        <v>64</v>
      </c>
      <c r="B65" s="30" t="s">
        <v>367</v>
      </c>
      <c r="C65" s="31">
        <f>IF(SUMIFS(Data!$U:$U,Data!$A:$A,$B65,Data!$C:$C,C$1)=0,"",SUMIFS(Data!$U:$U,Data!$A:$A,$B65,Data!$C:$C,C$1))</f>
        <v>1.5625</v>
      </c>
      <c r="D65" s="31" t="str">
        <f>IF(SUMIFS(Data!$U:$U,Data!$A:$A,$B65,Data!$C:$C,D$1)=0,"",SUMIFS(Data!$U:$U,Data!$A:$A,$B65,Data!$C:$C,D$1))</f>
        <v/>
      </c>
      <c r="E65" s="31" t="str">
        <f>IF(SUMIFS(Data!$U:$U,Data!$A:$A,$B65,Data!$C:$C,E$1)=0,"",SUMIFS(Data!$U:$U,Data!$A:$A,$B65,Data!$C:$C,E$1))</f>
        <v/>
      </c>
      <c r="F65" s="31" t="str">
        <f>IF(SUMIFS(Data!$U:$U,Data!$A:$A,$B65,Data!$C:$C,F$1)=0,"",SUMIFS(Data!$U:$U,Data!$A:$A,$B65,Data!$C:$C,F$1))</f>
        <v/>
      </c>
      <c r="G65" s="31" t="str">
        <f>IF(SUMIFS(Data!$U:$U,Data!$A:$A,$B65,Data!$C:$C,G$1)=0,"",SUMIFS(Data!$U:$U,Data!$A:$A,$B65,Data!$C:$C,G$1))</f>
        <v/>
      </c>
      <c r="H65" s="31" t="str">
        <f>IF(SUMIFS(Data!$U:$U,Data!$A:$A,$B65,Data!$C:$C,H$1)=0,"",SUMIFS(Data!$U:$U,Data!$A:$A,$B65,Data!$C:$C,H$1))</f>
        <v/>
      </c>
      <c r="I65" s="31" t="str">
        <f>IF(SUMIFS(Data!$U:$U,Data!$A:$A,$B65,Data!$C:$C,I$1)=0,"",SUMIFS(Data!$U:$U,Data!$A:$A,$B65,Data!$C:$C,I$1))</f>
        <v/>
      </c>
      <c r="J65" s="31" t="str">
        <f>IF(SUMIFS(Data!$U:$U,Data!$A:$A,$B65,Data!$C:$C,J$1)=0,"",SUMIFS(Data!$U:$U,Data!$A:$A,$B65,Data!$C:$C,J$1))</f>
        <v/>
      </c>
      <c r="K65" s="31" t="str">
        <f>IF(SUMIFS(Data!$U:$U,Data!$A:$A,$B65,Data!$C:$C,K$1)=0,"",SUMIFS(Data!$U:$U,Data!$A:$A,$B65,Data!$C:$C,K$1))</f>
        <v/>
      </c>
      <c r="L65" s="31" t="str">
        <f>IF(SUMIFS(Data!$U:$U,Data!$A:$A,$B65,Data!$C:$C,L$1)=0,"",SUMIFS(Data!$U:$U,Data!$A:$A,$B65,Data!$C:$C,L$1))</f>
        <v/>
      </c>
      <c r="M65" s="31" t="str">
        <f>IF(SUMIFS(Data!$U:$U,Data!$A:$A,$B65,Data!$C:$C,M$1)=0,"",SUMIFS(Data!$U:$U,Data!$A:$A,$B65,Data!$C:$C,M$1))</f>
        <v/>
      </c>
      <c r="N65" s="31" t="str">
        <f>IF(SUMIFS(Data!$U:$U,Data!$A:$A,$B65,Data!$C:$C,N$1)=0,"",SUMIFS(Data!$U:$U,Data!$A:$A,$B65,Data!$C:$C,N$1))</f>
        <v/>
      </c>
      <c r="O65" s="31" t="str">
        <f>IF(SUMIFS(Data!$U:$U,Data!$A:$A,$B65,Data!$C:$C,O$1)=0,"",SUMIFS(Data!$U:$U,Data!$A:$A,$B65,Data!$C:$C,O$1))</f>
        <v/>
      </c>
      <c r="P65" s="31" t="str">
        <f>IF(SUMIFS(Data!$U:$U,Data!$A:$A,$B65,Data!$C:$C,P$1)=0,"",SUMIFS(Data!$U:$U,Data!$A:$A,$B65,Data!$C:$C,P$1))</f>
        <v/>
      </c>
      <c r="Q65" s="31" t="str">
        <f>IF(SUMIFS(Data!$U:$U,Data!$A:$A,$B65,Data!$C:$C,Q$1)=0,"",SUMIFS(Data!$U:$U,Data!$A:$A,$B65,Data!$C:$C,Q$1))</f>
        <v/>
      </c>
      <c r="R65" s="31">
        <f>VLOOKUP(B65,'#ligaSYR'!$B:$R,17,0)</f>
        <v>0</v>
      </c>
      <c r="S65" s="31">
        <f>SUM(C65:R65)</f>
        <v>1.5625</v>
      </c>
      <c r="T65" s="31">
        <f>SUMIFS(Data!D:D,Data!A:A,B65)</f>
        <v>5</v>
      </c>
    </row>
    <row r="66" spans="1:20" ht="13" x14ac:dyDescent="0.3">
      <c r="A66" s="79">
        <v>65</v>
      </c>
      <c r="B66" s="30" t="s">
        <v>384</v>
      </c>
      <c r="C66" s="31" t="str">
        <f>IF(SUMIFS(Data!$U:$U,Data!$A:$A,$B66,Data!$C:$C,C$1)=0,"",SUMIFS(Data!$U:$U,Data!$A:$A,$B66,Data!$C:$C,C$1))</f>
        <v/>
      </c>
      <c r="D66" s="31">
        <f>IF(SUMIFS(Data!$U:$U,Data!$A:$A,$B66,Data!$C:$C,D$1)=0,"",SUMIFS(Data!$U:$U,Data!$A:$A,$B66,Data!$C:$C,D$1))</f>
        <v>1.1738095238095236</v>
      </c>
      <c r="E66" s="31" t="str">
        <f>IF(SUMIFS(Data!$U:$U,Data!$A:$A,$B66,Data!$C:$C,E$1)=0,"",SUMIFS(Data!$U:$U,Data!$A:$A,$B66,Data!$C:$C,E$1))</f>
        <v/>
      </c>
      <c r="F66" s="31" t="str">
        <f>IF(SUMIFS(Data!$U:$U,Data!$A:$A,$B66,Data!$C:$C,F$1)=0,"",SUMIFS(Data!$U:$U,Data!$A:$A,$B66,Data!$C:$C,F$1))</f>
        <v/>
      </c>
      <c r="G66" s="31" t="str">
        <f>IF(SUMIFS(Data!$U:$U,Data!$A:$A,$B66,Data!$C:$C,G$1)=0,"",SUMIFS(Data!$U:$U,Data!$A:$A,$B66,Data!$C:$C,G$1))</f>
        <v/>
      </c>
      <c r="H66" s="31" t="str">
        <f>IF(SUMIFS(Data!$U:$U,Data!$A:$A,$B66,Data!$C:$C,H$1)=0,"",SUMIFS(Data!$U:$U,Data!$A:$A,$B66,Data!$C:$C,H$1))</f>
        <v/>
      </c>
      <c r="I66" s="31" t="str">
        <f>IF(SUMIFS(Data!$U:$U,Data!$A:$A,$B66,Data!$C:$C,I$1)=0,"",SUMIFS(Data!$U:$U,Data!$A:$A,$B66,Data!$C:$C,I$1))</f>
        <v/>
      </c>
      <c r="J66" s="31" t="str">
        <f>IF(SUMIFS(Data!$U:$U,Data!$A:$A,$B66,Data!$C:$C,J$1)=0,"",SUMIFS(Data!$U:$U,Data!$A:$A,$B66,Data!$C:$C,J$1))</f>
        <v/>
      </c>
      <c r="K66" s="31" t="str">
        <f>IF(SUMIFS(Data!$U:$U,Data!$A:$A,$B66,Data!$C:$C,K$1)=0,"",SUMIFS(Data!$U:$U,Data!$A:$A,$B66,Data!$C:$C,K$1))</f>
        <v/>
      </c>
      <c r="L66" s="31" t="str">
        <f>IF(SUMIFS(Data!$U:$U,Data!$A:$A,$B66,Data!$C:$C,L$1)=0,"",SUMIFS(Data!$U:$U,Data!$A:$A,$B66,Data!$C:$C,L$1))</f>
        <v/>
      </c>
      <c r="M66" s="31" t="str">
        <f>IF(SUMIFS(Data!$U:$U,Data!$A:$A,$B66,Data!$C:$C,M$1)=0,"",SUMIFS(Data!$U:$U,Data!$A:$A,$B66,Data!$C:$C,M$1))</f>
        <v/>
      </c>
      <c r="N66" s="31" t="str">
        <f>IF(SUMIFS(Data!$U:$U,Data!$A:$A,$B66,Data!$C:$C,N$1)=0,"",SUMIFS(Data!$U:$U,Data!$A:$A,$B66,Data!$C:$C,N$1))</f>
        <v/>
      </c>
      <c r="O66" s="31" t="str">
        <f>IF(SUMIFS(Data!$U:$U,Data!$A:$A,$B66,Data!$C:$C,O$1)=0,"",SUMIFS(Data!$U:$U,Data!$A:$A,$B66,Data!$C:$C,O$1))</f>
        <v/>
      </c>
      <c r="P66" s="31" t="str">
        <f>IF(SUMIFS(Data!$U:$U,Data!$A:$A,$B66,Data!$C:$C,P$1)=0,"",SUMIFS(Data!$U:$U,Data!$A:$A,$B66,Data!$C:$C,P$1))</f>
        <v/>
      </c>
      <c r="Q66" s="31" t="str">
        <f>IF(SUMIFS(Data!$U:$U,Data!$A:$A,$B66,Data!$C:$C,Q$1)=0,"",SUMIFS(Data!$U:$U,Data!$A:$A,$B66,Data!$C:$C,Q$1))</f>
        <v/>
      </c>
      <c r="R66" s="31">
        <f>VLOOKUP(B66,'#ligaSYR'!$B:$R,17,0)</f>
        <v>0</v>
      </c>
      <c r="S66" s="31">
        <f>SUM(C66:R66)</f>
        <v>1.1738095238095236</v>
      </c>
      <c r="T66" s="31">
        <f>SUMIFS(Data!D:D,Data!A:A,B66)</f>
        <v>15.52</v>
      </c>
    </row>
  </sheetData>
  <autoFilter ref="A1:T16" xr:uid="{00000000-0009-0000-0000-000009000000}">
    <sortState xmlns:xlrd2="http://schemas.microsoft.com/office/spreadsheetml/2017/richdata2" ref="A2:T66">
      <sortCondition descending="1" ref="S1:S16"/>
    </sortState>
  </autoFilter>
  <sortState xmlns:xlrd2="http://schemas.microsoft.com/office/spreadsheetml/2017/richdata2" ref="B2:T66">
    <sortCondition descending="1" ref="S2:S66"/>
    <sortCondition descending="1" ref="T2:T66"/>
  </sortState>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U118"/>
  <sheetViews>
    <sheetView zoomScaleNormal="100" workbookViewId="0">
      <pane ySplit="1" topLeftCell="A2" activePane="bottomLeft" state="frozen"/>
      <selection activeCell="A31" sqref="A31"/>
      <selection pane="bottomLeft" activeCell="R30" sqref="R30"/>
    </sheetView>
  </sheetViews>
  <sheetFormatPr defaultColWidth="9.1796875" defaultRowHeight="12" x14ac:dyDescent="0.3"/>
  <cols>
    <col min="1" max="1" width="7.81640625" style="80" bestFit="1" customWidth="1"/>
    <col min="2" max="2" width="23.54296875" style="23" customWidth="1"/>
    <col min="3" max="3" width="7.81640625" style="24" customWidth="1"/>
    <col min="4" max="4" width="7.54296875" style="24" customWidth="1"/>
    <col min="5" max="5" width="8" style="24" customWidth="1"/>
    <col min="6" max="6" width="7.81640625" style="24" customWidth="1"/>
    <col min="7" max="7" width="8.54296875" style="24" customWidth="1"/>
    <col min="8" max="8" width="8.1796875" style="24" customWidth="1"/>
    <col min="9" max="9" width="8.54296875" style="24" customWidth="1"/>
    <col min="10" max="10" width="7.81640625" style="24" customWidth="1"/>
    <col min="11" max="11" width="8.1796875" style="24" customWidth="1"/>
    <col min="12" max="13" width="10.1796875" style="24" customWidth="1"/>
    <col min="14" max="17" width="8.1796875" style="24" customWidth="1"/>
    <col min="18" max="18" width="10.453125" style="24" bestFit="1" customWidth="1"/>
    <col min="19" max="19" width="13.453125" style="24" bestFit="1" customWidth="1"/>
    <col min="20" max="20" width="6.453125" style="1" bestFit="1" customWidth="1"/>
    <col min="21" max="21" width="12" style="1" bestFit="1" customWidth="1"/>
    <col min="22" max="16384" width="9.1796875" style="1"/>
  </cols>
  <sheetData>
    <row r="1" spans="1:21" ht="13" x14ac:dyDescent="0.3">
      <c r="A1" s="78" t="s">
        <v>67</v>
      </c>
      <c r="B1" s="28" t="s">
        <v>31</v>
      </c>
      <c r="C1" s="36">
        <v>1</v>
      </c>
      <c r="D1" s="36">
        <v>2</v>
      </c>
      <c r="E1" s="36">
        <v>3</v>
      </c>
      <c r="F1" s="36">
        <v>4</v>
      </c>
      <c r="G1" s="36">
        <v>5</v>
      </c>
      <c r="H1" s="36">
        <v>6</v>
      </c>
      <c r="I1" s="36">
        <v>7</v>
      </c>
      <c r="J1" s="36">
        <v>8</v>
      </c>
      <c r="K1" s="36">
        <v>9</v>
      </c>
      <c r="L1" s="36">
        <v>10</v>
      </c>
      <c r="M1" s="36">
        <v>11</v>
      </c>
      <c r="N1" s="36">
        <v>12</v>
      </c>
      <c r="O1" s="36">
        <v>13</v>
      </c>
      <c r="P1" s="36">
        <v>14</v>
      </c>
      <c r="Q1" s="36">
        <v>15</v>
      </c>
      <c r="R1" s="29" t="s">
        <v>69</v>
      </c>
      <c r="S1" s="29" t="s">
        <v>68</v>
      </c>
      <c r="T1" s="35" t="s">
        <v>103</v>
      </c>
      <c r="U1" s="35" t="s">
        <v>254</v>
      </c>
    </row>
    <row r="2" spans="1:21" ht="13" x14ac:dyDescent="0.3">
      <c r="A2" s="79">
        <v>1</v>
      </c>
      <c r="B2" s="30" t="s">
        <v>78</v>
      </c>
      <c r="C2" s="68">
        <f>SUMIFS(Data!$H:$H,Data!$A:$A,Cataratorii!$B2,Data!$C:$C,Cataratorii!C$1)</f>
        <v>2035</v>
      </c>
      <c r="D2" s="68">
        <f>SUMIFS(Data!$H:$H,Data!$A:$A,Cataratorii!$B2,Data!$C:$C,Cataratorii!D$1)</f>
        <v>1571</v>
      </c>
      <c r="E2" s="68">
        <f>SUMIFS(Data!$H:$H,Data!$A:$A,Cataratorii!$B2,Data!$C:$C,Cataratorii!E$1)</f>
        <v>1480</v>
      </c>
      <c r="F2" s="68">
        <f>SUMIFS(Data!$H:$H,Data!$A:$A,Cataratorii!$B2,Data!$C:$C,Cataratorii!F$1)</f>
        <v>1884</v>
      </c>
      <c r="G2" s="68">
        <f>SUMIFS(Data!$H:$H,Data!$A:$A,Cataratorii!$B2,Data!$C:$C,Cataratorii!G$1)</f>
        <v>1333</v>
      </c>
      <c r="H2" s="68">
        <f>SUMIFS(Data!$H:$H,Data!$A:$A,Cataratorii!$B2,Data!$C:$C,Cataratorii!H$1)</f>
        <v>331</v>
      </c>
      <c r="I2" s="68">
        <f>SUMIFS(Data!$H:$H,Data!$A:$A,Cataratorii!$B2,Data!$C:$C,Cataratorii!I$1)</f>
        <v>414</v>
      </c>
      <c r="J2" s="68">
        <f>SUMIFS(Data!$H:$H,Data!$A:$A,Cataratorii!$B2,Data!$C:$C,Cataratorii!J$1)</f>
        <v>1152</v>
      </c>
      <c r="K2" s="68">
        <f>SUMIFS(Data!$H:$H,Data!$A:$A,Cataratorii!$B2,Data!$C:$C,Cataratorii!K$1)</f>
        <v>1112</v>
      </c>
      <c r="L2" s="68">
        <f>SUMIFS(Data!$H:$H,Data!$A:$A,Cataratorii!$B2,Data!$C:$C,Cataratorii!L$1)</f>
        <v>955</v>
      </c>
      <c r="M2" s="68">
        <f>SUMIFS(Data!$H:$H,Data!$A:$A,Cataratorii!$B2,Data!$C:$C,Cataratorii!M$1)</f>
        <v>1502</v>
      </c>
      <c r="N2" s="68">
        <f>SUMIFS(Data!$H:$H,Data!$A:$A,Cataratorii!$B2,Data!$C:$C,Cataratorii!N$1)</f>
        <v>937</v>
      </c>
      <c r="O2" s="68">
        <f>SUMIFS(Data!$H:$H,Data!$A:$A,Cataratorii!$B2,Data!$C:$C,Cataratorii!O$1)</f>
        <v>1996</v>
      </c>
      <c r="P2" s="68">
        <f>SUMIFS(Data!$H:$H,Data!$A:$A,Cataratorii!$B2,Data!$C:$C,Cataratorii!P$1)</f>
        <v>2081</v>
      </c>
      <c r="Q2" s="68">
        <f>SUMIFS(Data!$H:$H,Data!$A:$A,Cataratorii!$B2,Data!$C:$C,Cataratorii!Q$1)</f>
        <v>1672</v>
      </c>
      <c r="R2" s="68">
        <f>SUM(C2:Q2)</f>
        <v>20455</v>
      </c>
      <c r="S2" s="31">
        <f>SUMIFS(Data!D:D,Data!A:A,Cataratorii!B2)</f>
        <v>585.89999999999986</v>
      </c>
      <c r="T2" s="1" t="str">
        <f>IF(VLOOKUP(B2,Participanti!A:D,4,0)=0," ","New")</f>
        <v xml:space="preserve"> </v>
      </c>
      <c r="U2" s="130">
        <f>R2/S2/1000</f>
        <v>3.4912101041133306E-2</v>
      </c>
    </row>
    <row r="3" spans="1:21" ht="13" x14ac:dyDescent="0.3">
      <c r="A3" s="79">
        <v>2</v>
      </c>
      <c r="B3" s="30" t="s">
        <v>51</v>
      </c>
      <c r="C3" s="68">
        <f>SUMIFS(Data!$H:$H,Data!$A:$A,Cataratorii!$B3,Data!$C:$C,Cataratorii!C$1)</f>
        <v>940</v>
      </c>
      <c r="D3" s="68">
        <f>SUMIFS(Data!$H:$H,Data!$A:$A,Cataratorii!$B3,Data!$C:$C,Cataratorii!D$1)</f>
        <v>777</v>
      </c>
      <c r="E3" s="68">
        <f>SUMIFS(Data!$H:$H,Data!$A:$A,Cataratorii!$B3,Data!$C:$C,Cataratorii!E$1)</f>
        <v>640</v>
      </c>
      <c r="F3" s="68">
        <f>SUMIFS(Data!$H:$H,Data!$A:$A,Cataratorii!$B3,Data!$C:$C,Cataratorii!F$1)</f>
        <v>0</v>
      </c>
      <c r="G3" s="68">
        <f>SUMIFS(Data!$H:$H,Data!$A:$A,Cataratorii!$B3,Data!$C:$C,Cataratorii!G$1)</f>
        <v>999</v>
      </c>
      <c r="H3" s="68">
        <f>SUMIFS(Data!$H:$H,Data!$A:$A,Cataratorii!$B3,Data!$C:$C,Cataratorii!H$1)</f>
        <v>1086</v>
      </c>
      <c r="I3" s="68">
        <f>SUMIFS(Data!$H:$H,Data!$A:$A,Cataratorii!$B3,Data!$C:$C,Cataratorii!I$1)</f>
        <v>1029</v>
      </c>
      <c r="J3" s="68">
        <f>SUMIFS(Data!$H:$H,Data!$A:$A,Cataratorii!$B3,Data!$C:$C,Cataratorii!J$1)</f>
        <v>0</v>
      </c>
      <c r="K3" s="68">
        <f>SUMIFS(Data!$H:$H,Data!$A:$A,Cataratorii!$B3,Data!$C:$C,Cataratorii!K$1)</f>
        <v>1032</v>
      </c>
      <c r="L3" s="68">
        <f>SUMIFS(Data!$H:$H,Data!$A:$A,Cataratorii!$B3,Data!$C:$C,Cataratorii!L$1)</f>
        <v>700</v>
      </c>
      <c r="M3" s="68">
        <f>SUMIFS(Data!$H:$H,Data!$A:$A,Cataratorii!$B3,Data!$C:$C,Cataratorii!M$1)</f>
        <v>2876</v>
      </c>
      <c r="N3" s="68">
        <f>SUMIFS(Data!$H:$H,Data!$A:$A,Cataratorii!$B3,Data!$C:$C,Cataratorii!N$1)</f>
        <v>0</v>
      </c>
      <c r="O3" s="68">
        <f>SUMIFS(Data!$H:$H,Data!$A:$A,Cataratorii!$B3,Data!$C:$C,Cataratorii!O$1)</f>
        <v>636</v>
      </c>
      <c r="P3" s="68">
        <f>SUMIFS(Data!$H:$H,Data!$A:$A,Cataratorii!$B3,Data!$C:$C,Cataratorii!P$1)</f>
        <v>954</v>
      </c>
      <c r="Q3" s="68">
        <f>SUMIFS(Data!$H:$H,Data!$A:$A,Cataratorii!$B3,Data!$C:$C,Cataratorii!Q$1)</f>
        <v>665</v>
      </c>
      <c r="R3" s="68">
        <f>SUM(C3:Q3)</f>
        <v>12334</v>
      </c>
      <c r="S3" s="31">
        <f>SUMIFS(Data!D:D,Data!A:A,Cataratorii!B3)</f>
        <v>362.96000000000004</v>
      </c>
      <c r="T3" s="1" t="str">
        <f>IF(VLOOKUP(B3,Participanti!A:D,4,0)=0," ","New")</f>
        <v xml:space="preserve"> </v>
      </c>
      <c r="U3" s="130">
        <f>R3/S3/1000</f>
        <v>3.3981705973109982E-2</v>
      </c>
    </row>
    <row r="4" spans="1:21" ht="13" x14ac:dyDescent="0.3">
      <c r="A4" s="79">
        <v>3</v>
      </c>
      <c r="B4" s="30" t="s">
        <v>49</v>
      </c>
      <c r="C4" s="68">
        <f>SUMIFS(Data!$H:$H,Data!$A:$A,Cataratorii!$B4,Data!$C:$C,Cataratorii!C$1)</f>
        <v>648</v>
      </c>
      <c r="D4" s="68">
        <f>SUMIFS(Data!$H:$H,Data!$A:$A,Cataratorii!$B4,Data!$C:$C,Cataratorii!D$1)</f>
        <v>0</v>
      </c>
      <c r="E4" s="68">
        <f>SUMIFS(Data!$H:$H,Data!$A:$A,Cataratorii!$B4,Data!$C:$C,Cataratorii!E$1)</f>
        <v>788</v>
      </c>
      <c r="F4" s="68">
        <f>SUMIFS(Data!$H:$H,Data!$A:$A,Cataratorii!$B4,Data!$C:$C,Cataratorii!F$1)</f>
        <v>1023</v>
      </c>
      <c r="G4" s="68">
        <f>SUMIFS(Data!$H:$H,Data!$A:$A,Cataratorii!$B4,Data!$C:$C,Cataratorii!G$1)</f>
        <v>1506</v>
      </c>
      <c r="H4" s="68">
        <f>SUMIFS(Data!$H:$H,Data!$A:$A,Cataratorii!$B4,Data!$C:$C,Cataratorii!H$1)</f>
        <v>67</v>
      </c>
      <c r="I4" s="68">
        <f>SUMIFS(Data!$H:$H,Data!$A:$A,Cataratorii!$B4,Data!$C:$C,Cataratorii!I$1)</f>
        <v>148</v>
      </c>
      <c r="J4" s="68">
        <f>SUMIFS(Data!$H:$H,Data!$A:$A,Cataratorii!$B4,Data!$C:$C,Cataratorii!J$1)</f>
        <v>2102</v>
      </c>
      <c r="K4" s="68">
        <f>SUMIFS(Data!$H:$H,Data!$A:$A,Cataratorii!$B4,Data!$C:$C,Cataratorii!K$1)</f>
        <v>0</v>
      </c>
      <c r="L4" s="68">
        <f>SUMIFS(Data!$H:$H,Data!$A:$A,Cataratorii!$B4,Data!$C:$C,Cataratorii!L$1)</f>
        <v>1056</v>
      </c>
      <c r="M4" s="68">
        <f>SUMIFS(Data!$H:$H,Data!$A:$A,Cataratorii!$B4,Data!$C:$C,Cataratorii!M$1)</f>
        <v>0</v>
      </c>
      <c r="N4" s="68">
        <f>SUMIFS(Data!$H:$H,Data!$A:$A,Cataratorii!$B4,Data!$C:$C,Cataratorii!N$1)</f>
        <v>1002</v>
      </c>
      <c r="O4" s="68">
        <f>SUMIFS(Data!$H:$H,Data!$A:$A,Cataratorii!$B4,Data!$C:$C,Cataratorii!O$1)</f>
        <v>674</v>
      </c>
      <c r="P4" s="68">
        <f>SUMIFS(Data!$H:$H,Data!$A:$A,Cataratorii!$B4,Data!$C:$C,Cataratorii!P$1)</f>
        <v>1315</v>
      </c>
      <c r="Q4" s="68">
        <f>SUMIFS(Data!$H:$H,Data!$A:$A,Cataratorii!$B4,Data!$C:$C,Cataratorii!Q$1)</f>
        <v>0</v>
      </c>
      <c r="R4" s="68">
        <f>SUM(C4:Q4)</f>
        <v>10329</v>
      </c>
      <c r="S4" s="31">
        <f>SUMIFS(Data!D:D,Data!A:A,Cataratorii!B5)</f>
        <v>773.94000000000017</v>
      </c>
      <c r="T4" s="1" t="str">
        <f>IF(VLOOKUP(B4,Participanti!A:D,4,0)=0," ","New")</f>
        <v xml:space="preserve"> </v>
      </c>
      <c r="U4" s="130">
        <f>R4/S4/1000</f>
        <v>1.334599581362896E-2</v>
      </c>
    </row>
    <row r="5" spans="1:21" ht="13" x14ac:dyDescent="0.3">
      <c r="A5" s="79">
        <v>4</v>
      </c>
      <c r="B5" s="30" t="s">
        <v>227</v>
      </c>
      <c r="C5" s="68">
        <f>SUMIFS(Data!$H:$H,Data!$A:$A,Cataratorii!$B5,Data!$C:$C,Cataratorii!C$1)</f>
        <v>398</v>
      </c>
      <c r="D5" s="68">
        <f>SUMIFS(Data!$H:$H,Data!$A:$A,Cataratorii!$B5,Data!$C:$C,Cataratorii!D$1)</f>
        <v>535</v>
      </c>
      <c r="E5" s="68">
        <f>SUMIFS(Data!$H:$H,Data!$A:$A,Cataratorii!$B5,Data!$C:$C,Cataratorii!E$1)</f>
        <v>520</v>
      </c>
      <c r="F5" s="68">
        <f>SUMIFS(Data!$H:$H,Data!$A:$A,Cataratorii!$B5,Data!$C:$C,Cataratorii!F$1)</f>
        <v>755</v>
      </c>
      <c r="G5" s="68">
        <f>SUMIFS(Data!$H:$H,Data!$A:$A,Cataratorii!$B5,Data!$C:$C,Cataratorii!G$1)</f>
        <v>1035</v>
      </c>
      <c r="H5" s="68">
        <f>SUMIFS(Data!$H:$H,Data!$A:$A,Cataratorii!$B5,Data!$C:$C,Cataratorii!H$1)</f>
        <v>75</v>
      </c>
      <c r="I5" s="68">
        <f>SUMIFS(Data!$H:$H,Data!$A:$A,Cataratorii!$B5,Data!$C:$C,Cataratorii!I$1)</f>
        <v>163</v>
      </c>
      <c r="J5" s="68">
        <f>SUMIFS(Data!$H:$H,Data!$A:$A,Cataratorii!$B5,Data!$C:$C,Cataratorii!J$1)</f>
        <v>606</v>
      </c>
      <c r="K5" s="68">
        <f>SUMIFS(Data!$H:$H,Data!$A:$A,Cataratorii!$B5,Data!$C:$C,Cataratorii!K$1)</f>
        <v>201</v>
      </c>
      <c r="L5" s="68">
        <f>SUMIFS(Data!$H:$H,Data!$A:$A,Cataratorii!$B5,Data!$C:$C,Cataratorii!L$1)</f>
        <v>866</v>
      </c>
      <c r="M5" s="68">
        <f>SUMIFS(Data!$H:$H,Data!$A:$A,Cataratorii!$B5,Data!$C:$C,Cataratorii!M$1)</f>
        <v>2686</v>
      </c>
      <c r="N5" s="68">
        <f>SUMIFS(Data!$H:$H,Data!$A:$A,Cataratorii!$B5,Data!$C:$C,Cataratorii!N$1)</f>
        <v>0</v>
      </c>
      <c r="O5" s="68">
        <f>SUMIFS(Data!$H:$H,Data!$A:$A,Cataratorii!$B5,Data!$C:$C,Cataratorii!O$1)</f>
        <v>1193</v>
      </c>
      <c r="P5" s="68">
        <f>SUMIFS(Data!$H:$H,Data!$A:$A,Cataratorii!$B5,Data!$C:$C,Cataratorii!P$1)</f>
        <v>317</v>
      </c>
      <c r="Q5" s="68">
        <f>SUMIFS(Data!$H:$H,Data!$A:$A,Cataratorii!$B5,Data!$C:$C,Cataratorii!Q$1)</f>
        <v>1713</v>
      </c>
      <c r="R5" s="68">
        <f>SUM(C5:Q5)</f>
        <v>11063</v>
      </c>
      <c r="S5" s="31">
        <f>SUMIFS(Data!D:D,Data!A:A,Cataratorii!B4)</f>
        <v>372.91</v>
      </c>
      <c r="T5" s="1" t="str">
        <f>IF(VLOOKUP(B5,Participanti!A:D,4,0)=0," ","New")</f>
        <v xml:space="preserve"> </v>
      </c>
      <c r="U5" s="130">
        <f>R5/S5/1000</f>
        <v>2.9666675605373949E-2</v>
      </c>
    </row>
    <row r="6" spans="1:21" ht="13" x14ac:dyDescent="0.3">
      <c r="A6" s="79">
        <v>5</v>
      </c>
      <c r="B6" s="30" t="s">
        <v>362</v>
      </c>
      <c r="C6" s="68">
        <f>SUMIFS(Data!$H:$H,Data!$A:$A,Cataratorii!$B6,Data!$C:$C,Cataratorii!C$1)</f>
        <v>0</v>
      </c>
      <c r="D6" s="68">
        <f>SUMIFS(Data!$H:$H,Data!$A:$A,Cataratorii!$B6,Data!$C:$C,Cataratorii!D$1)</f>
        <v>1317</v>
      </c>
      <c r="E6" s="68">
        <f>SUMIFS(Data!$H:$H,Data!$A:$A,Cataratorii!$B6,Data!$C:$C,Cataratorii!E$1)</f>
        <v>0</v>
      </c>
      <c r="F6" s="68">
        <f>SUMIFS(Data!$H:$H,Data!$A:$A,Cataratorii!$B6,Data!$C:$C,Cataratorii!F$1)</f>
        <v>741</v>
      </c>
      <c r="G6" s="68">
        <f>SUMIFS(Data!$H:$H,Data!$A:$A,Cataratorii!$B6,Data!$C:$C,Cataratorii!G$1)</f>
        <v>2422</v>
      </c>
      <c r="H6" s="68">
        <f>SUMIFS(Data!$H:$H,Data!$A:$A,Cataratorii!$B6,Data!$C:$C,Cataratorii!H$1)</f>
        <v>0</v>
      </c>
      <c r="I6" s="68">
        <f>SUMIFS(Data!$H:$H,Data!$A:$A,Cataratorii!$B6,Data!$C:$C,Cataratorii!I$1)</f>
        <v>808</v>
      </c>
      <c r="J6" s="68">
        <f>SUMIFS(Data!$H:$H,Data!$A:$A,Cataratorii!$B6,Data!$C:$C,Cataratorii!J$1)</f>
        <v>2293</v>
      </c>
      <c r="K6" s="68">
        <f>SUMIFS(Data!$H:$H,Data!$A:$A,Cataratorii!$B6,Data!$C:$C,Cataratorii!K$1)</f>
        <v>825</v>
      </c>
      <c r="L6" s="68">
        <f>SUMIFS(Data!$H:$H,Data!$A:$A,Cataratorii!$B6,Data!$C:$C,Cataratorii!L$1)</f>
        <v>0</v>
      </c>
      <c r="M6" s="68">
        <f>SUMIFS(Data!$H:$H,Data!$A:$A,Cataratorii!$B6,Data!$C:$C,Cataratorii!M$1)</f>
        <v>0</v>
      </c>
      <c r="N6" s="68">
        <f>SUMIFS(Data!$H:$H,Data!$A:$A,Cataratorii!$B6,Data!$C:$C,Cataratorii!N$1)</f>
        <v>0</v>
      </c>
      <c r="O6" s="68">
        <f>SUMIFS(Data!$H:$H,Data!$A:$A,Cataratorii!$B6,Data!$C:$C,Cataratorii!O$1)</f>
        <v>0</v>
      </c>
      <c r="P6" s="68">
        <f>SUMIFS(Data!$H:$H,Data!$A:$A,Cataratorii!$B6,Data!$C:$C,Cataratorii!P$1)</f>
        <v>0</v>
      </c>
      <c r="Q6" s="68">
        <f>SUMIFS(Data!$H:$H,Data!$A:$A,Cataratorii!$B6,Data!$C:$C,Cataratorii!Q$1)</f>
        <v>0</v>
      </c>
      <c r="R6" s="68">
        <f>SUM(C6:Q6)</f>
        <v>8406</v>
      </c>
      <c r="S6" s="31">
        <f>SUMIFS(Data!D:D,Data!A:A,Cataratorii!B6)</f>
        <v>172.08</v>
      </c>
      <c r="T6" s="1" t="str">
        <f>IF(VLOOKUP(B6,Participanti!A:D,4,0)=0," ","New")</f>
        <v>New</v>
      </c>
      <c r="U6" s="130">
        <f>R6/S6/1000</f>
        <v>4.884937238493723E-2</v>
      </c>
    </row>
    <row r="7" spans="1:21" ht="13" x14ac:dyDescent="0.3">
      <c r="A7" s="79">
        <v>6</v>
      </c>
      <c r="B7" s="30" t="s">
        <v>247</v>
      </c>
      <c r="C7" s="68">
        <f>SUMIFS(Data!$H:$H,Data!$A:$A,Cataratorii!$B7,Data!$C:$C,Cataratorii!C$1)</f>
        <v>47</v>
      </c>
      <c r="D7" s="68">
        <f>SUMIFS(Data!$H:$H,Data!$A:$A,Cataratorii!$B7,Data!$C:$C,Cataratorii!D$1)</f>
        <v>41</v>
      </c>
      <c r="E7" s="68">
        <f>SUMIFS(Data!$H:$H,Data!$A:$A,Cataratorii!$B7,Data!$C:$C,Cataratorii!E$1)</f>
        <v>0</v>
      </c>
      <c r="F7" s="68">
        <f>SUMIFS(Data!$H:$H,Data!$A:$A,Cataratorii!$B7,Data!$C:$C,Cataratorii!F$1)</f>
        <v>0</v>
      </c>
      <c r="G7" s="68">
        <f>SUMIFS(Data!$H:$H,Data!$A:$A,Cataratorii!$B7,Data!$C:$C,Cataratorii!G$1)</f>
        <v>538</v>
      </c>
      <c r="H7" s="68">
        <f>SUMIFS(Data!$H:$H,Data!$A:$A,Cataratorii!$B7,Data!$C:$C,Cataratorii!H$1)</f>
        <v>0</v>
      </c>
      <c r="I7" s="68">
        <f>SUMIFS(Data!$H:$H,Data!$A:$A,Cataratorii!$B7,Data!$C:$C,Cataratorii!I$1)</f>
        <v>56</v>
      </c>
      <c r="J7" s="68">
        <f>SUMIFS(Data!$H:$H,Data!$A:$A,Cataratorii!$B7,Data!$C:$C,Cataratorii!J$1)</f>
        <v>807</v>
      </c>
      <c r="K7" s="68">
        <f>SUMIFS(Data!$H:$H,Data!$A:$A,Cataratorii!$B7,Data!$C:$C,Cataratorii!K$1)</f>
        <v>778</v>
      </c>
      <c r="L7" s="68">
        <f>SUMIFS(Data!$H:$H,Data!$A:$A,Cataratorii!$B7,Data!$C:$C,Cataratorii!L$1)</f>
        <v>1739</v>
      </c>
      <c r="M7" s="68">
        <f>SUMIFS(Data!$H:$H,Data!$A:$A,Cataratorii!$B7,Data!$C:$C,Cataratorii!M$1)</f>
        <v>714</v>
      </c>
      <c r="N7" s="68">
        <f>SUMIFS(Data!$H:$H,Data!$A:$A,Cataratorii!$B7,Data!$C:$C,Cataratorii!N$1)</f>
        <v>0</v>
      </c>
      <c r="O7" s="68">
        <f>SUMIFS(Data!$H:$H,Data!$A:$A,Cataratorii!$B7,Data!$C:$C,Cataratorii!O$1)</f>
        <v>1802</v>
      </c>
      <c r="P7" s="68">
        <f>SUMIFS(Data!$H:$H,Data!$A:$A,Cataratorii!$B7,Data!$C:$C,Cataratorii!P$1)</f>
        <v>52</v>
      </c>
      <c r="Q7" s="68">
        <f>SUMIFS(Data!$H:$H,Data!$A:$A,Cataratorii!$B7,Data!$C:$C,Cataratorii!Q$1)</f>
        <v>1044</v>
      </c>
      <c r="R7" s="68">
        <f>SUM(C7:Q7)</f>
        <v>7618</v>
      </c>
      <c r="S7" s="31">
        <f>SUMIFS(Data!D:D,Data!A:A,Cataratorii!B10)</f>
        <v>277.39</v>
      </c>
      <c r="T7" s="1" t="str">
        <f>IF(VLOOKUP(B7,Participanti!A:D,4,0)=0," ","New")</f>
        <v xml:space="preserve"> </v>
      </c>
      <c r="U7" s="130">
        <f>R7/S7/1000</f>
        <v>2.7463138541403802E-2</v>
      </c>
    </row>
    <row r="8" spans="1:21" ht="13" x14ac:dyDescent="0.3">
      <c r="A8" s="79">
        <v>7</v>
      </c>
      <c r="B8" s="30" t="s">
        <v>108</v>
      </c>
      <c r="C8" s="68">
        <f>SUMIFS(Data!$H:$H,Data!$A:$A,Cataratorii!$B8,Data!$C:$C,Cataratorii!C$1)</f>
        <v>0</v>
      </c>
      <c r="D8" s="68">
        <f>SUMIFS(Data!$H:$H,Data!$A:$A,Cataratorii!$B8,Data!$C:$C,Cataratorii!D$1)</f>
        <v>1502</v>
      </c>
      <c r="E8" s="68">
        <f>SUMIFS(Data!$H:$H,Data!$A:$A,Cataratorii!$B8,Data!$C:$C,Cataratorii!E$1)</f>
        <v>774</v>
      </c>
      <c r="F8" s="68">
        <f>SUMIFS(Data!$H:$H,Data!$A:$A,Cataratorii!$B8,Data!$C:$C,Cataratorii!F$1)</f>
        <v>0</v>
      </c>
      <c r="G8" s="68">
        <f>SUMIFS(Data!$H:$H,Data!$A:$A,Cataratorii!$B8,Data!$C:$C,Cataratorii!G$1)</f>
        <v>0</v>
      </c>
      <c r="H8" s="68">
        <f>SUMIFS(Data!$H:$H,Data!$A:$A,Cataratorii!$B8,Data!$C:$C,Cataratorii!H$1)</f>
        <v>0</v>
      </c>
      <c r="I8" s="68">
        <f>SUMIFS(Data!$H:$H,Data!$A:$A,Cataratorii!$B8,Data!$C:$C,Cataratorii!I$1)</f>
        <v>52</v>
      </c>
      <c r="J8" s="68">
        <f>SUMIFS(Data!$H:$H,Data!$A:$A,Cataratorii!$B8,Data!$C:$C,Cataratorii!J$1)</f>
        <v>1948</v>
      </c>
      <c r="K8" s="68">
        <f>SUMIFS(Data!$H:$H,Data!$A:$A,Cataratorii!$B8,Data!$C:$C,Cataratorii!K$1)</f>
        <v>427</v>
      </c>
      <c r="L8" s="68">
        <f>SUMIFS(Data!$H:$H,Data!$A:$A,Cataratorii!$B8,Data!$C:$C,Cataratorii!L$1)</f>
        <v>0</v>
      </c>
      <c r="M8" s="68">
        <f>SUMIFS(Data!$H:$H,Data!$A:$A,Cataratorii!$B8,Data!$C:$C,Cataratorii!M$1)</f>
        <v>0</v>
      </c>
      <c r="N8" s="68">
        <f>SUMIFS(Data!$H:$H,Data!$A:$A,Cataratorii!$B8,Data!$C:$C,Cataratorii!N$1)</f>
        <v>1255</v>
      </c>
      <c r="O8" s="68">
        <f>SUMIFS(Data!$H:$H,Data!$A:$A,Cataratorii!$B8,Data!$C:$C,Cataratorii!O$1)</f>
        <v>68</v>
      </c>
      <c r="P8" s="68">
        <f>SUMIFS(Data!$H:$H,Data!$A:$A,Cataratorii!$B8,Data!$C:$C,Cataratorii!P$1)</f>
        <v>1918</v>
      </c>
      <c r="Q8" s="68">
        <f>SUMIFS(Data!$H:$H,Data!$A:$A,Cataratorii!$B8,Data!$C:$C,Cataratorii!Q$1)</f>
        <v>71</v>
      </c>
      <c r="R8" s="68">
        <f>SUM(C8:Q8)</f>
        <v>8015</v>
      </c>
      <c r="S8" s="31">
        <f>SUMIFS(Data!D:D,Data!A:A,Cataratorii!B8)</f>
        <v>569.94000000000005</v>
      </c>
      <c r="T8" s="1" t="str">
        <f>IF(VLOOKUP(B8,Participanti!A:D,4,0)=0," ","New")</f>
        <v xml:space="preserve"> </v>
      </c>
      <c r="U8" s="130">
        <f>R8/S8/1000</f>
        <v>1.4062883812331121E-2</v>
      </c>
    </row>
    <row r="9" spans="1:21" ht="13" x14ac:dyDescent="0.3">
      <c r="A9" s="79">
        <v>8</v>
      </c>
      <c r="B9" s="30" t="s">
        <v>341</v>
      </c>
      <c r="C9" s="68">
        <f>SUMIFS(Data!$H:$H,Data!$A:$A,Cataratorii!$B9,Data!$C:$C,Cataratorii!C$1)</f>
        <v>0</v>
      </c>
      <c r="D9" s="68">
        <f>SUMIFS(Data!$H:$H,Data!$A:$A,Cataratorii!$B9,Data!$C:$C,Cataratorii!D$1)</f>
        <v>2069</v>
      </c>
      <c r="E9" s="68">
        <f>SUMIFS(Data!$H:$H,Data!$A:$A,Cataratorii!$B9,Data!$C:$C,Cataratorii!E$1)</f>
        <v>745</v>
      </c>
      <c r="F9" s="68">
        <f>SUMIFS(Data!$H:$H,Data!$A:$A,Cataratorii!$B9,Data!$C:$C,Cataratorii!F$1)</f>
        <v>741</v>
      </c>
      <c r="G9" s="68">
        <f>SUMIFS(Data!$H:$H,Data!$A:$A,Cataratorii!$B9,Data!$C:$C,Cataratorii!G$1)</f>
        <v>451</v>
      </c>
      <c r="H9" s="68">
        <f>SUMIFS(Data!$H:$H,Data!$A:$A,Cataratorii!$B9,Data!$C:$C,Cataratorii!H$1)</f>
        <v>105</v>
      </c>
      <c r="I9" s="68">
        <f>SUMIFS(Data!$H:$H,Data!$A:$A,Cataratorii!$B9,Data!$C:$C,Cataratorii!I$1)</f>
        <v>0</v>
      </c>
      <c r="J9" s="68">
        <f>SUMIFS(Data!$H:$H,Data!$A:$A,Cataratorii!$B9,Data!$C:$C,Cataratorii!J$1)</f>
        <v>1577</v>
      </c>
      <c r="K9" s="68">
        <f>SUMIFS(Data!$H:$H,Data!$A:$A,Cataratorii!$B9,Data!$C:$C,Cataratorii!K$1)</f>
        <v>0</v>
      </c>
      <c r="L9" s="68">
        <f>SUMIFS(Data!$H:$H,Data!$A:$A,Cataratorii!$B9,Data!$C:$C,Cataratorii!L$1)</f>
        <v>87</v>
      </c>
      <c r="M9" s="68">
        <f>SUMIFS(Data!$H:$H,Data!$A:$A,Cataratorii!$B9,Data!$C:$C,Cataratorii!M$1)</f>
        <v>0</v>
      </c>
      <c r="N9" s="68">
        <f>SUMIFS(Data!$H:$H,Data!$A:$A,Cataratorii!$B9,Data!$C:$C,Cataratorii!N$1)</f>
        <v>83</v>
      </c>
      <c r="O9" s="68">
        <f>SUMIFS(Data!$H:$H,Data!$A:$A,Cataratorii!$B9,Data!$C:$C,Cataratorii!O$1)</f>
        <v>60</v>
      </c>
      <c r="P9" s="68">
        <f>SUMIFS(Data!$H:$H,Data!$A:$A,Cataratorii!$B9,Data!$C:$C,Cataratorii!P$1)</f>
        <v>1927</v>
      </c>
      <c r="Q9" s="68">
        <f>SUMIFS(Data!$H:$H,Data!$A:$A,Cataratorii!$B9,Data!$C:$C,Cataratorii!Q$1)</f>
        <v>0</v>
      </c>
      <c r="R9" s="68">
        <f>SUM(C9:Q9)</f>
        <v>7845</v>
      </c>
      <c r="S9" s="31">
        <f>SUMIFS(Data!D:D,Data!A:A,Cataratorii!B9)</f>
        <v>427.75</v>
      </c>
      <c r="T9" s="1" t="str">
        <f>IF(VLOOKUP(B9,Participanti!A:D,4,0)=0," ","New")</f>
        <v>New</v>
      </c>
      <c r="U9" s="130">
        <f>R9/S9/1000</f>
        <v>1.8340151957919347E-2</v>
      </c>
    </row>
    <row r="10" spans="1:21" ht="13" x14ac:dyDescent="0.3">
      <c r="A10" s="79">
        <v>9</v>
      </c>
      <c r="B10" s="30" t="s">
        <v>375</v>
      </c>
      <c r="C10" s="68">
        <f>SUMIFS(Data!$H:$H,Data!$A:$A,Cataratorii!$B10,Data!$C:$C,Cataratorii!C$1)</f>
        <v>733</v>
      </c>
      <c r="D10" s="68">
        <f>SUMIFS(Data!$H:$H,Data!$A:$A,Cataratorii!$B10,Data!$C:$C,Cataratorii!D$1)</f>
        <v>43</v>
      </c>
      <c r="E10" s="68">
        <f>SUMIFS(Data!$H:$H,Data!$A:$A,Cataratorii!$B10,Data!$C:$C,Cataratorii!E$1)</f>
        <v>87</v>
      </c>
      <c r="F10" s="68">
        <f>SUMIFS(Data!$H:$H,Data!$A:$A,Cataratorii!$B10,Data!$C:$C,Cataratorii!F$1)</f>
        <v>0</v>
      </c>
      <c r="G10" s="68">
        <f>SUMIFS(Data!$H:$H,Data!$A:$A,Cataratorii!$B10,Data!$C:$C,Cataratorii!G$1)</f>
        <v>0</v>
      </c>
      <c r="H10" s="68">
        <f>SUMIFS(Data!$H:$H,Data!$A:$A,Cataratorii!$B10,Data!$C:$C,Cataratorii!H$1)</f>
        <v>1480</v>
      </c>
      <c r="I10" s="68">
        <f>SUMIFS(Data!$H:$H,Data!$A:$A,Cataratorii!$B10,Data!$C:$C,Cataratorii!I$1)</f>
        <v>355</v>
      </c>
      <c r="J10" s="68">
        <f>SUMIFS(Data!$H:$H,Data!$A:$A,Cataratorii!$B10,Data!$C:$C,Cataratorii!J$1)</f>
        <v>866</v>
      </c>
      <c r="K10" s="68">
        <f>SUMIFS(Data!$H:$H,Data!$A:$A,Cataratorii!$B10,Data!$C:$C,Cataratorii!K$1)</f>
        <v>883</v>
      </c>
      <c r="L10" s="68">
        <f>SUMIFS(Data!$H:$H,Data!$A:$A,Cataratorii!$B10,Data!$C:$C,Cataratorii!L$1)</f>
        <v>0</v>
      </c>
      <c r="M10" s="68">
        <f>SUMIFS(Data!$H:$H,Data!$A:$A,Cataratorii!$B10,Data!$C:$C,Cataratorii!M$1)</f>
        <v>1025</v>
      </c>
      <c r="N10" s="68">
        <f>SUMIFS(Data!$H:$H,Data!$A:$A,Cataratorii!$B10,Data!$C:$C,Cataratorii!N$1)</f>
        <v>0</v>
      </c>
      <c r="O10" s="68">
        <f>SUMIFS(Data!$H:$H,Data!$A:$A,Cataratorii!$B10,Data!$C:$C,Cataratorii!O$1)</f>
        <v>0</v>
      </c>
      <c r="P10" s="68">
        <f>SUMIFS(Data!$H:$H,Data!$A:$A,Cataratorii!$B10,Data!$C:$C,Cataratorii!P$1)</f>
        <v>1016</v>
      </c>
      <c r="Q10" s="68">
        <f>SUMIFS(Data!$H:$H,Data!$A:$A,Cataratorii!$B10,Data!$C:$C,Cataratorii!Q$1)</f>
        <v>1756</v>
      </c>
      <c r="R10" s="68">
        <f>SUM(C10:Q10)</f>
        <v>8244</v>
      </c>
      <c r="S10" s="31">
        <f>SUMIFS(Data!D:D,Data!A:A,Cataratorii!B7)</f>
        <v>308.47999999999996</v>
      </c>
      <c r="T10" s="1" t="str">
        <f>IF(VLOOKUP(B10,Participanti!A:D,4,0)=0," ","New")</f>
        <v>New</v>
      </c>
      <c r="U10" s="130">
        <f>R10/S10/1000</f>
        <v>2.6724585062240666E-2</v>
      </c>
    </row>
    <row r="11" spans="1:21" ht="13" x14ac:dyDescent="0.3">
      <c r="A11" s="79">
        <v>10</v>
      </c>
      <c r="B11" s="30" t="s">
        <v>208</v>
      </c>
      <c r="C11" s="68">
        <f>SUMIFS(Data!$H:$H,Data!$A:$A,Cataratorii!$B11,Data!$C:$C,Cataratorii!C$1)</f>
        <v>0</v>
      </c>
      <c r="D11" s="68">
        <f>SUMIFS(Data!$H:$H,Data!$A:$A,Cataratorii!$B11,Data!$C:$C,Cataratorii!D$1)</f>
        <v>0</v>
      </c>
      <c r="E11" s="68">
        <f>SUMIFS(Data!$H:$H,Data!$A:$A,Cataratorii!$B11,Data!$C:$C,Cataratorii!E$1)</f>
        <v>64</v>
      </c>
      <c r="F11" s="68">
        <f>SUMIFS(Data!$H:$H,Data!$A:$A,Cataratorii!$B11,Data!$C:$C,Cataratorii!F$1)</f>
        <v>945</v>
      </c>
      <c r="G11" s="68">
        <f>SUMIFS(Data!$H:$H,Data!$A:$A,Cataratorii!$B11,Data!$C:$C,Cataratorii!G$1)</f>
        <v>0</v>
      </c>
      <c r="H11" s="68">
        <f>SUMIFS(Data!$H:$H,Data!$A:$A,Cataratorii!$B11,Data!$C:$C,Cataratorii!H$1)</f>
        <v>984</v>
      </c>
      <c r="I11" s="68">
        <f>SUMIFS(Data!$H:$H,Data!$A:$A,Cataratorii!$B11,Data!$C:$C,Cataratorii!I$1)</f>
        <v>95</v>
      </c>
      <c r="J11" s="68">
        <f>SUMIFS(Data!$H:$H,Data!$A:$A,Cataratorii!$B11,Data!$C:$C,Cataratorii!J$1)</f>
        <v>0</v>
      </c>
      <c r="K11" s="68">
        <f>SUMIFS(Data!$H:$H,Data!$A:$A,Cataratorii!$B11,Data!$C:$C,Cataratorii!K$1)</f>
        <v>103</v>
      </c>
      <c r="L11" s="68">
        <f>SUMIFS(Data!$H:$H,Data!$A:$A,Cataratorii!$B11,Data!$C:$C,Cataratorii!L$1)</f>
        <v>589</v>
      </c>
      <c r="M11" s="68">
        <f>SUMIFS(Data!$H:$H,Data!$A:$A,Cataratorii!$B11,Data!$C:$C,Cataratorii!M$1)</f>
        <v>0</v>
      </c>
      <c r="N11" s="68">
        <f>SUMIFS(Data!$H:$H,Data!$A:$A,Cataratorii!$B11,Data!$C:$C,Cataratorii!N$1)</f>
        <v>1088</v>
      </c>
      <c r="O11" s="68">
        <f>SUMIFS(Data!$H:$H,Data!$A:$A,Cataratorii!$B11,Data!$C:$C,Cataratorii!O$1)</f>
        <v>1550</v>
      </c>
      <c r="P11" s="68">
        <f>SUMIFS(Data!$H:$H,Data!$A:$A,Cataratorii!$B11,Data!$C:$C,Cataratorii!P$1)</f>
        <v>161</v>
      </c>
      <c r="Q11" s="68">
        <f>SUMIFS(Data!$H:$H,Data!$A:$A,Cataratorii!$B11,Data!$C:$C,Cataratorii!Q$1)</f>
        <v>0</v>
      </c>
      <c r="R11" s="68">
        <f>SUM(C11:Q11)</f>
        <v>5579</v>
      </c>
      <c r="S11" s="31">
        <f>SUMIFS(Data!D:D,Data!A:A,Cataratorii!B13)</f>
        <v>181.97</v>
      </c>
      <c r="T11" s="1" t="str">
        <f>IF(VLOOKUP(B11,Participanti!A:D,4,0)=0," ","New")</f>
        <v xml:space="preserve"> </v>
      </c>
      <c r="U11" s="130">
        <f>R11/S11/1000</f>
        <v>3.0658899818651428E-2</v>
      </c>
    </row>
    <row r="12" spans="1:21" ht="13" x14ac:dyDescent="0.3">
      <c r="A12" s="79">
        <v>11</v>
      </c>
      <c r="B12" s="30" t="s">
        <v>292</v>
      </c>
      <c r="C12" s="68">
        <f>SUMIFS(Data!$H:$H,Data!$A:$A,Cataratorii!$B12,Data!$C:$C,Cataratorii!C$1)</f>
        <v>471</v>
      </c>
      <c r="D12" s="68">
        <f>SUMIFS(Data!$H:$H,Data!$A:$A,Cataratorii!$B12,Data!$C:$C,Cataratorii!D$1)</f>
        <v>420</v>
      </c>
      <c r="E12" s="68">
        <f>SUMIFS(Data!$H:$H,Data!$A:$A,Cataratorii!$B12,Data!$C:$C,Cataratorii!E$1)</f>
        <v>426</v>
      </c>
      <c r="F12" s="68">
        <f>SUMIFS(Data!$H:$H,Data!$A:$A,Cataratorii!$B12,Data!$C:$C,Cataratorii!F$1)</f>
        <v>438</v>
      </c>
      <c r="G12" s="68">
        <f>SUMIFS(Data!$H:$H,Data!$A:$A,Cataratorii!$B12,Data!$C:$C,Cataratorii!G$1)</f>
        <v>445</v>
      </c>
      <c r="H12" s="68">
        <f>SUMIFS(Data!$H:$H,Data!$A:$A,Cataratorii!$B12,Data!$C:$C,Cataratorii!H$1)</f>
        <v>414</v>
      </c>
      <c r="I12" s="68">
        <f>SUMIFS(Data!$H:$H,Data!$A:$A,Cataratorii!$B12,Data!$C:$C,Cataratorii!I$1)</f>
        <v>434</v>
      </c>
      <c r="J12" s="68">
        <f>SUMIFS(Data!$H:$H,Data!$A:$A,Cataratorii!$B12,Data!$C:$C,Cataratorii!J$1)</f>
        <v>455</v>
      </c>
      <c r="K12" s="68">
        <f>SUMIFS(Data!$H:$H,Data!$A:$A,Cataratorii!$B12,Data!$C:$C,Cataratorii!K$1)</f>
        <v>714</v>
      </c>
      <c r="L12" s="68">
        <f>SUMIFS(Data!$H:$H,Data!$A:$A,Cataratorii!$B12,Data!$C:$C,Cataratorii!L$1)</f>
        <v>713</v>
      </c>
      <c r="M12" s="68">
        <f>SUMIFS(Data!$H:$H,Data!$A:$A,Cataratorii!$B12,Data!$C:$C,Cataratorii!M$1)</f>
        <v>433</v>
      </c>
      <c r="N12" s="68">
        <f>SUMIFS(Data!$H:$H,Data!$A:$A,Cataratorii!$B12,Data!$C:$C,Cataratorii!N$1)</f>
        <v>0</v>
      </c>
      <c r="O12" s="68">
        <f>SUMIFS(Data!$H:$H,Data!$A:$A,Cataratorii!$B12,Data!$C:$C,Cataratorii!O$1)</f>
        <v>0</v>
      </c>
      <c r="P12" s="68">
        <f>SUMIFS(Data!$H:$H,Data!$A:$A,Cataratorii!$B12,Data!$C:$C,Cataratorii!P$1)</f>
        <v>0</v>
      </c>
      <c r="Q12" s="68">
        <f>SUMIFS(Data!$H:$H,Data!$A:$A,Cataratorii!$B12,Data!$C:$C,Cataratorii!Q$1)</f>
        <v>605</v>
      </c>
      <c r="R12" s="68">
        <f>SUM(C12:Q12)</f>
        <v>5968</v>
      </c>
      <c r="S12" s="31">
        <f>SUMIFS(Data!D:D,Data!A:A,Cataratorii!B11)</f>
        <v>289.45999999999998</v>
      </c>
      <c r="T12" s="1" t="str">
        <f>IF(VLOOKUP(B12,Participanti!A:D,4,0)=0," ","New")</f>
        <v xml:space="preserve"> </v>
      </c>
      <c r="U12" s="130">
        <f>R12/S12/1000</f>
        <v>2.0617701927727494E-2</v>
      </c>
    </row>
    <row r="13" spans="1:21" ht="13" x14ac:dyDescent="0.3">
      <c r="A13" s="79">
        <v>12</v>
      </c>
      <c r="B13" s="30" t="s">
        <v>136</v>
      </c>
      <c r="C13" s="68">
        <f>SUMIFS(Data!$H:$H,Data!$A:$A,Cataratorii!$B13,Data!$C:$C,Cataratorii!C$1)</f>
        <v>412</v>
      </c>
      <c r="D13" s="68">
        <f>SUMIFS(Data!$H:$H,Data!$A:$A,Cataratorii!$B13,Data!$C:$C,Cataratorii!D$1)</f>
        <v>0</v>
      </c>
      <c r="E13" s="68">
        <f>SUMIFS(Data!$H:$H,Data!$A:$A,Cataratorii!$B13,Data!$C:$C,Cataratorii!E$1)</f>
        <v>412</v>
      </c>
      <c r="F13" s="68">
        <f>SUMIFS(Data!$H:$H,Data!$A:$A,Cataratorii!$B13,Data!$C:$C,Cataratorii!F$1)</f>
        <v>600</v>
      </c>
      <c r="G13" s="68">
        <f>SUMIFS(Data!$H:$H,Data!$A:$A,Cataratorii!$B13,Data!$C:$C,Cataratorii!G$1)</f>
        <v>448</v>
      </c>
      <c r="H13" s="68">
        <f>SUMIFS(Data!$H:$H,Data!$A:$A,Cataratorii!$B13,Data!$C:$C,Cataratorii!H$1)</f>
        <v>676</v>
      </c>
      <c r="I13" s="68">
        <f>SUMIFS(Data!$H:$H,Data!$A:$A,Cataratorii!$B13,Data!$C:$C,Cataratorii!I$1)</f>
        <v>163</v>
      </c>
      <c r="J13" s="68">
        <f>SUMIFS(Data!$H:$H,Data!$A:$A,Cataratorii!$B13,Data!$C:$C,Cataratorii!J$1)</f>
        <v>0</v>
      </c>
      <c r="K13" s="68">
        <f>SUMIFS(Data!$H:$H,Data!$A:$A,Cataratorii!$B13,Data!$C:$C,Cataratorii!K$1)</f>
        <v>253</v>
      </c>
      <c r="L13" s="68">
        <f>SUMIFS(Data!$H:$H,Data!$A:$A,Cataratorii!$B13,Data!$C:$C,Cataratorii!L$1)</f>
        <v>761</v>
      </c>
      <c r="M13" s="68">
        <f>SUMIFS(Data!$H:$H,Data!$A:$A,Cataratorii!$B13,Data!$C:$C,Cataratorii!M$1)</f>
        <v>0</v>
      </c>
      <c r="N13" s="68">
        <f>SUMIFS(Data!$H:$H,Data!$A:$A,Cataratorii!$B13,Data!$C:$C,Cataratorii!N$1)</f>
        <v>564</v>
      </c>
      <c r="O13" s="68">
        <f>SUMIFS(Data!$H:$H,Data!$A:$A,Cataratorii!$B13,Data!$C:$C,Cataratorii!O$1)</f>
        <v>707</v>
      </c>
      <c r="P13" s="68">
        <f>SUMIFS(Data!$H:$H,Data!$A:$A,Cataratorii!$B13,Data!$C:$C,Cataratorii!P$1)</f>
        <v>0</v>
      </c>
      <c r="Q13" s="68">
        <f>SUMIFS(Data!$H:$H,Data!$A:$A,Cataratorii!$B13,Data!$C:$C,Cataratorii!Q$1)</f>
        <v>0</v>
      </c>
      <c r="R13" s="68">
        <f>SUM(C13:Q13)</f>
        <v>4996</v>
      </c>
      <c r="S13" s="31">
        <f>SUMIFS(Data!D:D,Data!A:A,Cataratorii!B14)</f>
        <v>271.17</v>
      </c>
      <c r="T13" s="1" t="str">
        <f>IF(VLOOKUP(B13,Participanti!A:D,4,0)=0," ","New")</f>
        <v xml:space="preserve"> </v>
      </c>
      <c r="U13" s="130">
        <f>R13/S13/1000</f>
        <v>1.8423866946933657E-2</v>
      </c>
    </row>
    <row r="14" spans="1:21" ht="13" x14ac:dyDescent="0.3">
      <c r="A14" s="79">
        <v>13</v>
      </c>
      <c r="B14" s="30" t="s">
        <v>225</v>
      </c>
      <c r="C14" s="68">
        <f>SUMIFS(Data!$H:$H,Data!$A:$A,Cataratorii!$B14,Data!$C:$C,Cataratorii!C$1)</f>
        <v>860</v>
      </c>
      <c r="D14" s="68">
        <f>SUMIFS(Data!$H:$H,Data!$A:$A,Cataratorii!$B14,Data!$C:$C,Cataratorii!D$1)</f>
        <v>0</v>
      </c>
      <c r="E14" s="68">
        <f>SUMIFS(Data!$H:$H,Data!$A:$A,Cataratorii!$B14,Data!$C:$C,Cataratorii!E$1)</f>
        <v>108</v>
      </c>
      <c r="F14" s="68">
        <f>SUMIFS(Data!$H:$H,Data!$A:$A,Cataratorii!$B14,Data!$C:$C,Cataratorii!F$1)</f>
        <v>0</v>
      </c>
      <c r="G14" s="68">
        <f>SUMIFS(Data!$H:$H,Data!$A:$A,Cataratorii!$B14,Data!$C:$C,Cataratorii!G$1)</f>
        <v>833</v>
      </c>
      <c r="H14" s="68">
        <f>SUMIFS(Data!$H:$H,Data!$A:$A,Cataratorii!$B14,Data!$C:$C,Cataratorii!H$1)</f>
        <v>76</v>
      </c>
      <c r="I14" s="68">
        <f>SUMIFS(Data!$H:$H,Data!$A:$A,Cataratorii!$B14,Data!$C:$C,Cataratorii!I$1)</f>
        <v>110</v>
      </c>
      <c r="J14" s="68">
        <f>SUMIFS(Data!$H:$H,Data!$A:$A,Cataratorii!$B14,Data!$C:$C,Cataratorii!J$1)</f>
        <v>1037</v>
      </c>
      <c r="K14" s="68">
        <f>SUMIFS(Data!$H:$H,Data!$A:$A,Cataratorii!$B14,Data!$C:$C,Cataratorii!K$1)</f>
        <v>64</v>
      </c>
      <c r="L14" s="68">
        <f>SUMIFS(Data!$H:$H,Data!$A:$A,Cataratorii!$B14,Data!$C:$C,Cataratorii!L$1)</f>
        <v>950</v>
      </c>
      <c r="M14" s="68">
        <f>SUMIFS(Data!$H:$H,Data!$A:$A,Cataratorii!$B14,Data!$C:$C,Cataratorii!M$1)</f>
        <v>51</v>
      </c>
      <c r="N14" s="68">
        <f>SUMIFS(Data!$H:$H,Data!$A:$A,Cataratorii!$B14,Data!$C:$C,Cataratorii!N$1)</f>
        <v>804</v>
      </c>
      <c r="O14" s="68">
        <f>SUMIFS(Data!$H:$H,Data!$A:$A,Cataratorii!$B14,Data!$C:$C,Cataratorii!O$1)</f>
        <v>0</v>
      </c>
      <c r="P14" s="68">
        <f>SUMIFS(Data!$H:$H,Data!$A:$A,Cataratorii!$B14,Data!$C:$C,Cataratorii!P$1)</f>
        <v>0</v>
      </c>
      <c r="Q14" s="68">
        <f>SUMIFS(Data!$H:$H,Data!$A:$A,Cataratorii!$B14,Data!$C:$C,Cataratorii!Q$1)</f>
        <v>0</v>
      </c>
      <c r="R14" s="68">
        <f>SUM(C14:Q14)</f>
        <v>4893</v>
      </c>
      <c r="S14" s="31">
        <f>SUMIFS(Data!D:D,Data!A:A,Cataratorii!B15)</f>
        <v>201.25</v>
      </c>
      <c r="T14" s="1" t="str">
        <f>IF(VLOOKUP(B14,Participanti!A:D,4,0)=0," ","New")</f>
        <v xml:space="preserve"> </v>
      </c>
      <c r="U14" s="130">
        <f>R14/S14/1000</f>
        <v>2.4313043478260868E-2</v>
      </c>
    </row>
    <row r="15" spans="1:21" ht="13" x14ac:dyDescent="0.3">
      <c r="A15" s="79">
        <v>14</v>
      </c>
      <c r="B15" s="30" t="s">
        <v>369</v>
      </c>
      <c r="C15" s="68">
        <f>SUMIFS(Data!$H:$H,Data!$A:$A,Cataratorii!$B15,Data!$C:$C,Cataratorii!C$1)</f>
        <v>281</v>
      </c>
      <c r="D15" s="68">
        <f>SUMIFS(Data!$H:$H,Data!$A:$A,Cataratorii!$B15,Data!$C:$C,Cataratorii!D$1)</f>
        <v>1076</v>
      </c>
      <c r="E15" s="68">
        <f>SUMIFS(Data!$H:$H,Data!$A:$A,Cataratorii!$B15,Data!$C:$C,Cataratorii!E$1)</f>
        <v>744</v>
      </c>
      <c r="F15" s="68">
        <f>SUMIFS(Data!$H:$H,Data!$A:$A,Cataratorii!$B15,Data!$C:$C,Cataratorii!F$1)</f>
        <v>0</v>
      </c>
      <c r="G15" s="68">
        <f>SUMIFS(Data!$H:$H,Data!$A:$A,Cataratorii!$B15,Data!$C:$C,Cataratorii!G$1)</f>
        <v>0</v>
      </c>
      <c r="H15" s="68">
        <f>SUMIFS(Data!$H:$H,Data!$A:$A,Cataratorii!$B15,Data!$C:$C,Cataratorii!H$1)</f>
        <v>674</v>
      </c>
      <c r="I15" s="68">
        <f>SUMIFS(Data!$H:$H,Data!$A:$A,Cataratorii!$B15,Data!$C:$C,Cataratorii!I$1)</f>
        <v>0</v>
      </c>
      <c r="J15" s="68">
        <f>SUMIFS(Data!$H:$H,Data!$A:$A,Cataratorii!$B15,Data!$C:$C,Cataratorii!J$1)</f>
        <v>819</v>
      </c>
      <c r="K15" s="68">
        <f>SUMIFS(Data!$H:$H,Data!$A:$A,Cataratorii!$B15,Data!$C:$C,Cataratorii!K$1)</f>
        <v>0</v>
      </c>
      <c r="L15" s="68">
        <f>SUMIFS(Data!$H:$H,Data!$A:$A,Cataratorii!$B15,Data!$C:$C,Cataratorii!L$1)</f>
        <v>1045</v>
      </c>
      <c r="M15" s="68">
        <f>SUMIFS(Data!$H:$H,Data!$A:$A,Cataratorii!$B15,Data!$C:$C,Cataratorii!M$1)</f>
        <v>0</v>
      </c>
      <c r="N15" s="68">
        <f>SUMIFS(Data!$H:$H,Data!$A:$A,Cataratorii!$B15,Data!$C:$C,Cataratorii!N$1)</f>
        <v>100</v>
      </c>
      <c r="O15" s="68">
        <f>SUMIFS(Data!$H:$H,Data!$A:$A,Cataratorii!$B15,Data!$C:$C,Cataratorii!O$1)</f>
        <v>0</v>
      </c>
      <c r="P15" s="68">
        <f>SUMIFS(Data!$H:$H,Data!$A:$A,Cataratorii!$B15,Data!$C:$C,Cataratorii!P$1)</f>
        <v>0</v>
      </c>
      <c r="Q15" s="68">
        <f>SUMIFS(Data!$H:$H,Data!$A:$A,Cataratorii!$B15,Data!$C:$C,Cataratorii!Q$1)</f>
        <v>0</v>
      </c>
      <c r="R15" s="68">
        <f>SUM(C15:Q15)</f>
        <v>4739</v>
      </c>
      <c r="S15" s="31">
        <f>SUMIFS(Data!D:D,Data!A:A,Cataratorii!B16)</f>
        <v>135.56</v>
      </c>
      <c r="T15" s="1" t="str">
        <f>IF(VLOOKUP(B15,Participanti!A:D,4,0)=0," ","New")</f>
        <v>New</v>
      </c>
      <c r="U15" s="130">
        <f>R15/S15/1000</f>
        <v>3.4958689879020365E-2</v>
      </c>
    </row>
    <row r="16" spans="1:21" ht="13" x14ac:dyDescent="0.3">
      <c r="A16" s="79">
        <v>15</v>
      </c>
      <c r="B16" s="30" t="s">
        <v>354</v>
      </c>
      <c r="C16" s="68">
        <f>SUMIFS(Data!$H:$H,Data!$A:$A,Cataratorii!$B16,Data!$C:$C,Cataratorii!C$1)</f>
        <v>537</v>
      </c>
      <c r="D16" s="68">
        <f>SUMIFS(Data!$H:$H,Data!$A:$A,Cataratorii!$B16,Data!$C:$C,Cataratorii!D$1)</f>
        <v>404</v>
      </c>
      <c r="E16" s="68">
        <f>SUMIFS(Data!$H:$H,Data!$A:$A,Cataratorii!$B16,Data!$C:$C,Cataratorii!E$1)</f>
        <v>376</v>
      </c>
      <c r="F16" s="68">
        <f>SUMIFS(Data!$H:$H,Data!$A:$A,Cataratorii!$B16,Data!$C:$C,Cataratorii!F$1)</f>
        <v>0</v>
      </c>
      <c r="G16" s="68">
        <f>SUMIFS(Data!$H:$H,Data!$A:$A,Cataratorii!$B16,Data!$C:$C,Cataratorii!G$1)</f>
        <v>454</v>
      </c>
      <c r="H16" s="68">
        <f>SUMIFS(Data!$H:$H,Data!$A:$A,Cataratorii!$B16,Data!$C:$C,Cataratorii!H$1)</f>
        <v>376</v>
      </c>
      <c r="I16" s="68">
        <f>SUMIFS(Data!$H:$H,Data!$A:$A,Cataratorii!$B16,Data!$C:$C,Cataratorii!I$1)</f>
        <v>468</v>
      </c>
      <c r="J16" s="68">
        <f>SUMIFS(Data!$H:$H,Data!$A:$A,Cataratorii!$B16,Data!$C:$C,Cataratorii!J$1)</f>
        <v>0</v>
      </c>
      <c r="K16" s="68">
        <f>SUMIFS(Data!$H:$H,Data!$A:$A,Cataratorii!$B16,Data!$C:$C,Cataratorii!K$1)</f>
        <v>619</v>
      </c>
      <c r="L16" s="68">
        <f>SUMIFS(Data!$H:$H,Data!$A:$A,Cataratorii!$B16,Data!$C:$C,Cataratorii!L$1)</f>
        <v>0</v>
      </c>
      <c r="M16" s="68">
        <f>SUMIFS(Data!$H:$H,Data!$A:$A,Cataratorii!$B16,Data!$C:$C,Cataratorii!M$1)</f>
        <v>722</v>
      </c>
      <c r="N16" s="68">
        <f>SUMIFS(Data!$H:$H,Data!$A:$A,Cataratorii!$B16,Data!$C:$C,Cataratorii!N$1)</f>
        <v>647</v>
      </c>
      <c r="O16" s="68">
        <f>SUMIFS(Data!$H:$H,Data!$A:$A,Cataratorii!$B16,Data!$C:$C,Cataratorii!O$1)</f>
        <v>0</v>
      </c>
      <c r="P16" s="68">
        <f>SUMIFS(Data!$H:$H,Data!$A:$A,Cataratorii!$B16,Data!$C:$C,Cataratorii!P$1)</f>
        <v>0</v>
      </c>
      <c r="Q16" s="68">
        <f>SUMIFS(Data!$H:$H,Data!$A:$A,Cataratorii!$B16,Data!$C:$C,Cataratorii!Q$1)</f>
        <v>0</v>
      </c>
      <c r="R16" s="68">
        <f>SUM(C16:Q16)</f>
        <v>4603</v>
      </c>
      <c r="S16" s="31">
        <f>SUMIFS(Data!D:D,Data!A:A,Cataratorii!B17)</f>
        <v>631.07000000000005</v>
      </c>
      <c r="T16" s="1" t="str">
        <f>IF(VLOOKUP(B16,Participanti!A:D,4,0)=0," ","New")</f>
        <v>New</v>
      </c>
      <c r="U16" s="130">
        <f>R16/S16/1000</f>
        <v>7.293961050279683E-3</v>
      </c>
    </row>
    <row r="17" spans="1:21" ht="13" x14ac:dyDescent="0.3">
      <c r="A17" s="79">
        <v>16</v>
      </c>
      <c r="B17" s="30" t="s">
        <v>283</v>
      </c>
      <c r="C17" s="68">
        <f>SUMIFS(Data!$H:$H,Data!$A:$A,Cataratorii!$B17,Data!$C:$C,Cataratorii!C$1)</f>
        <v>153</v>
      </c>
      <c r="D17" s="68">
        <f>SUMIFS(Data!$H:$H,Data!$A:$A,Cataratorii!$B17,Data!$C:$C,Cataratorii!D$1)</f>
        <v>91</v>
      </c>
      <c r="E17" s="68">
        <f>SUMIFS(Data!$H:$H,Data!$A:$A,Cataratorii!$B17,Data!$C:$C,Cataratorii!E$1)</f>
        <v>101</v>
      </c>
      <c r="F17" s="68">
        <f>SUMIFS(Data!$H:$H,Data!$A:$A,Cataratorii!$B17,Data!$C:$C,Cataratorii!F$1)</f>
        <v>382</v>
      </c>
      <c r="G17" s="68">
        <f>SUMIFS(Data!$H:$H,Data!$A:$A,Cataratorii!$B17,Data!$C:$C,Cataratorii!G$1)</f>
        <v>1182</v>
      </c>
      <c r="H17" s="68">
        <f>SUMIFS(Data!$H:$H,Data!$A:$A,Cataratorii!$B17,Data!$C:$C,Cataratorii!H$1)</f>
        <v>126</v>
      </c>
      <c r="I17" s="68">
        <f>SUMIFS(Data!$H:$H,Data!$A:$A,Cataratorii!$B17,Data!$C:$C,Cataratorii!I$1)</f>
        <v>772</v>
      </c>
      <c r="J17" s="68">
        <f>SUMIFS(Data!$H:$H,Data!$A:$A,Cataratorii!$B17,Data!$C:$C,Cataratorii!J$1)</f>
        <v>172</v>
      </c>
      <c r="K17" s="68">
        <f>SUMIFS(Data!$H:$H,Data!$A:$A,Cataratorii!$B17,Data!$C:$C,Cataratorii!K$1)</f>
        <v>235</v>
      </c>
      <c r="L17" s="68">
        <f>SUMIFS(Data!$H:$H,Data!$A:$A,Cataratorii!$B17,Data!$C:$C,Cataratorii!L$1)</f>
        <v>161</v>
      </c>
      <c r="M17" s="68">
        <f>SUMIFS(Data!$H:$H,Data!$A:$A,Cataratorii!$B17,Data!$C:$C,Cataratorii!M$1)</f>
        <v>252</v>
      </c>
      <c r="N17" s="68">
        <f>SUMIFS(Data!$H:$H,Data!$A:$A,Cataratorii!$B17,Data!$C:$C,Cataratorii!N$1)</f>
        <v>0</v>
      </c>
      <c r="O17" s="68">
        <f>SUMIFS(Data!$H:$H,Data!$A:$A,Cataratorii!$B17,Data!$C:$C,Cataratorii!O$1)</f>
        <v>718</v>
      </c>
      <c r="P17" s="68">
        <f>SUMIFS(Data!$H:$H,Data!$A:$A,Cataratorii!$B17,Data!$C:$C,Cataratorii!P$1)</f>
        <v>401</v>
      </c>
      <c r="Q17" s="68">
        <f>SUMIFS(Data!$H:$H,Data!$A:$A,Cataratorii!$B17,Data!$C:$C,Cataratorii!Q$1)</f>
        <v>880</v>
      </c>
      <c r="R17" s="68">
        <f>SUM(C17:Q17)</f>
        <v>5626</v>
      </c>
      <c r="S17" s="31">
        <f>SUMIFS(Data!D:D,Data!A:A,Cataratorii!B12)</f>
        <v>198.53000000000003</v>
      </c>
      <c r="T17" s="1" t="str">
        <f>IF(VLOOKUP(B17,Participanti!A:D,4,0)=0," ","New")</f>
        <v xml:space="preserve"> </v>
      </c>
      <c r="U17" s="130">
        <f>R17/S17/1000</f>
        <v>2.8338286405077316E-2</v>
      </c>
    </row>
    <row r="18" spans="1:21" ht="13" x14ac:dyDescent="0.3">
      <c r="A18" s="79">
        <v>17</v>
      </c>
      <c r="B18" s="30" t="s">
        <v>303</v>
      </c>
      <c r="C18" s="68">
        <f>SUMIFS(Data!$H:$H,Data!$A:$A,Cataratorii!$B18,Data!$C:$C,Cataratorii!C$1)</f>
        <v>390</v>
      </c>
      <c r="D18" s="68">
        <f>SUMIFS(Data!$H:$H,Data!$A:$A,Cataratorii!$B18,Data!$C:$C,Cataratorii!D$1)</f>
        <v>412</v>
      </c>
      <c r="E18" s="68">
        <f>SUMIFS(Data!$H:$H,Data!$A:$A,Cataratorii!$B18,Data!$C:$C,Cataratorii!E$1)</f>
        <v>369</v>
      </c>
      <c r="F18" s="68">
        <f>SUMIFS(Data!$H:$H,Data!$A:$A,Cataratorii!$B18,Data!$C:$C,Cataratorii!F$1)</f>
        <v>0</v>
      </c>
      <c r="G18" s="68">
        <f>SUMIFS(Data!$H:$H,Data!$A:$A,Cataratorii!$B18,Data!$C:$C,Cataratorii!G$1)</f>
        <v>0</v>
      </c>
      <c r="H18" s="68">
        <f>SUMIFS(Data!$H:$H,Data!$A:$A,Cataratorii!$B18,Data!$C:$C,Cataratorii!H$1)</f>
        <v>194</v>
      </c>
      <c r="I18" s="68">
        <f>SUMIFS(Data!$H:$H,Data!$A:$A,Cataratorii!$B18,Data!$C:$C,Cataratorii!I$1)</f>
        <v>431</v>
      </c>
      <c r="J18" s="68">
        <f>SUMIFS(Data!$H:$H,Data!$A:$A,Cataratorii!$B18,Data!$C:$C,Cataratorii!J$1)</f>
        <v>406</v>
      </c>
      <c r="K18" s="68">
        <f>SUMIFS(Data!$H:$H,Data!$A:$A,Cataratorii!$B18,Data!$C:$C,Cataratorii!K$1)</f>
        <v>679</v>
      </c>
      <c r="L18" s="68">
        <f>SUMIFS(Data!$H:$H,Data!$A:$A,Cataratorii!$B18,Data!$C:$C,Cataratorii!L$1)</f>
        <v>101</v>
      </c>
      <c r="M18" s="68">
        <f>SUMIFS(Data!$H:$H,Data!$A:$A,Cataratorii!$B18,Data!$C:$C,Cataratorii!M$1)</f>
        <v>427</v>
      </c>
      <c r="N18" s="68">
        <f>SUMIFS(Data!$H:$H,Data!$A:$A,Cataratorii!$B18,Data!$C:$C,Cataratorii!N$1)</f>
        <v>0</v>
      </c>
      <c r="O18" s="68">
        <f>SUMIFS(Data!$H:$H,Data!$A:$A,Cataratorii!$B18,Data!$C:$C,Cataratorii!O$1)</f>
        <v>688</v>
      </c>
      <c r="P18" s="68">
        <f>SUMIFS(Data!$H:$H,Data!$A:$A,Cataratorii!$B18,Data!$C:$C,Cataratorii!P$1)</f>
        <v>45</v>
      </c>
      <c r="Q18" s="68">
        <f>SUMIFS(Data!$H:$H,Data!$A:$A,Cataratorii!$B18,Data!$C:$C,Cataratorii!Q$1)</f>
        <v>277</v>
      </c>
      <c r="R18" s="68">
        <f>SUM(C18:Q18)</f>
        <v>4419</v>
      </c>
      <c r="S18" s="31">
        <f>SUMIFS(Data!D:D,Data!A:A,Cataratorii!B18)</f>
        <v>172.75</v>
      </c>
      <c r="T18" s="1" t="str">
        <f>IF(VLOOKUP(B18,Participanti!A:D,4,0)=0," ","New")</f>
        <v xml:space="preserve"> </v>
      </c>
      <c r="U18" s="130">
        <f>R18/S18/1000</f>
        <v>2.5580318379160638E-2</v>
      </c>
    </row>
    <row r="19" spans="1:21" ht="13" x14ac:dyDescent="0.3">
      <c r="A19" s="79">
        <v>18</v>
      </c>
      <c r="B19" s="30" t="s">
        <v>406</v>
      </c>
      <c r="C19" s="68">
        <f>SUMIFS(Data!$H:$H,Data!$A:$A,Cataratorii!$B19,Data!$C:$C,Cataratorii!C$1)</f>
        <v>0</v>
      </c>
      <c r="D19" s="68">
        <f>SUMIFS(Data!$H:$H,Data!$A:$A,Cataratorii!$B19,Data!$C:$C,Cataratorii!D$1)</f>
        <v>0</v>
      </c>
      <c r="E19" s="68">
        <f>SUMIFS(Data!$H:$H,Data!$A:$A,Cataratorii!$B19,Data!$C:$C,Cataratorii!E$1)</f>
        <v>0</v>
      </c>
      <c r="F19" s="68">
        <f>SUMIFS(Data!$H:$H,Data!$A:$A,Cataratorii!$B19,Data!$C:$C,Cataratorii!F$1)</f>
        <v>748</v>
      </c>
      <c r="G19" s="68">
        <f>SUMIFS(Data!$H:$H,Data!$A:$A,Cataratorii!$B19,Data!$C:$C,Cataratorii!G$1)</f>
        <v>464</v>
      </c>
      <c r="H19" s="68">
        <f>SUMIFS(Data!$H:$H,Data!$A:$A,Cataratorii!$B19,Data!$C:$C,Cataratorii!H$1)</f>
        <v>549</v>
      </c>
      <c r="I19" s="68">
        <f>SUMIFS(Data!$H:$H,Data!$A:$A,Cataratorii!$B19,Data!$C:$C,Cataratorii!I$1)</f>
        <v>807</v>
      </c>
      <c r="J19" s="68">
        <f>SUMIFS(Data!$H:$H,Data!$A:$A,Cataratorii!$B19,Data!$C:$C,Cataratorii!J$1)</f>
        <v>0</v>
      </c>
      <c r="K19" s="68">
        <f>SUMIFS(Data!$H:$H,Data!$A:$A,Cataratorii!$B19,Data!$C:$C,Cataratorii!K$1)</f>
        <v>0</v>
      </c>
      <c r="L19" s="68">
        <f>SUMIFS(Data!$H:$H,Data!$A:$A,Cataratorii!$B19,Data!$C:$C,Cataratorii!L$1)</f>
        <v>700</v>
      </c>
      <c r="M19" s="68">
        <f>SUMIFS(Data!$H:$H,Data!$A:$A,Cataratorii!$B19,Data!$C:$C,Cataratorii!M$1)</f>
        <v>0</v>
      </c>
      <c r="N19" s="68">
        <f>SUMIFS(Data!$H:$H,Data!$A:$A,Cataratorii!$B19,Data!$C:$C,Cataratorii!N$1)</f>
        <v>0</v>
      </c>
      <c r="O19" s="68">
        <f>SUMIFS(Data!$H:$H,Data!$A:$A,Cataratorii!$B19,Data!$C:$C,Cataratorii!O$1)</f>
        <v>388</v>
      </c>
      <c r="P19" s="68">
        <f>SUMIFS(Data!$H:$H,Data!$A:$A,Cataratorii!$B19,Data!$C:$C,Cataratorii!P$1)</f>
        <v>0</v>
      </c>
      <c r="Q19" s="68">
        <f>SUMIFS(Data!$H:$H,Data!$A:$A,Cataratorii!$B19,Data!$C:$C,Cataratorii!Q$1)</f>
        <v>0</v>
      </c>
      <c r="R19" s="68">
        <f>SUM(C19:Q19)</f>
        <v>3656</v>
      </c>
      <c r="S19" s="31">
        <f>SUMIFS(Data!D:D,Data!A:A,Cataratorii!B21)</f>
        <v>295.23</v>
      </c>
      <c r="T19" s="1" t="str">
        <f>IF(VLOOKUP(B19,Participanti!A:D,4,0)=0," ","New")</f>
        <v>New</v>
      </c>
      <c r="U19" s="130">
        <f>R19/S19/1000</f>
        <v>1.2383565355824272E-2</v>
      </c>
    </row>
    <row r="20" spans="1:21" ht="13" x14ac:dyDescent="0.3">
      <c r="A20" s="79">
        <v>19</v>
      </c>
      <c r="B20" s="30" t="s">
        <v>252</v>
      </c>
      <c r="C20" s="68">
        <f>SUMIFS(Data!$H:$H,Data!$A:$A,Cataratorii!$B20,Data!$C:$C,Cataratorii!C$1)</f>
        <v>0</v>
      </c>
      <c r="D20" s="68">
        <f>SUMIFS(Data!$H:$H,Data!$A:$A,Cataratorii!$B20,Data!$C:$C,Cataratorii!D$1)</f>
        <v>0</v>
      </c>
      <c r="E20" s="68">
        <f>SUMIFS(Data!$H:$H,Data!$A:$A,Cataratorii!$B20,Data!$C:$C,Cataratorii!E$1)</f>
        <v>239</v>
      </c>
      <c r="F20" s="68">
        <f>SUMIFS(Data!$H:$H,Data!$A:$A,Cataratorii!$B20,Data!$C:$C,Cataratorii!F$1)</f>
        <v>0</v>
      </c>
      <c r="G20" s="68">
        <f>SUMIFS(Data!$H:$H,Data!$A:$A,Cataratorii!$B20,Data!$C:$C,Cataratorii!G$1)</f>
        <v>583</v>
      </c>
      <c r="H20" s="68">
        <f>SUMIFS(Data!$H:$H,Data!$A:$A,Cataratorii!$B20,Data!$C:$C,Cataratorii!H$1)</f>
        <v>0</v>
      </c>
      <c r="I20" s="68">
        <f>SUMIFS(Data!$H:$H,Data!$A:$A,Cataratorii!$B20,Data!$C:$C,Cataratorii!I$1)</f>
        <v>0</v>
      </c>
      <c r="J20" s="68">
        <f>SUMIFS(Data!$H:$H,Data!$A:$A,Cataratorii!$B20,Data!$C:$C,Cataratorii!J$1)</f>
        <v>0</v>
      </c>
      <c r="K20" s="68">
        <f>SUMIFS(Data!$H:$H,Data!$A:$A,Cataratorii!$B20,Data!$C:$C,Cataratorii!K$1)</f>
        <v>656</v>
      </c>
      <c r="L20" s="68">
        <f>SUMIFS(Data!$H:$H,Data!$A:$A,Cataratorii!$B20,Data!$C:$C,Cataratorii!L$1)</f>
        <v>204</v>
      </c>
      <c r="M20" s="68">
        <f>SUMIFS(Data!$H:$H,Data!$A:$A,Cataratorii!$B20,Data!$C:$C,Cataratorii!M$1)</f>
        <v>0</v>
      </c>
      <c r="N20" s="68">
        <f>SUMIFS(Data!$H:$H,Data!$A:$A,Cataratorii!$B20,Data!$C:$C,Cataratorii!N$1)</f>
        <v>118</v>
      </c>
      <c r="O20" s="68">
        <f>SUMIFS(Data!$H:$H,Data!$A:$A,Cataratorii!$B20,Data!$C:$C,Cataratorii!O$1)</f>
        <v>1550</v>
      </c>
      <c r="P20" s="68">
        <f>SUMIFS(Data!$H:$H,Data!$A:$A,Cataratorii!$B20,Data!$C:$C,Cataratorii!P$1)</f>
        <v>147</v>
      </c>
      <c r="Q20" s="68">
        <f>SUMIFS(Data!$H:$H,Data!$A:$A,Cataratorii!$B20,Data!$C:$C,Cataratorii!Q$1)</f>
        <v>0</v>
      </c>
      <c r="R20" s="68">
        <f>SUM(C20:Q20)</f>
        <v>3497</v>
      </c>
      <c r="S20" s="31">
        <f>SUMIFS(Data!D:D,Data!A:A,Cataratorii!B23)</f>
        <v>121.16</v>
      </c>
      <c r="T20" s="1" t="str">
        <f>IF(VLOOKUP(B20,Participanti!A:D,4,0)=0," ","New")</f>
        <v xml:space="preserve"> </v>
      </c>
      <c r="U20" s="130">
        <f>R20/S20/1000</f>
        <v>2.886266094420601E-2</v>
      </c>
    </row>
    <row r="21" spans="1:21" ht="13" x14ac:dyDescent="0.3">
      <c r="A21" s="79">
        <v>20</v>
      </c>
      <c r="B21" s="30" t="s">
        <v>403</v>
      </c>
      <c r="C21" s="68">
        <f>SUMIFS(Data!$H:$H,Data!$A:$A,Cataratorii!$B21,Data!$C:$C,Cataratorii!C$1)</f>
        <v>0</v>
      </c>
      <c r="D21" s="68">
        <f>SUMIFS(Data!$H:$H,Data!$A:$A,Cataratorii!$B21,Data!$C:$C,Cataratorii!D$1)</f>
        <v>0</v>
      </c>
      <c r="E21" s="68">
        <f>SUMIFS(Data!$H:$H,Data!$A:$A,Cataratorii!$B21,Data!$C:$C,Cataratorii!E$1)</f>
        <v>0</v>
      </c>
      <c r="F21" s="68">
        <f>SUMIFS(Data!$H:$H,Data!$A:$A,Cataratorii!$B21,Data!$C:$C,Cataratorii!F$1)</f>
        <v>174</v>
      </c>
      <c r="G21" s="68">
        <f>SUMIFS(Data!$H:$H,Data!$A:$A,Cataratorii!$B21,Data!$C:$C,Cataratorii!G$1)</f>
        <v>1046</v>
      </c>
      <c r="H21" s="68">
        <f>SUMIFS(Data!$H:$H,Data!$A:$A,Cataratorii!$B21,Data!$C:$C,Cataratorii!H$1)</f>
        <v>151</v>
      </c>
      <c r="I21" s="68">
        <f>SUMIFS(Data!$H:$H,Data!$A:$A,Cataratorii!$B21,Data!$C:$C,Cataratorii!I$1)</f>
        <v>479</v>
      </c>
      <c r="J21" s="68">
        <f>SUMIFS(Data!$H:$H,Data!$A:$A,Cataratorii!$B21,Data!$C:$C,Cataratorii!J$1)</f>
        <v>164</v>
      </c>
      <c r="K21" s="68">
        <f>SUMIFS(Data!$H:$H,Data!$A:$A,Cataratorii!$B21,Data!$C:$C,Cataratorii!K$1)</f>
        <v>685</v>
      </c>
      <c r="L21" s="68">
        <f>SUMIFS(Data!$H:$H,Data!$A:$A,Cataratorii!$B21,Data!$C:$C,Cataratorii!L$1)</f>
        <v>555</v>
      </c>
      <c r="M21" s="68">
        <f>SUMIFS(Data!$H:$H,Data!$A:$A,Cataratorii!$B21,Data!$C:$C,Cataratorii!M$1)</f>
        <v>0</v>
      </c>
      <c r="N21" s="68">
        <f>SUMIFS(Data!$H:$H,Data!$A:$A,Cataratorii!$B21,Data!$C:$C,Cataratorii!N$1)</f>
        <v>0</v>
      </c>
      <c r="O21" s="68">
        <f>SUMIFS(Data!$H:$H,Data!$A:$A,Cataratorii!$B21,Data!$C:$C,Cataratorii!O$1)</f>
        <v>67</v>
      </c>
      <c r="P21" s="68">
        <f>SUMIFS(Data!$H:$H,Data!$A:$A,Cataratorii!$B21,Data!$C:$C,Cataratorii!P$1)</f>
        <v>601</v>
      </c>
      <c r="Q21" s="68">
        <f>SUMIFS(Data!$H:$H,Data!$A:$A,Cataratorii!$B21,Data!$C:$C,Cataratorii!Q$1)</f>
        <v>0</v>
      </c>
      <c r="R21" s="68">
        <f>SUM(C21:Q21)</f>
        <v>3922</v>
      </c>
      <c r="S21" s="31">
        <f>SUMIFS(Data!D:D,Data!A:A,Cataratorii!B20)</f>
        <v>236.57</v>
      </c>
      <c r="T21" s="1" t="str">
        <f>IF(VLOOKUP(B21,Participanti!A:D,4,0)=0," ","New")</f>
        <v>New</v>
      </c>
      <c r="U21" s="130">
        <f>R21/S21/1000</f>
        <v>1.657860252779304E-2</v>
      </c>
    </row>
    <row r="22" spans="1:21" ht="13" x14ac:dyDescent="0.3">
      <c r="A22" s="79">
        <v>21</v>
      </c>
      <c r="B22" s="30" t="s">
        <v>359</v>
      </c>
      <c r="C22" s="68">
        <f>SUMIFS(Data!$H:$H,Data!$A:$A,Cataratorii!$B22,Data!$C:$C,Cataratorii!C$1)</f>
        <v>45</v>
      </c>
      <c r="D22" s="68">
        <f>SUMIFS(Data!$H:$H,Data!$A:$A,Cataratorii!$B22,Data!$C:$C,Cataratorii!D$1)</f>
        <v>0</v>
      </c>
      <c r="E22" s="68">
        <f>SUMIFS(Data!$H:$H,Data!$A:$A,Cataratorii!$B22,Data!$C:$C,Cataratorii!E$1)</f>
        <v>0</v>
      </c>
      <c r="F22" s="68">
        <f>SUMIFS(Data!$H:$H,Data!$A:$A,Cataratorii!$B22,Data!$C:$C,Cataratorii!F$1)</f>
        <v>0</v>
      </c>
      <c r="G22" s="68">
        <f>SUMIFS(Data!$H:$H,Data!$A:$A,Cataratorii!$B22,Data!$C:$C,Cataratorii!G$1)</f>
        <v>0</v>
      </c>
      <c r="H22" s="68">
        <f>SUMIFS(Data!$H:$H,Data!$A:$A,Cataratorii!$B22,Data!$C:$C,Cataratorii!H$1)</f>
        <v>75</v>
      </c>
      <c r="I22" s="68">
        <f>SUMIFS(Data!$H:$H,Data!$A:$A,Cataratorii!$B22,Data!$C:$C,Cataratorii!I$1)</f>
        <v>0</v>
      </c>
      <c r="J22" s="68">
        <f>SUMIFS(Data!$H:$H,Data!$A:$A,Cataratorii!$B22,Data!$C:$C,Cataratorii!J$1)</f>
        <v>1106</v>
      </c>
      <c r="K22" s="68">
        <f>SUMIFS(Data!$H:$H,Data!$A:$A,Cataratorii!$B22,Data!$C:$C,Cataratorii!K$1)</f>
        <v>0</v>
      </c>
      <c r="L22" s="68">
        <f>SUMIFS(Data!$H:$H,Data!$A:$A,Cataratorii!$B22,Data!$C:$C,Cataratorii!L$1)</f>
        <v>1251</v>
      </c>
      <c r="M22" s="68">
        <f>SUMIFS(Data!$H:$H,Data!$A:$A,Cataratorii!$B22,Data!$C:$C,Cataratorii!M$1)</f>
        <v>0</v>
      </c>
      <c r="N22" s="68">
        <f>SUMIFS(Data!$H:$H,Data!$A:$A,Cataratorii!$B22,Data!$C:$C,Cataratorii!N$1)</f>
        <v>0</v>
      </c>
      <c r="O22" s="68">
        <f>SUMIFS(Data!$H:$H,Data!$A:$A,Cataratorii!$B22,Data!$C:$C,Cataratorii!O$1)</f>
        <v>718</v>
      </c>
      <c r="P22" s="68">
        <f>SUMIFS(Data!$H:$H,Data!$A:$A,Cataratorii!$B22,Data!$C:$C,Cataratorii!P$1)</f>
        <v>0</v>
      </c>
      <c r="Q22" s="68">
        <f>SUMIFS(Data!$H:$H,Data!$A:$A,Cataratorii!$B22,Data!$C:$C,Cataratorii!Q$1)</f>
        <v>1162</v>
      </c>
      <c r="R22" s="68">
        <f>SUM(C22:Q22)</f>
        <v>4357</v>
      </c>
      <c r="S22" s="31">
        <f>SUMIFS(Data!D:D,Data!A:A,Cataratorii!B19)</f>
        <v>118.32</v>
      </c>
      <c r="T22" s="1" t="str">
        <f>IF(VLOOKUP(B22,Participanti!A:D,4,0)=0," ","New")</f>
        <v>New</v>
      </c>
      <c r="U22" s="130">
        <f>R22/S22/1000</f>
        <v>3.6823867478025699E-2</v>
      </c>
    </row>
    <row r="23" spans="1:21" ht="13" x14ac:dyDescent="0.3">
      <c r="A23" s="79">
        <v>22</v>
      </c>
      <c r="B23" s="30" t="s">
        <v>284</v>
      </c>
      <c r="C23" s="68">
        <f>SUMIFS(Data!$H:$H,Data!$A:$A,Cataratorii!$B23,Data!$C:$C,Cataratorii!C$1)</f>
        <v>65</v>
      </c>
      <c r="D23" s="68">
        <f>SUMIFS(Data!$H:$H,Data!$A:$A,Cataratorii!$B23,Data!$C:$C,Cataratorii!D$1)</f>
        <v>639</v>
      </c>
      <c r="E23" s="68">
        <f>SUMIFS(Data!$H:$H,Data!$A:$A,Cataratorii!$B23,Data!$C:$C,Cataratorii!E$1)</f>
        <v>136</v>
      </c>
      <c r="F23" s="68">
        <f>SUMIFS(Data!$H:$H,Data!$A:$A,Cataratorii!$B23,Data!$C:$C,Cataratorii!F$1)</f>
        <v>991</v>
      </c>
      <c r="G23" s="68">
        <f>SUMIFS(Data!$H:$H,Data!$A:$A,Cataratorii!$B23,Data!$C:$C,Cataratorii!G$1)</f>
        <v>0</v>
      </c>
      <c r="H23" s="68">
        <f>SUMIFS(Data!$H:$H,Data!$A:$A,Cataratorii!$B23,Data!$C:$C,Cataratorii!H$1)</f>
        <v>0</v>
      </c>
      <c r="I23" s="68">
        <f>SUMIFS(Data!$H:$H,Data!$A:$A,Cataratorii!$B23,Data!$C:$C,Cataratorii!I$1)</f>
        <v>108</v>
      </c>
      <c r="J23" s="68">
        <f>SUMIFS(Data!$H:$H,Data!$A:$A,Cataratorii!$B23,Data!$C:$C,Cataratorii!J$1)</f>
        <v>412</v>
      </c>
      <c r="K23" s="68">
        <f>SUMIFS(Data!$H:$H,Data!$A:$A,Cataratorii!$B23,Data!$C:$C,Cataratorii!K$1)</f>
        <v>241</v>
      </c>
      <c r="L23" s="68">
        <f>SUMIFS(Data!$H:$H,Data!$A:$A,Cataratorii!$B23,Data!$C:$C,Cataratorii!L$1)</f>
        <v>235</v>
      </c>
      <c r="M23" s="68">
        <f>SUMIFS(Data!$H:$H,Data!$A:$A,Cataratorii!$B23,Data!$C:$C,Cataratorii!M$1)</f>
        <v>0</v>
      </c>
      <c r="N23" s="68">
        <f>SUMIFS(Data!$H:$H,Data!$A:$A,Cataratorii!$B23,Data!$C:$C,Cataratorii!N$1)</f>
        <v>0</v>
      </c>
      <c r="O23" s="68">
        <f>SUMIFS(Data!$H:$H,Data!$A:$A,Cataratorii!$B23,Data!$C:$C,Cataratorii!O$1)</f>
        <v>0</v>
      </c>
      <c r="P23" s="68">
        <f>SUMIFS(Data!$H:$H,Data!$A:$A,Cataratorii!$B23,Data!$C:$C,Cataratorii!P$1)</f>
        <v>0</v>
      </c>
      <c r="Q23" s="68">
        <f>SUMIFS(Data!$H:$H,Data!$A:$A,Cataratorii!$B23,Data!$C:$C,Cataratorii!Q$1)</f>
        <v>0</v>
      </c>
      <c r="R23" s="68">
        <f>SUM(C23:Q23)</f>
        <v>2827</v>
      </c>
      <c r="S23" s="31">
        <f>SUMIFS(Data!D:D,Data!A:A,Cataratorii!B31)</f>
        <v>254.25</v>
      </c>
      <c r="T23" s="1" t="str">
        <f>IF(VLOOKUP(B23,Participanti!A:D,4,0)=0," ","New")</f>
        <v xml:space="preserve"> </v>
      </c>
      <c r="U23" s="130">
        <f>R23/S23/1000</f>
        <v>1.111897738446411E-2</v>
      </c>
    </row>
    <row r="24" spans="1:21" ht="13" x14ac:dyDescent="0.3">
      <c r="A24" s="79">
        <v>23</v>
      </c>
      <c r="B24" s="30" t="s">
        <v>339</v>
      </c>
      <c r="C24" s="68">
        <f>SUMIFS(Data!$H:$H,Data!$A:$A,Cataratorii!$B24,Data!$C:$C,Cataratorii!C$1)</f>
        <v>65</v>
      </c>
      <c r="D24" s="68">
        <f>SUMIFS(Data!$H:$H,Data!$A:$A,Cataratorii!$B24,Data!$C:$C,Cataratorii!D$1)</f>
        <v>179</v>
      </c>
      <c r="E24" s="68">
        <f>SUMIFS(Data!$H:$H,Data!$A:$A,Cataratorii!$B24,Data!$C:$C,Cataratorii!E$1)</f>
        <v>85</v>
      </c>
      <c r="F24" s="68">
        <f>SUMIFS(Data!$H:$H,Data!$A:$A,Cataratorii!$B24,Data!$C:$C,Cataratorii!F$1)</f>
        <v>138</v>
      </c>
      <c r="G24" s="68">
        <f>SUMIFS(Data!$H:$H,Data!$A:$A,Cataratorii!$B24,Data!$C:$C,Cataratorii!G$1)</f>
        <v>0</v>
      </c>
      <c r="H24" s="68">
        <f>SUMIFS(Data!$H:$H,Data!$A:$A,Cataratorii!$B24,Data!$C:$C,Cataratorii!H$1)</f>
        <v>0</v>
      </c>
      <c r="I24" s="68">
        <f>SUMIFS(Data!$H:$H,Data!$A:$A,Cataratorii!$B24,Data!$C:$C,Cataratorii!I$1)</f>
        <v>306</v>
      </c>
      <c r="J24" s="68">
        <f>SUMIFS(Data!$H:$H,Data!$A:$A,Cataratorii!$B24,Data!$C:$C,Cataratorii!J$1)</f>
        <v>72</v>
      </c>
      <c r="K24" s="68">
        <f>SUMIFS(Data!$H:$H,Data!$A:$A,Cataratorii!$B24,Data!$C:$C,Cataratorii!K$1)</f>
        <v>0</v>
      </c>
      <c r="L24" s="68">
        <f>SUMIFS(Data!$H:$H,Data!$A:$A,Cataratorii!$B24,Data!$C:$C,Cataratorii!L$1)</f>
        <v>158</v>
      </c>
      <c r="M24" s="68">
        <f>SUMIFS(Data!$H:$H,Data!$A:$A,Cataratorii!$B24,Data!$C:$C,Cataratorii!M$1)</f>
        <v>0</v>
      </c>
      <c r="N24" s="68">
        <f>SUMIFS(Data!$H:$H,Data!$A:$A,Cataratorii!$B24,Data!$C:$C,Cataratorii!N$1)</f>
        <v>207</v>
      </c>
      <c r="O24" s="68">
        <f>SUMIFS(Data!$H:$H,Data!$A:$A,Cataratorii!$B24,Data!$C:$C,Cataratorii!O$1)</f>
        <v>1550</v>
      </c>
      <c r="P24" s="68">
        <f>SUMIFS(Data!$H:$H,Data!$A:$A,Cataratorii!$B24,Data!$C:$C,Cataratorii!P$1)</f>
        <v>142</v>
      </c>
      <c r="Q24" s="68">
        <f>SUMIFS(Data!$H:$H,Data!$A:$A,Cataratorii!$B24,Data!$C:$C,Cataratorii!Q$1)</f>
        <v>0</v>
      </c>
      <c r="R24" s="68">
        <f>SUM(C24:Q24)</f>
        <v>2902</v>
      </c>
      <c r="S24" s="31">
        <f>SUMIFS(Data!D:D,Data!A:A,Cataratorii!B29)</f>
        <v>194.78999999999996</v>
      </c>
      <c r="T24" s="1" t="str">
        <f>IF(VLOOKUP(B24,Participanti!A:D,4,0)=0," ","New")</f>
        <v>New</v>
      </c>
      <c r="U24" s="130">
        <f>R24/S24/1000</f>
        <v>1.4898095384773349E-2</v>
      </c>
    </row>
    <row r="25" spans="1:21" ht="13" x14ac:dyDescent="0.3">
      <c r="A25" s="79">
        <v>24</v>
      </c>
      <c r="B25" s="30" t="s">
        <v>376</v>
      </c>
      <c r="C25" s="68">
        <f>SUMIFS(Data!$H:$H,Data!$A:$A,Cataratorii!$B25,Data!$C:$C,Cataratorii!C$1)</f>
        <v>0</v>
      </c>
      <c r="D25" s="68">
        <f>SUMIFS(Data!$H:$H,Data!$A:$A,Cataratorii!$B25,Data!$C:$C,Cataratorii!D$1)</f>
        <v>0</v>
      </c>
      <c r="E25" s="68">
        <f>SUMIFS(Data!$H:$H,Data!$A:$A,Cataratorii!$B25,Data!$C:$C,Cataratorii!E$1)</f>
        <v>0</v>
      </c>
      <c r="F25" s="68">
        <f>SUMIFS(Data!$H:$H,Data!$A:$A,Cataratorii!$B25,Data!$C:$C,Cataratorii!F$1)</f>
        <v>0</v>
      </c>
      <c r="G25" s="68">
        <f>SUMIFS(Data!$H:$H,Data!$A:$A,Cataratorii!$B25,Data!$C:$C,Cataratorii!G$1)</f>
        <v>0</v>
      </c>
      <c r="H25" s="68">
        <f>SUMIFS(Data!$H:$H,Data!$A:$A,Cataratorii!$B25,Data!$C:$C,Cataratorii!H$1)</f>
        <v>124</v>
      </c>
      <c r="I25" s="68">
        <f>SUMIFS(Data!$H:$H,Data!$A:$A,Cataratorii!$B25,Data!$C:$C,Cataratorii!I$1)</f>
        <v>0</v>
      </c>
      <c r="J25" s="68">
        <f>SUMIFS(Data!$H:$H,Data!$A:$A,Cataratorii!$B25,Data!$C:$C,Cataratorii!J$1)</f>
        <v>0</v>
      </c>
      <c r="K25" s="68">
        <f>SUMIFS(Data!$H:$H,Data!$A:$A,Cataratorii!$B25,Data!$C:$C,Cataratorii!K$1)</f>
        <v>541</v>
      </c>
      <c r="L25" s="68">
        <f>SUMIFS(Data!$H:$H,Data!$A:$A,Cataratorii!$B25,Data!$C:$C,Cataratorii!L$1)</f>
        <v>0</v>
      </c>
      <c r="M25" s="68">
        <f>SUMIFS(Data!$H:$H,Data!$A:$A,Cataratorii!$B25,Data!$C:$C,Cataratorii!M$1)</f>
        <v>0</v>
      </c>
      <c r="N25" s="68">
        <f>SUMIFS(Data!$H:$H,Data!$A:$A,Cataratorii!$B25,Data!$C:$C,Cataratorii!N$1)</f>
        <v>1356</v>
      </c>
      <c r="O25" s="68">
        <f>SUMIFS(Data!$H:$H,Data!$A:$A,Cataratorii!$B25,Data!$C:$C,Cataratorii!O$1)</f>
        <v>720</v>
      </c>
      <c r="P25" s="68">
        <f>SUMIFS(Data!$H:$H,Data!$A:$A,Cataratorii!$B25,Data!$C:$C,Cataratorii!P$1)</f>
        <v>112</v>
      </c>
      <c r="Q25" s="68">
        <f>SUMIFS(Data!$H:$H,Data!$A:$A,Cataratorii!$B25,Data!$C:$C,Cataratorii!Q$1)</f>
        <v>0</v>
      </c>
      <c r="R25" s="68">
        <f>SUM(C25:Q25)</f>
        <v>2853</v>
      </c>
      <c r="S25" s="31">
        <f>SUMIFS(Data!D:D,Data!A:A,Cataratorii!B30)</f>
        <v>711.7600000000001</v>
      </c>
      <c r="T25" s="1" t="str">
        <f>IF(VLOOKUP(B25,Participanti!A:D,4,0)=0," ","New")</f>
        <v>New</v>
      </c>
      <c r="U25" s="130">
        <f>R25/S25/1000</f>
        <v>4.0083736090817121E-3</v>
      </c>
    </row>
    <row r="26" spans="1:21" ht="13" x14ac:dyDescent="0.3">
      <c r="A26" s="79">
        <v>25</v>
      </c>
      <c r="B26" s="30" t="s">
        <v>205</v>
      </c>
      <c r="C26" s="68">
        <f>SUMIFS(Data!$H:$H,Data!$A:$A,Cataratorii!$B26,Data!$C:$C,Cataratorii!C$1)</f>
        <v>235</v>
      </c>
      <c r="D26" s="68">
        <f>SUMIFS(Data!$H:$H,Data!$A:$A,Cataratorii!$B26,Data!$C:$C,Cataratorii!D$1)</f>
        <v>88</v>
      </c>
      <c r="E26" s="68">
        <f>SUMIFS(Data!$H:$H,Data!$A:$A,Cataratorii!$B26,Data!$C:$C,Cataratorii!E$1)</f>
        <v>313</v>
      </c>
      <c r="F26" s="68">
        <f>SUMIFS(Data!$H:$H,Data!$A:$A,Cataratorii!$B26,Data!$C:$C,Cataratorii!F$1)</f>
        <v>131</v>
      </c>
      <c r="G26" s="68">
        <f>SUMIFS(Data!$H:$H,Data!$A:$A,Cataratorii!$B26,Data!$C:$C,Cataratorii!G$1)</f>
        <v>338</v>
      </c>
      <c r="H26" s="68">
        <f>SUMIFS(Data!$H:$H,Data!$A:$A,Cataratorii!$B26,Data!$C:$C,Cataratorii!H$1)</f>
        <v>284</v>
      </c>
      <c r="I26" s="68">
        <f>SUMIFS(Data!$H:$H,Data!$A:$A,Cataratorii!$B26,Data!$C:$C,Cataratorii!I$1)</f>
        <v>273</v>
      </c>
      <c r="J26" s="68">
        <f>SUMIFS(Data!$H:$H,Data!$A:$A,Cataratorii!$B26,Data!$C:$C,Cataratorii!J$1)</f>
        <v>0</v>
      </c>
      <c r="K26" s="68">
        <f>SUMIFS(Data!$H:$H,Data!$A:$A,Cataratorii!$B26,Data!$C:$C,Cataratorii!K$1)</f>
        <v>240</v>
      </c>
      <c r="L26" s="68">
        <f>SUMIFS(Data!$H:$H,Data!$A:$A,Cataratorii!$B26,Data!$C:$C,Cataratorii!L$1)</f>
        <v>298</v>
      </c>
      <c r="M26" s="68">
        <f>SUMIFS(Data!$H:$H,Data!$A:$A,Cataratorii!$B26,Data!$C:$C,Cataratorii!M$1)</f>
        <v>191</v>
      </c>
      <c r="N26" s="68">
        <f>SUMIFS(Data!$H:$H,Data!$A:$A,Cataratorii!$B26,Data!$C:$C,Cataratorii!N$1)</f>
        <v>307</v>
      </c>
      <c r="O26" s="68">
        <f>SUMIFS(Data!$H:$H,Data!$A:$A,Cataratorii!$B26,Data!$C:$C,Cataratorii!O$1)</f>
        <v>0</v>
      </c>
      <c r="P26" s="68">
        <f>SUMIFS(Data!$H:$H,Data!$A:$A,Cataratorii!$B26,Data!$C:$C,Cataratorii!P$1)</f>
        <v>0</v>
      </c>
      <c r="Q26" s="68">
        <f>SUMIFS(Data!$H:$H,Data!$A:$A,Cataratorii!$B26,Data!$C:$C,Cataratorii!Q$1)</f>
        <v>729</v>
      </c>
      <c r="R26" s="68">
        <f>SUM(C26:Q26)</f>
        <v>3427</v>
      </c>
      <c r="S26" s="31">
        <f>SUMIFS(Data!D:D,Data!A:A,Cataratorii!B24)</f>
        <v>286.58999999999992</v>
      </c>
      <c r="T26" s="1" t="str">
        <f>IF(VLOOKUP(B26,Participanti!A:D,4,0)=0," ","New")</f>
        <v xml:space="preserve"> </v>
      </c>
      <c r="U26" s="130">
        <f>R26/S26/1000</f>
        <v>1.1957849192225832E-2</v>
      </c>
    </row>
    <row r="27" spans="1:21" ht="13" x14ac:dyDescent="0.3">
      <c r="A27" s="79">
        <v>26</v>
      </c>
      <c r="B27" s="30" t="s">
        <v>332</v>
      </c>
      <c r="C27" s="68">
        <f>SUMIFS(Data!$H:$H,Data!$A:$A,Cataratorii!$B27,Data!$C:$C,Cataratorii!C$1)</f>
        <v>13</v>
      </c>
      <c r="D27" s="68">
        <f>SUMIFS(Data!$H:$H,Data!$A:$A,Cataratorii!$B27,Data!$C:$C,Cataratorii!D$1)</f>
        <v>0</v>
      </c>
      <c r="E27" s="68">
        <f>SUMIFS(Data!$H:$H,Data!$A:$A,Cataratorii!$B27,Data!$C:$C,Cataratorii!E$1)</f>
        <v>0</v>
      </c>
      <c r="F27" s="68">
        <f>SUMIFS(Data!$H:$H,Data!$A:$A,Cataratorii!$B27,Data!$C:$C,Cataratorii!F$1)</f>
        <v>146</v>
      </c>
      <c r="G27" s="68">
        <f>SUMIFS(Data!$H:$H,Data!$A:$A,Cataratorii!$B27,Data!$C:$C,Cataratorii!G$1)</f>
        <v>114</v>
      </c>
      <c r="H27" s="68">
        <f>SUMIFS(Data!$H:$H,Data!$A:$A,Cataratorii!$B27,Data!$C:$C,Cataratorii!H$1)</f>
        <v>0</v>
      </c>
      <c r="I27" s="68">
        <f>SUMIFS(Data!$H:$H,Data!$A:$A,Cataratorii!$B27,Data!$C:$C,Cataratorii!I$1)</f>
        <v>191</v>
      </c>
      <c r="J27" s="68">
        <f>SUMIFS(Data!$H:$H,Data!$A:$A,Cataratorii!$B27,Data!$C:$C,Cataratorii!J$1)</f>
        <v>272</v>
      </c>
      <c r="K27" s="68">
        <f>SUMIFS(Data!$H:$H,Data!$A:$A,Cataratorii!$B27,Data!$C:$C,Cataratorii!K$1)</f>
        <v>54</v>
      </c>
      <c r="L27" s="68">
        <f>SUMIFS(Data!$H:$H,Data!$A:$A,Cataratorii!$B27,Data!$C:$C,Cataratorii!L$1)</f>
        <v>0</v>
      </c>
      <c r="M27" s="68">
        <f>SUMIFS(Data!$H:$H,Data!$A:$A,Cataratorii!$B27,Data!$C:$C,Cataratorii!M$1)</f>
        <v>0</v>
      </c>
      <c r="N27" s="68">
        <f>SUMIFS(Data!$H:$H,Data!$A:$A,Cataratorii!$B27,Data!$C:$C,Cataratorii!N$1)</f>
        <v>266</v>
      </c>
      <c r="O27" s="68">
        <f>SUMIFS(Data!$H:$H,Data!$A:$A,Cataratorii!$B27,Data!$C:$C,Cataratorii!O$1)</f>
        <v>1550</v>
      </c>
      <c r="P27" s="68">
        <f>SUMIFS(Data!$H:$H,Data!$A:$A,Cataratorii!$B27,Data!$C:$C,Cataratorii!P$1)</f>
        <v>10</v>
      </c>
      <c r="Q27" s="68">
        <f>SUMIFS(Data!$H:$H,Data!$A:$A,Cataratorii!$B27,Data!$C:$C,Cataratorii!Q$1)</f>
        <v>0</v>
      </c>
      <c r="R27" s="68">
        <f>SUM(C27:Q27)</f>
        <v>2616</v>
      </c>
      <c r="S27" s="31">
        <f>SUMIFS(Data!D:D,Data!A:A,Cataratorii!B33)</f>
        <v>192.05</v>
      </c>
      <c r="T27" s="1" t="str">
        <f>IF(VLOOKUP(B27,Participanti!A:D,4,0)=0," ","New")</f>
        <v>New</v>
      </c>
      <c r="U27" s="130">
        <f>R27/S27/1000</f>
        <v>1.3621452746680552E-2</v>
      </c>
    </row>
    <row r="28" spans="1:21" ht="13" x14ac:dyDescent="0.3">
      <c r="A28" s="79">
        <v>27</v>
      </c>
      <c r="B28" s="30" t="s">
        <v>361</v>
      </c>
      <c r="C28" s="68">
        <f>SUMIFS(Data!$H:$H,Data!$A:$A,Cataratorii!$B28,Data!$C:$C,Cataratorii!C$1)</f>
        <v>0</v>
      </c>
      <c r="D28" s="68">
        <f>SUMIFS(Data!$H:$H,Data!$A:$A,Cataratorii!$B28,Data!$C:$C,Cataratorii!D$1)</f>
        <v>57</v>
      </c>
      <c r="E28" s="68">
        <f>SUMIFS(Data!$H:$H,Data!$A:$A,Cataratorii!$B28,Data!$C:$C,Cataratorii!E$1)</f>
        <v>0</v>
      </c>
      <c r="F28" s="68">
        <f>SUMIFS(Data!$H:$H,Data!$A:$A,Cataratorii!$B28,Data!$C:$C,Cataratorii!F$1)</f>
        <v>173</v>
      </c>
      <c r="G28" s="68">
        <f>SUMIFS(Data!$H:$H,Data!$A:$A,Cataratorii!$B28,Data!$C:$C,Cataratorii!G$1)</f>
        <v>0</v>
      </c>
      <c r="H28" s="68">
        <f>SUMIFS(Data!$H:$H,Data!$A:$A,Cataratorii!$B28,Data!$C:$C,Cataratorii!H$1)</f>
        <v>0</v>
      </c>
      <c r="I28" s="68">
        <f>SUMIFS(Data!$H:$H,Data!$A:$A,Cataratorii!$B28,Data!$C:$C,Cataratorii!I$1)</f>
        <v>1169</v>
      </c>
      <c r="J28" s="68">
        <f>SUMIFS(Data!$H:$H,Data!$A:$A,Cataratorii!$B28,Data!$C:$C,Cataratorii!J$1)</f>
        <v>52</v>
      </c>
      <c r="K28" s="68">
        <f>SUMIFS(Data!$H:$H,Data!$A:$A,Cataratorii!$B28,Data!$C:$C,Cataratorii!K$1)</f>
        <v>506</v>
      </c>
      <c r="L28" s="68">
        <f>SUMIFS(Data!$H:$H,Data!$A:$A,Cataratorii!$B28,Data!$C:$C,Cataratorii!L$1)</f>
        <v>64</v>
      </c>
      <c r="M28" s="68">
        <f>SUMIFS(Data!$H:$H,Data!$A:$A,Cataratorii!$B28,Data!$C:$C,Cataratorii!M$1)</f>
        <v>0</v>
      </c>
      <c r="N28" s="68">
        <f>SUMIFS(Data!$H:$H,Data!$A:$A,Cataratorii!$B28,Data!$C:$C,Cataratorii!N$1)</f>
        <v>566</v>
      </c>
      <c r="O28" s="68">
        <f>SUMIFS(Data!$H:$H,Data!$A:$A,Cataratorii!$B28,Data!$C:$C,Cataratorii!O$1)</f>
        <v>0</v>
      </c>
      <c r="P28" s="68">
        <f>SUMIFS(Data!$H:$H,Data!$A:$A,Cataratorii!$B28,Data!$C:$C,Cataratorii!P$1)</f>
        <v>0</v>
      </c>
      <c r="Q28" s="68">
        <f>SUMIFS(Data!$H:$H,Data!$A:$A,Cataratorii!$B28,Data!$C:$C,Cataratorii!Q$1)</f>
        <v>82</v>
      </c>
      <c r="R28" s="68">
        <f>SUM(C28:Q28)</f>
        <v>2669</v>
      </c>
      <c r="S28" s="31">
        <f>SUMIFS(Data!D:D,Data!A:A,Cataratorii!B32)</f>
        <v>164.88000000000002</v>
      </c>
      <c r="T28" s="1" t="str">
        <f>IF(VLOOKUP(B28,Participanti!A:D,4,0)=0," ","New")</f>
        <v>New</v>
      </c>
      <c r="U28" s="130">
        <f>R28/S28/1000</f>
        <v>1.6187530325084905E-2</v>
      </c>
    </row>
    <row r="29" spans="1:21" ht="13" x14ac:dyDescent="0.3">
      <c r="A29" s="79">
        <v>28</v>
      </c>
      <c r="B29" s="30" t="s">
        <v>291</v>
      </c>
      <c r="C29" s="68">
        <f>SUMIFS(Data!$H:$H,Data!$A:$A,Cataratorii!$B29,Data!$C:$C,Cataratorii!C$1)</f>
        <v>0</v>
      </c>
      <c r="D29" s="68">
        <f>SUMIFS(Data!$H:$H,Data!$A:$A,Cataratorii!$B29,Data!$C:$C,Cataratorii!D$1)</f>
        <v>0</v>
      </c>
      <c r="E29" s="68">
        <f>SUMIFS(Data!$H:$H,Data!$A:$A,Cataratorii!$B29,Data!$C:$C,Cataratorii!E$1)</f>
        <v>100</v>
      </c>
      <c r="F29" s="68">
        <f>SUMIFS(Data!$H:$H,Data!$A:$A,Cataratorii!$B29,Data!$C:$C,Cataratorii!F$1)</f>
        <v>0</v>
      </c>
      <c r="G29" s="68">
        <f>SUMIFS(Data!$H:$H,Data!$A:$A,Cataratorii!$B29,Data!$C:$C,Cataratorii!G$1)</f>
        <v>794</v>
      </c>
      <c r="H29" s="68">
        <f>SUMIFS(Data!$H:$H,Data!$A:$A,Cataratorii!$B29,Data!$C:$C,Cataratorii!H$1)</f>
        <v>944</v>
      </c>
      <c r="I29" s="68">
        <f>SUMIFS(Data!$H:$H,Data!$A:$A,Cataratorii!$B29,Data!$C:$C,Cataratorii!I$1)</f>
        <v>0</v>
      </c>
      <c r="J29" s="68">
        <f>SUMIFS(Data!$H:$H,Data!$A:$A,Cataratorii!$B29,Data!$C:$C,Cataratorii!J$1)</f>
        <v>0</v>
      </c>
      <c r="K29" s="68">
        <f>SUMIFS(Data!$H:$H,Data!$A:$A,Cataratorii!$B29,Data!$C:$C,Cataratorii!K$1)</f>
        <v>530</v>
      </c>
      <c r="L29" s="68">
        <f>SUMIFS(Data!$H:$H,Data!$A:$A,Cataratorii!$B29,Data!$C:$C,Cataratorii!L$1)</f>
        <v>0</v>
      </c>
      <c r="M29" s="68">
        <f>SUMIFS(Data!$H:$H,Data!$A:$A,Cataratorii!$B29,Data!$C:$C,Cataratorii!M$1)</f>
        <v>0</v>
      </c>
      <c r="N29" s="68">
        <f>SUMIFS(Data!$H:$H,Data!$A:$A,Cataratorii!$B29,Data!$C:$C,Cataratorii!N$1)</f>
        <v>0</v>
      </c>
      <c r="O29" s="68">
        <f>SUMIFS(Data!$H:$H,Data!$A:$A,Cataratorii!$B29,Data!$C:$C,Cataratorii!O$1)</f>
        <v>0</v>
      </c>
      <c r="P29" s="68">
        <f>SUMIFS(Data!$H:$H,Data!$A:$A,Cataratorii!$B29,Data!$C:$C,Cataratorii!P$1)</f>
        <v>24</v>
      </c>
      <c r="Q29" s="68">
        <f>SUMIFS(Data!$H:$H,Data!$A:$A,Cataratorii!$B29,Data!$C:$C,Cataratorii!Q$1)</f>
        <v>824</v>
      </c>
      <c r="R29" s="68">
        <f>SUM(C29:Q29)</f>
        <v>3216</v>
      </c>
      <c r="S29" s="31">
        <f>SUMIFS(Data!D:D,Data!A:A,Cataratorii!B25)</f>
        <v>514.9</v>
      </c>
      <c r="T29" s="1" t="str">
        <f>IF(VLOOKUP(B29,Participanti!A:D,4,0)=0," ","New")</f>
        <v xml:space="preserve"> </v>
      </c>
      <c r="U29" s="130">
        <f>R29/S29/1000</f>
        <v>6.2458729850456401E-3</v>
      </c>
    </row>
    <row r="30" spans="1:21" ht="13" x14ac:dyDescent="0.3">
      <c r="A30" s="79">
        <v>29</v>
      </c>
      <c r="B30" s="30" t="s">
        <v>346</v>
      </c>
      <c r="C30" s="68">
        <f>SUMIFS(Data!$H:$H,Data!$A:$A,Cataratorii!$B30,Data!$C:$C,Cataratorii!C$1)</f>
        <v>479</v>
      </c>
      <c r="D30" s="68">
        <f>SUMIFS(Data!$H:$H,Data!$A:$A,Cataratorii!$B30,Data!$C:$C,Cataratorii!D$1)</f>
        <v>299</v>
      </c>
      <c r="E30" s="68">
        <f>SUMIFS(Data!$H:$H,Data!$A:$A,Cataratorii!$B30,Data!$C:$C,Cataratorii!E$1)</f>
        <v>104</v>
      </c>
      <c r="F30" s="68">
        <f>SUMIFS(Data!$H:$H,Data!$A:$A,Cataratorii!$B30,Data!$C:$C,Cataratorii!F$1)</f>
        <v>118</v>
      </c>
      <c r="G30" s="68">
        <f>SUMIFS(Data!$H:$H,Data!$A:$A,Cataratorii!$B30,Data!$C:$C,Cataratorii!G$1)</f>
        <v>263</v>
      </c>
      <c r="H30" s="68">
        <f>SUMIFS(Data!$H:$H,Data!$A:$A,Cataratorii!$B30,Data!$C:$C,Cataratorii!H$1)</f>
        <v>0</v>
      </c>
      <c r="I30" s="68">
        <f>SUMIFS(Data!$H:$H,Data!$A:$A,Cataratorii!$B30,Data!$C:$C,Cataratorii!I$1)</f>
        <v>77</v>
      </c>
      <c r="J30" s="68">
        <f>SUMIFS(Data!$H:$H,Data!$A:$A,Cataratorii!$B30,Data!$C:$C,Cataratorii!J$1)</f>
        <v>271</v>
      </c>
      <c r="K30" s="68">
        <f>SUMIFS(Data!$H:$H,Data!$A:$A,Cataratorii!$B30,Data!$C:$C,Cataratorii!K$1)</f>
        <v>58</v>
      </c>
      <c r="L30" s="68">
        <f>SUMIFS(Data!$H:$H,Data!$A:$A,Cataratorii!$B30,Data!$C:$C,Cataratorii!L$1)</f>
        <v>0</v>
      </c>
      <c r="M30" s="68">
        <f>SUMIFS(Data!$H:$H,Data!$A:$A,Cataratorii!$B30,Data!$C:$C,Cataratorii!M$1)</f>
        <v>552</v>
      </c>
      <c r="N30" s="68">
        <f>SUMIFS(Data!$H:$H,Data!$A:$A,Cataratorii!$B30,Data!$C:$C,Cataratorii!N$1)</f>
        <v>0</v>
      </c>
      <c r="O30" s="68">
        <f>SUMIFS(Data!$H:$H,Data!$A:$A,Cataratorii!$B30,Data!$C:$C,Cataratorii!O$1)</f>
        <v>138</v>
      </c>
      <c r="P30" s="68">
        <f>SUMIFS(Data!$H:$H,Data!$A:$A,Cataratorii!$B30,Data!$C:$C,Cataratorii!P$1)</f>
        <v>0</v>
      </c>
      <c r="Q30" s="68">
        <f>SUMIFS(Data!$H:$H,Data!$A:$A,Cataratorii!$B30,Data!$C:$C,Cataratorii!Q$1)</f>
        <v>706</v>
      </c>
      <c r="R30" s="68">
        <f>SUM(C30:Q30)</f>
        <v>3065</v>
      </c>
      <c r="S30" s="31">
        <f>SUMIFS(Data!D:D,Data!A:A,Cataratorii!B27)</f>
        <v>256.05</v>
      </c>
      <c r="T30" s="1" t="str">
        <f>IF(VLOOKUP(B30,Participanti!A:D,4,0)=0," ","New")</f>
        <v>New</v>
      </c>
      <c r="U30" s="130">
        <f>R30/S30/1000</f>
        <v>1.1970318297207577E-2</v>
      </c>
    </row>
    <row r="31" spans="1:21" ht="13" x14ac:dyDescent="0.3">
      <c r="A31" s="79">
        <v>30</v>
      </c>
      <c r="B31" s="30" t="s">
        <v>335</v>
      </c>
      <c r="C31" s="68">
        <f>SUMIFS(Data!$H:$H,Data!$A:$A,Cataratorii!$B31,Data!$C:$C,Cataratorii!C$1)</f>
        <v>0</v>
      </c>
      <c r="D31" s="68">
        <f>SUMIFS(Data!$H:$H,Data!$A:$A,Cataratorii!$B31,Data!$C:$C,Cataratorii!D$1)</f>
        <v>0</v>
      </c>
      <c r="E31" s="68">
        <f>SUMIFS(Data!$H:$H,Data!$A:$A,Cataratorii!$B31,Data!$C:$C,Cataratorii!E$1)</f>
        <v>0</v>
      </c>
      <c r="F31" s="68">
        <f>SUMIFS(Data!$H:$H,Data!$A:$A,Cataratorii!$B31,Data!$C:$C,Cataratorii!F$1)</f>
        <v>363</v>
      </c>
      <c r="G31" s="68">
        <f>SUMIFS(Data!$H:$H,Data!$A:$A,Cataratorii!$B31,Data!$C:$C,Cataratorii!G$1)</f>
        <v>209</v>
      </c>
      <c r="H31" s="68">
        <f>SUMIFS(Data!$H:$H,Data!$A:$A,Cataratorii!$B31,Data!$C:$C,Cataratorii!H$1)</f>
        <v>223</v>
      </c>
      <c r="I31" s="68">
        <f>SUMIFS(Data!$H:$H,Data!$A:$A,Cataratorii!$B31,Data!$C:$C,Cataratorii!I$1)</f>
        <v>134</v>
      </c>
      <c r="J31" s="68">
        <f>SUMIFS(Data!$H:$H,Data!$A:$A,Cataratorii!$B31,Data!$C:$C,Cataratorii!J$1)</f>
        <v>0</v>
      </c>
      <c r="K31" s="68">
        <f>SUMIFS(Data!$H:$H,Data!$A:$A,Cataratorii!$B31,Data!$C:$C,Cataratorii!K$1)</f>
        <v>571</v>
      </c>
      <c r="L31" s="68">
        <f>SUMIFS(Data!$H:$H,Data!$A:$A,Cataratorii!$B31,Data!$C:$C,Cataratorii!L$1)</f>
        <v>0</v>
      </c>
      <c r="M31" s="68">
        <f>SUMIFS(Data!$H:$H,Data!$A:$A,Cataratorii!$B31,Data!$C:$C,Cataratorii!M$1)</f>
        <v>0</v>
      </c>
      <c r="N31" s="68">
        <f>SUMIFS(Data!$H:$H,Data!$A:$A,Cataratorii!$B31,Data!$C:$C,Cataratorii!N$1)</f>
        <v>0</v>
      </c>
      <c r="O31" s="68">
        <f>SUMIFS(Data!$H:$H,Data!$A:$A,Cataratorii!$B31,Data!$C:$C,Cataratorii!O$1)</f>
        <v>774</v>
      </c>
      <c r="P31" s="68">
        <f>SUMIFS(Data!$H:$H,Data!$A:$A,Cataratorii!$B31,Data!$C:$C,Cataratorii!P$1)</f>
        <v>0</v>
      </c>
      <c r="Q31" s="68">
        <f>SUMIFS(Data!$H:$H,Data!$A:$A,Cataratorii!$B31,Data!$C:$C,Cataratorii!Q$1)</f>
        <v>152</v>
      </c>
      <c r="R31" s="68">
        <f>SUM(C31:Q31)</f>
        <v>2426</v>
      </c>
      <c r="S31" s="31">
        <f>SUMIFS(Data!D:D,Data!A:A,Cataratorii!B35)</f>
        <v>115.51</v>
      </c>
      <c r="T31" s="1" t="str">
        <f>IF(VLOOKUP(B31,Participanti!A:D,4,0)=0," ","New")</f>
        <v>New</v>
      </c>
      <c r="U31" s="130">
        <f>R31/S31/1000</f>
        <v>2.100251060514241E-2</v>
      </c>
    </row>
    <row r="32" spans="1:21" ht="13" x14ac:dyDescent="0.3">
      <c r="A32" s="79">
        <v>31</v>
      </c>
      <c r="B32" s="30" t="s">
        <v>48</v>
      </c>
      <c r="C32" s="68">
        <f>SUMIFS(Data!$H:$H,Data!$A:$A,Cataratorii!$B32,Data!$C:$C,Cataratorii!C$1)</f>
        <v>184</v>
      </c>
      <c r="D32" s="68">
        <f>SUMIFS(Data!$H:$H,Data!$A:$A,Cataratorii!$B32,Data!$C:$C,Cataratorii!D$1)</f>
        <v>215</v>
      </c>
      <c r="E32" s="68">
        <f>SUMIFS(Data!$H:$H,Data!$A:$A,Cataratorii!$B32,Data!$C:$C,Cataratorii!E$1)</f>
        <v>137</v>
      </c>
      <c r="F32" s="68">
        <f>SUMIFS(Data!$H:$H,Data!$A:$A,Cataratorii!$B32,Data!$C:$C,Cataratorii!F$1)</f>
        <v>403</v>
      </c>
      <c r="G32" s="68">
        <f>SUMIFS(Data!$H:$H,Data!$A:$A,Cataratorii!$B32,Data!$C:$C,Cataratorii!G$1)</f>
        <v>0</v>
      </c>
      <c r="H32" s="68">
        <f>SUMIFS(Data!$H:$H,Data!$A:$A,Cataratorii!$B32,Data!$C:$C,Cataratorii!H$1)</f>
        <v>127</v>
      </c>
      <c r="I32" s="68">
        <f>SUMIFS(Data!$H:$H,Data!$A:$A,Cataratorii!$B32,Data!$C:$C,Cataratorii!I$1)</f>
        <v>172</v>
      </c>
      <c r="J32" s="68">
        <f>SUMIFS(Data!$H:$H,Data!$A:$A,Cataratorii!$B32,Data!$C:$C,Cataratorii!J$1)</f>
        <v>177</v>
      </c>
      <c r="K32" s="68">
        <f>SUMIFS(Data!$H:$H,Data!$A:$A,Cataratorii!$B32,Data!$C:$C,Cataratorii!K$1)</f>
        <v>170</v>
      </c>
      <c r="L32" s="68">
        <f>SUMIFS(Data!$H:$H,Data!$A:$A,Cataratorii!$B32,Data!$C:$C,Cataratorii!L$1)</f>
        <v>127</v>
      </c>
      <c r="M32" s="68">
        <f>SUMIFS(Data!$H:$H,Data!$A:$A,Cataratorii!$B32,Data!$C:$C,Cataratorii!M$1)</f>
        <v>150</v>
      </c>
      <c r="N32" s="68">
        <f>SUMIFS(Data!$H:$H,Data!$A:$A,Cataratorii!$B32,Data!$C:$C,Cataratorii!N$1)</f>
        <v>146</v>
      </c>
      <c r="O32" s="68">
        <f>SUMIFS(Data!$H:$H,Data!$A:$A,Cataratorii!$B32,Data!$C:$C,Cataratorii!O$1)</f>
        <v>264</v>
      </c>
      <c r="P32" s="68">
        <f>SUMIFS(Data!$H:$H,Data!$A:$A,Cataratorii!$B32,Data!$C:$C,Cataratorii!P$1)</f>
        <v>163</v>
      </c>
      <c r="Q32" s="68">
        <f>SUMIFS(Data!$H:$H,Data!$A:$A,Cataratorii!$B32,Data!$C:$C,Cataratorii!Q$1)</f>
        <v>0</v>
      </c>
      <c r="R32" s="68">
        <f>SUM(C32:Q32)</f>
        <v>2435</v>
      </c>
      <c r="S32" s="31">
        <f>SUMIFS(Data!D:D,Data!A:A,Cataratorii!B34)</f>
        <v>103.79</v>
      </c>
      <c r="T32" s="1" t="str">
        <f>IF(VLOOKUP(B32,Participanti!A:D,4,0)=0," ","New")</f>
        <v xml:space="preserve"> </v>
      </c>
      <c r="U32" s="130">
        <f>R32/S32/1000</f>
        <v>2.3460834377107619E-2</v>
      </c>
    </row>
    <row r="33" spans="1:21" ht="13" x14ac:dyDescent="0.3">
      <c r="A33" s="79">
        <v>32</v>
      </c>
      <c r="B33" s="30" t="s">
        <v>132</v>
      </c>
      <c r="C33" s="68">
        <f>SUMIFS(Data!$H:$H,Data!$A:$A,Cataratorii!$B33,Data!$C:$C,Cataratorii!C$1)</f>
        <v>33</v>
      </c>
      <c r="D33" s="68">
        <f>SUMIFS(Data!$H:$H,Data!$A:$A,Cataratorii!$B33,Data!$C:$C,Cataratorii!D$1)</f>
        <v>259</v>
      </c>
      <c r="E33" s="68">
        <f>SUMIFS(Data!$H:$H,Data!$A:$A,Cataratorii!$B33,Data!$C:$C,Cataratorii!E$1)</f>
        <v>90</v>
      </c>
      <c r="F33" s="68">
        <f>SUMIFS(Data!$H:$H,Data!$A:$A,Cataratorii!$B33,Data!$C:$C,Cataratorii!F$1)</f>
        <v>252</v>
      </c>
      <c r="G33" s="68">
        <f>SUMIFS(Data!$H:$H,Data!$A:$A,Cataratorii!$B33,Data!$C:$C,Cataratorii!G$1)</f>
        <v>55</v>
      </c>
      <c r="H33" s="68">
        <f>SUMIFS(Data!$H:$H,Data!$A:$A,Cataratorii!$B33,Data!$C:$C,Cataratorii!H$1)</f>
        <v>0</v>
      </c>
      <c r="I33" s="68">
        <f>SUMIFS(Data!$H:$H,Data!$A:$A,Cataratorii!$B33,Data!$C:$C,Cataratorii!I$1)</f>
        <v>0</v>
      </c>
      <c r="J33" s="68">
        <f>SUMIFS(Data!$H:$H,Data!$A:$A,Cataratorii!$B33,Data!$C:$C,Cataratorii!J$1)</f>
        <v>195</v>
      </c>
      <c r="K33" s="68">
        <f>SUMIFS(Data!$H:$H,Data!$A:$A,Cataratorii!$B33,Data!$C:$C,Cataratorii!K$1)</f>
        <v>647</v>
      </c>
      <c r="L33" s="68">
        <f>SUMIFS(Data!$H:$H,Data!$A:$A,Cataratorii!$B33,Data!$C:$C,Cataratorii!L$1)</f>
        <v>0</v>
      </c>
      <c r="M33" s="68">
        <f>SUMIFS(Data!$H:$H,Data!$A:$A,Cataratorii!$B33,Data!$C:$C,Cataratorii!M$1)</f>
        <v>0</v>
      </c>
      <c r="N33" s="68">
        <f>SUMIFS(Data!$H:$H,Data!$A:$A,Cataratorii!$B33,Data!$C:$C,Cataratorii!N$1)</f>
        <v>0</v>
      </c>
      <c r="O33" s="68">
        <f>SUMIFS(Data!$H:$H,Data!$A:$A,Cataratorii!$B33,Data!$C:$C,Cataratorii!O$1)</f>
        <v>628</v>
      </c>
      <c r="P33" s="68">
        <f>SUMIFS(Data!$H:$H,Data!$A:$A,Cataratorii!$B33,Data!$C:$C,Cataratorii!P$1)</f>
        <v>0</v>
      </c>
      <c r="Q33" s="68">
        <f>SUMIFS(Data!$H:$H,Data!$A:$A,Cataratorii!$B33,Data!$C:$C,Cataratorii!Q$1)</f>
        <v>0</v>
      </c>
      <c r="R33" s="68">
        <f>SUM(C33:Q33)</f>
        <v>2159</v>
      </c>
      <c r="S33" s="31">
        <f>SUMIFS(Data!D:D,Data!A:A,Cataratorii!B38)</f>
        <v>146.29999999999998</v>
      </c>
      <c r="T33" s="1" t="str">
        <f>IF(VLOOKUP(B33,Participanti!A:D,4,0)=0," ","New")</f>
        <v xml:space="preserve"> </v>
      </c>
      <c r="U33" s="130">
        <f>R33/S33/1000</f>
        <v>1.4757347915242655E-2</v>
      </c>
    </row>
    <row r="34" spans="1:21" ht="13" x14ac:dyDescent="0.3">
      <c r="A34" s="79">
        <v>33</v>
      </c>
      <c r="B34" s="79" t="s">
        <v>483</v>
      </c>
      <c r="C34" s="68">
        <f>SUMIFS(Data!$H:$H,Data!$A:$A,Cataratorii!$B34,Data!$C:$C,Cataratorii!C$1)</f>
        <v>0</v>
      </c>
      <c r="D34" s="68">
        <f>SUMIFS(Data!$H:$H,Data!$A:$A,Cataratorii!$B34,Data!$C:$C,Cataratorii!D$1)</f>
        <v>0</v>
      </c>
      <c r="E34" s="68">
        <f>SUMIFS(Data!$H:$H,Data!$A:$A,Cataratorii!$B34,Data!$C:$C,Cataratorii!E$1)</f>
        <v>0</v>
      </c>
      <c r="F34" s="68">
        <f>SUMIFS(Data!$H:$H,Data!$A:$A,Cataratorii!$B34,Data!$C:$C,Cataratorii!F$1)</f>
        <v>0</v>
      </c>
      <c r="G34" s="68">
        <f>SUMIFS(Data!$H:$H,Data!$A:$A,Cataratorii!$B34,Data!$C:$C,Cataratorii!G$1)</f>
        <v>0</v>
      </c>
      <c r="H34" s="68">
        <f>SUMIFS(Data!$H:$H,Data!$A:$A,Cataratorii!$B34,Data!$C:$C,Cataratorii!H$1)</f>
        <v>0</v>
      </c>
      <c r="I34" s="68">
        <f>SUMIFS(Data!$H:$H,Data!$A:$A,Cataratorii!$B34,Data!$C:$C,Cataratorii!I$1)</f>
        <v>0</v>
      </c>
      <c r="J34" s="68">
        <f>SUMIFS(Data!$H:$H,Data!$A:$A,Cataratorii!$B34,Data!$C:$C,Cataratorii!J$1)</f>
        <v>0</v>
      </c>
      <c r="K34" s="68">
        <f>SUMIFS(Data!$H:$H,Data!$A:$A,Cataratorii!$B34,Data!$C:$C,Cataratorii!K$1)</f>
        <v>518</v>
      </c>
      <c r="L34" s="68">
        <f>SUMIFS(Data!$H:$H,Data!$A:$A,Cataratorii!$B34,Data!$C:$C,Cataratorii!L$1)</f>
        <v>555</v>
      </c>
      <c r="M34" s="68">
        <f>SUMIFS(Data!$H:$H,Data!$A:$A,Cataratorii!$B34,Data!$C:$C,Cataratorii!M$1)</f>
        <v>0</v>
      </c>
      <c r="N34" s="68">
        <f>SUMIFS(Data!$H:$H,Data!$A:$A,Cataratorii!$B34,Data!$C:$C,Cataratorii!N$1)</f>
        <v>309</v>
      </c>
      <c r="O34" s="68">
        <f>SUMIFS(Data!$H:$H,Data!$A:$A,Cataratorii!$B34,Data!$C:$C,Cataratorii!O$1)</f>
        <v>742</v>
      </c>
      <c r="P34" s="68">
        <f>SUMIFS(Data!$H:$H,Data!$A:$A,Cataratorii!$B34,Data!$C:$C,Cataratorii!P$1)</f>
        <v>336</v>
      </c>
      <c r="Q34" s="68">
        <f>SUMIFS(Data!$H:$H,Data!$A:$A,Cataratorii!$B34,Data!$C:$C,Cataratorii!Q$1)</f>
        <v>731</v>
      </c>
      <c r="R34" s="68">
        <f>SUM(C34:Q34)</f>
        <v>3191</v>
      </c>
      <c r="S34" s="31">
        <f>SUMIFS(Data!D:D,Data!A:A,Cataratorii!B26)</f>
        <v>290.87</v>
      </c>
      <c r="T34" s="1" t="str">
        <f>IF(VLOOKUP(B34,Participanti!A:D,4,0)=0," ","New")</f>
        <v>New</v>
      </c>
      <c r="U34" s="130">
        <f>R34/S34/1000</f>
        <v>1.0970536665864476E-2</v>
      </c>
    </row>
    <row r="35" spans="1:21" ht="13" x14ac:dyDescent="0.3">
      <c r="A35" s="79">
        <v>34</v>
      </c>
      <c r="B35" s="30" t="s">
        <v>206</v>
      </c>
      <c r="C35" s="68">
        <f>SUMIFS(Data!$H:$H,Data!$A:$A,Cataratorii!$B35,Data!$C:$C,Cataratorii!C$1)</f>
        <v>0</v>
      </c>
      <c r="D35" s="68">
        <f>SUMIFS(Data!$H:$H,Data!$A:$A,Cataratorii!$B35,Data!$C:$C,Cataratorii!D$1)</f>
        <v>0</v>
      </c>
      <c r="E35" s="68">
        <f>SUMIFS(Data!$H:$H,Data!$A:$A,Cataratorii!$B35,Data!$C:$C,Cataratorii!E$1)</f>
        <v>0</v>
      </c>
      <c r="F35" s="68">
        <f>SUMIFS(Data!$H:$H,Data!$A:$A,Cataratorii!$B35,Data!$C:$C,Cataratorii!F$1)</f>
        <v>725</v>
      </c>
      <c r="G35" s="68">
        <f>SUMIFS(Data!$H:$H,Data!$A:$A,Cataratorii!$B35,Data!$C:$C,Cataratorii!G$1)</f>
        <v>0</v>
      </c>
      <c r="H35" s="68">
        <f>SUMIFS(Data!$H:$H,Data!$A:$A,Cataratorii!$B35,Data!$C:$C,Cataratorii!H$1)</f>
        <v>652</v>
      </c>
      <c r="I35" s="68">
        <f>SUMIFS(Data!$H:$H,Data!$A:$A,Cataratorii!$B35,Data!$C:$C,Cataratorii!I$1)</f>
        <v>0</v>
      </c>
      <c r="J35" s="68">
        <f>SUMIFS(Data!$H:$H,Data!$A:$A,Cataratorii!$B35,Data!$C:$C,Cataratorii!J$1)</f>
        <v>0</v>
      </c>
      <c r="K35" s="68">
        <f>SUMIFS(Data!$H:$H,Data!$A:$A,Cataratorii!$B35,Data!$C:$C,Cataratorii!K$1)</f>
        <v>640</v>
      </c>
      <c r="L35" s="68">
        <f>SUMIFS(Data!$H:$H,Data!$A:$A,Cataratorii!$B35,Data!$C:$C,Cataratorii!L$1)</f>
        <v>0</v>
      </c>
      <c r="M35" s="68">
        <f>SUMIFS(Data!$H:$H,Data!$A:$A,Cataratorii!$B35,Data!$C:$C,Cataratorii!M$1)</f>
        <v>0</v>
      </c>
      <c r="N35" s="68">
        <f>SUMIFS(Data!$H:$H,Data!$A:$A,Cataratorii!$B35,Data!$C:$C,Cataratorii!N$1)</f>
        <v>0</v>
      </c>
      <c r="O35" s="68">
        <f>SUMIFS(Data!$H:$H,Data!$A:$A,Cataratorii!$B35,Data!$C:$C,Cataratorii!O$1)</f>
        <v>0</v>
      </c>
      <c r="P35" s="68">
        <f>SUMIFS(Data!$H:$H,Data!$A:$A,Cataratorii!$B35,Data!$C:$C,Cataratorii!P$1)</f>
        <v>0</v>
      </c>
      <c r="Q35" s="68">
        <f>SUMIFS(Data!$H:$H,Data!$A:$A,Cataratorii!$B35,Data!$C:$C,Cataratorii!Q$1)</f>
        <v>0</v>
      </c>
      <c r="R35" s="68">
        <f>SUM(C35:Q35)</f>
        <v>2017</v>
      </c>
      <c r="S35" s="31">
        <f>SUMIFS(Data!D:D,Data!A:A,Cataratorii!B41)</f>
        <v>148.53000000000003</v>
      </c>
      <c r="T35" s="1" t="str">
        <f>IF(VLOOKUP(B35,Participanti!A:D,4,0)=0," ","New")</f>
        <v xml:space="preserve"> </v>
      </c>
      <c r="U35" s="130">
        <f>R35/S35/1000</f>
        <v>1.3579748199017031E-2</v>
      </c>
    </row>
    <row r="36" spans="1:21" ht="13" x14ac:dyDescent="0.3">
      <c r="A36" s="79">
        <v>35</v>
      </c>
      <c r="B36" s="30" t="s">
        <v>275</v>
      </c>
      <c r="C36" s="68">
        <f>SUMIFS(Data!$H:$H,Data!$A:$A,Cataratorii!$B36,Data!$C:$C,Cataratorii!C$1)</f>
        <v>10</v>
      </c>
      <c r="D36" s="68">
        <f>SUMIFS(Data!$H:$H,Data!$A:$A,Cataratorii!$B36,Data!$C:$C,Cataratorii!D$1)</f>
        <v>0</v>
      </c>
      <c r="E36" s="68">
        <f>SUMIFS(Data!$H:$H,Data!$A:$A,Cataratorii!$B36,Data!$C:$C,Cataratorii!E$1)</f>
        <v>767</v>
      </c>
      <c r="F36" s="68">
        <f>SUMIFS(Data!$H:$H,Data!$A:$A,Cataratorii!$B36,Data!$C:$C,Cataratorii!F$1)</f>
        <v>0</v>
      </c>
      <c r="G36" s="68">
        <f>SUMIFS(Data!$H:$H,Data!$A:$A,Cataratorii!$B36,Data!$C:$C,Cataratorii!G$1)</f>
        <v>54</v>
      </c>
      <c r="H36" s="68">
        <f>SUMIFS(Data!$H:$H,Data!$A:$A,Cataratorii!$B36,Data!$C:$C,Cataratorii!H$1)</f>
        <v>65</v>
      </c>
      <c r="I36" s="68">
        <f>SUMIFS(Data!$H:$H,Data!$A:$A,Cataratorii!$B36,Data!$C:$C,Cataratorii!I$1)</f>
        <v>0</v>
      </c>
      <c r="J36" s="68">
        <f>SUMIFS(Data!$H:$H,Data!$A:$A,Cataratorii!$B36,Data!$C:$C,Cataratorii!J$1)</f>
        <v>1012</v>
      </c>
      <c r="K36" s="68">
        <f>SUMIFS(Data!$H:$H,Data!$A:$A,Cataratorii!$B36,Data!$C:$C,Cataratorii!K$1)</f>
        <v>0</v>
      </c>
      <c r="L36" s="68">
        <f>SUMIFS(Data!$H:$H,Data!$A:$A,Cataratorii!$B36,Data!$C:$C,Cataratorii!L$1)</f>
        <v>0</v>
      </c>
      <c r="M36" s="68">
        <f>SUMIFS(Data!$H:$H,Data!$A:$A,Cataratorii!$B36,Data!$C:$C,Cataratorii!M$1)</f>
        <v>50</v>
      </c>
      <c r="N36" s="68">
        <f>SUMIFS(Data!$H:$H,Data!$A:$A,Cataratorii!$B36,Data!$C:$C,Cataratorii!N$1)</f>
        <v>0</v>
      </c>
      <c r="O36" s="68">
        <f>SUMIFS(Data!$H:$H,Data!$A:$A,Cataratorii!$B36,Data!$C:$C,Cataratorii!O$1)</f>
        <v>0</v>
      </c>
      <c r="P36" s="68">
        <f>SUMIFS(Data!$H:$H,Data!$A:$A,Cataratorii!$B36,Data!$C:$C,Cataratorii!P$1)</f>
        <v>15</v>
      </c>
      <c r="Q36" s="68">
        <f>SUMIFS(Data!$H:$H,Data!$A:$A,Cataratorii!$B36,Data!$C:$C,Cataratorii!Q$1)</f>
        <v>1064</v>
      </c>
      <c r="R36" s="68">
        <f>SUM(C36:Q36)</f>
        <v>3037</v>
      </c>
      <c r="S36" s="31">
        <f>SUMIFS(Data!D:D,Data!A:A,Cataratorii!B28)</f>
        <v>652.92000000000007</v>
      </c>
      <c r="T36" s="1" t="str">
        <f>IF(VLOOKUP(B36,Participanti!A:D,4,0)=0," ","New")</f>
        <v xml:space="preserve"> </v>
      </c>
      <c r="U36" s="130">
        <f>R36/S36/1000</f>
        <v>4.6514121178704891E-3</v>
      </c>
    </row>
    <row r="37" spans="1:21" ht="13" x14ac:dyDescent="0.3">
      <c r="A37" s="79">
        <v>36</v>
      </c>
      <c r="B37" s="30" t="s">
        <v>356</v>
      </c>
      <c r="C37" s="68">
        <f>SUMIFS(Data!$H:$H,Data!$A:$A,Cataratorii!$B37,Data!$C:$C,Cataratorii!C$1)</f>
        <v>0</v>
      </c>
      <c r="D37" s="68">
        <f>SUMIFS(Data!$H:$H,Data!$A:$A,Cataratorii!$B37,Data!$C:$C,Cataratorii!D$1)</f>
        <v>0</v>
      </c>
      <c r="E37" s="68">
        <f>SUMIFS(Data!$H:$H,Data!$A:$A,Cataratorii!$B37,Data!$C:$C,Cataratorii!E$1)</f>
        <v>88</v>
      </c>
      <c r="F37" s="68">
        <f>SUMIFS(Data!$H:$H,Data!$A:$A,Cataratorii!$B37,Data!$C:$C,Cataratorii!F$1)</f>
        <v>0</v>
      </c>
      <c r="G37" s="68">
        <f>SUMIFS(Data!$H:$H,Data!$A:$A,Cataratorii!$B37,Data!$C:$C,Cataratorii!G$1)</f>
        <v>203</v>
      </c>
      <c r="H37" s="68">
        <f>SUMIFS(Data!$H:$H,Data!$A:$A,Cataratorii!$B37,Data!$C:$C,Cataratorii!H$1)</f>
        <v>0</v>
      </c>
      <c r="I37" s="68">
        <f>SUMIFS(Data!$H:$H,Data!$A:$A,Cataratorii!$B37,Data!$C:$C,Cataratorii!I$1)</f>
        <v>0</v>
      </c>
      <c r="J37" s="68">
        <f>SUMIFS(Data!$H:$H,Data!$A:$A,Cataratorii!$B37,Data!$C:$C,Cataratorii!J$1)</f>
        <v>145</v>
      </c>
      <c r="K37" s="68">
        <f>SUMIFS(Data!$H:$H,Data!$A:$A,Cataratorii!$B37,Data!$C:$C,Cataratorii!K$1)</f>
        <v>709</v>
      </c>
      <c r="L37" s="68">
        <f>SUMIFS(Data!$H:$H,Data!$A:$A,Cataratorii!$B37,Data!$C:$C,Cataratorii!L$1)</f>
        <v>0</v>
      </c>
      <c r="M37" s="68">
        <f>SUMIFS(Data!$H:$H,Data!$A:$A,Cataratorii!$B37,Data!$C:$C,Cataratorii!M$1)</f>
        <v>0</v>
      </c>
      <c r="N37" s="68">
        <f>SUMIFS(Data!$H:$H,Data!$A:$A,Cataratorii!$B37,Data!$C:$C,Cataratorii!N$1)</f>
        <v>0</v>
      </c>
      <c r="O37" s="68">
        <f>SUMIFS(Data!$H:$H,Data!$A:$A,Cataratorii!$B37,Data!$C:$C,Cataratorii!O$1)</f>
        <v>732</v>
      </c>
      <c r="P37" s="68">
        <f>SUMIFS(Data!$H:$H,Data!$A:$A,Cataratorii!$B37,Data!$C:$C,Cataratorii!P$1)</f>
        <v>1</v>
      </c>
      <c r="Q37" s="68">
        <f>SUMIFS(Data!$H:$H,Data!$A:$A,Cataratorii!$B37,Data!$C:$C,Cataratorii!Q$1)</f>
        <v>0</v>
      </c>
      <c r="R37" s="68">
        <f>SUM(C37:Q37)</f>
        <v>1878</v>
      </c>
      <c r="S37" s="31">
        <f>SUMIFS(Data!D:D,Data!A:A,Cataratorii!B42)</f>
        <v>163.83000000000001</v>
      </c>
      <c r="T37" s="1" t="str">
        <f>IF(VLOOKUP(B37,Participanti!A:D,4,0)=0," ","New")</f>
        <v>New</v>
      </c>
      <c r="U37" s="130">
        <f>R37/S37/1000</f>
        <v>1.1463101995971434E-2</v>
      </c>
    </row>
    <row r="38" spans="1:21" ht="13" x14ac:dyDescent="0.3">
      <c r="A38" s="79">
        <v>37</v>
      </c>
      <c r="B38" s="30" t="s">
        <v>296</v>
      </c>
      <c r="C38" s="68">
        <f>SUMIFS(Data!$H:$H,Data!$A:$A,Cataratorii!$B38,Data!$C:$C,Cataratorii!C$1)</f>
        <v>53</v>
      </c>
      <c r="D38" s="68">
        <f>SUMIFS(Data!$H:$H,Data!$A:$A,Cataratorii!$B38,Data!$C:$C,Cataratorii!D$1)</f>
        <v>57</v>
      </c>
      <c r="E38" s="68">
        <f>SUMIFS(Data!$H:$H,Data!$A:$A,Cataratorii!$B38,Data!$C:$C,Cataratorii!E$1)</f>
        <v>54</v>
      </c>
      <c r="F38" s="68">
        <f>SUMIFS(Data!$H:$H,Data!$A:$A,Cataratorii!$B38,Data!$C:$C,Cataratorii!F$1)</f>
        <v>280</v>
      </c>
      <c r="G38" s="68">
        <f>SUMIFS(Data!$H:$H,Data!$A:$A,Cataratorii!$B38,Data!$C:$C,Cataratorii!G$1)</f>
        <v>266</v>
      </c>
      <c r="H38" s="68">
        <f>SUMIFS(Data!$H:$H,Data!$A:$A,Cataratorii!$B38,Data!$C:$C,Cataratorii!H$1)</f>
        <v>0</v>
      </c>
      <c r="I38" s="68">
        <f>SUMIFS(Data!$H:$H,Data!$A:$A,Cataratorii!$B38,Data!$C:$C,Cataratorii!I$1)</f>
        <v>151</v>
      </c>
      <c r="J38" s="68">
        <f>SUMIFS(Data!$H:$H,Data!$A:$A,Cataratorii!$B38,Data!$C:$C,Cataratorii!J$1)</f>
        <v>160</v>
      </c>
      <c r="K38" s="68">
        <f>SUMIFS(Data!$H:$H,Data!$A:$A,Cataratorii!$B38,Data!$C:$C,Cataratorii!K$1)</f>
        <v>75</v>
      </c>
      <c r="L38" s="68">
        <f>SUMIFS(Data!$H:$H,Data!$A:$A,Cataratorii!$B38,Data!$C:$C,Cataratorii!L$1)</f>
        <v>199</v>
      </c>
      <c r="M38" s="68">
        <f>SUMIFS(Data!$H:$H,Data!$A:$A,Cataratorii!$B38,Data!$C:$C,Cataratorii!M$1)</f>
        <v>70</v>
      </c>
      <c r="N38" s="68">
        <f>SUMIFS(Data!$H:$H,Data!$A:$A,Cataratorii!$B38,Data!$C:$C,Cataratorii!N$1)</f>
        <v>431</v>
      </c>
      <c r="O38" s="68">
        <f>SUMIFS(Data!$H:$H,Data!$A:$A,Cataratorii!$B38,Data!$C:$C,Cataratorii!O$1)</f>
        <v>61</v>
      </c>
      <c r="P38" s="68">
        <f>SUMIFS(Data!$H:$H,Data!$A:$A,Cataratorii!$B38,Data!$C:$C,Cataratorii!P$1)</f>
        <v>184</v>
      </c>
      <c r="Q38" s="68">
        <f>SUMIFS(Data!$H:$H,Data!$A:$A,Cataratorii!$B38,Data!$C:$C,Cataratorii!Q$1)</f>
        <v>193</v>
      </c>
      <c r="R38" s="68">
        <f>SUM(C38:Q38)</f>
        <v>2234</v>
      </c>
      <c r="S38" s="31">
        <f>SUMIFS(Data!D:D,Data!A:A,Cataratorii!B37)</f>
        <v>190.87999999999997</v>
      </c>
      <c r="T38" s="1" t="str">
        <f>IF(VLOOKUP(B38,Participanti!A:D,4,0)=0," ","New")</f>
        <v xml:space="preserve"> </v>
      </c>
      <c r="U38" s="130">
        <f>R38/S38/1000</f>
        <v>1.1703688181056163E-2</v>
      </c>
    </row>
    <row r="39" spans="1:21" ht="13" x14ac:dyDescent="0.3">
      <c r="A39" s="79">
        <v>38</v>
      </c>
      <c r="B39" s="30" t="s">
        <v>374</v>
      </c>
      <c r="C39" s="68">
        <f>SUMIFS(Data!$H:$H,Data!$A:$A,Cataratorii!$B39,Data!$C:$C,Cataratorii!C$1)</f>
        <v>0</v>
      </c>
      <c r="D39" s="68">
        <f>SUMIFS(Data!$H:$H,Data!$A:$A,Cataratorii!$B39,Data!$C:$C,Cataratorii!D$1)</f>
        <v>0</v>
      </c>
      <c r="E39" s="68">
        <f>SUMIFS(Data!$H:$H,Data!$A:$A,Cataratorii!$B39,Data!$C:$C,Cataratorii!E$1)</f>
        <v>506</v>
      </c>
      <c r="F39" s="68">
        <f>SUMIFS(Data!$H:$H,Data!$A:$A,Cataratorii!$B39,Data!$C:$C,Cataratorii!F$1)</f>
        <v>457</v>
      </c>
      <c r="G39" s="68">
        <f>SUMIFS(Data!$H:$H,Data!$A:$A,Cataratorii!$B39,Data!$C:$C,Cataratorii!G$1)</f>
        <v>123</v>
      </c>
      <c r="H39" s="68">
        <f>SUMIFS(Data!$H:$H,Data!$A:$A,Cataratorii!$B39,Data!$C:$C,Cataratorii!H$1)</f>
        <v>45</v>
      </c>
      <c r="I39" s="68">
        <f>SUMIFS(Data!$H:$H,Data!$A:$A,Cataratorii!$B39,Data!$C:$C,Cataratorii!I$1)</f>
        <v>0</v>
      </c>
      <c r="J39" s="68">
        <f>SUMIFS(Data!$H:$H,Data!$A:$A,Cataratorii!$B39,Data!$C:$C,Cataratorii!J$1)</f>
        <v>120</v>
      </c>
      <c r="K39" s="68">
        <f>SUMIFS(Data!$H:$H,Data!$A:$A,Cataratorii!$B39,Data!$C:$C,Cataratorii!K$1)</f>
        <v>532</v>
      </c>
      <c r="L39" s="68">
        <f>SUMIFS(Data!$H:$H,Data!$A:$A,Cataratorii!$B39,Data!$C:$C,Cataratorii!L$1)</f>
        <v>0</v>
      </c>
      <c r="M39" s="68">
        <f>SUMIFS(Data!$H:$H,Data!$A:$A,Cataratorii!$B39,Data!$C:$C,Cataratorii!M$1)</f>
        <v>0</v>
      </c>
      <c r="N39" s="68">
        <f>SUMIFS(Data!$H:$H,Data!$A:$A,Cataratorii!$B39,Data!$C:$C,Cataratorii!N$1)</f>
        <v>0</v>
      </c>
      <c r="O39" s="68">
        <f>SUMIFS(Data!$H:$H,Data!$A:$A,Cataratorii!$B39,Data!$C:$C,Cataratorii!O$1)</f>
        <v>0</v>
      </c>
      <c r="P39" s="68">
        <f>SUMIFS(Data!$H:$H,Data!$A:$A,Cataratorii!$B39,Data!$C:$C,Cataratorii!P$1)</f>
        <v>0</v>
      </c>
      <c r="Q39" s="68">
        <f>SUMIFS(Data!$H:$H,Data!$A:$A,Cataratorii!$B39,Data!$C:$C,Cataratorii!Q$1)</f>
        <v>0</v>
      </c>
      <c r="R39" s="68">
        <f>SUM(C39:Q39)</f>
        <v>1783</v>
      </c>
      <c r="S39" s="31">
        <f>SUMIFS(Data!D:D,Data!A:A,Cataratorii!B43)</f>
        <v>40.769999999999996</v>
      </c>
      <c r="T39" s="1" t="str">
        <f>IF(VLOOKUP(B39,Participanti!A:D,4,0)=0," ","New")</f>
        <v>New</v>
      </c>
      <c r="U39" s="130">
        <f>R39/S39/1000</f>
        <v>4.373313711062056E-2</v>
      </c>
    </row>
    <row r="40" spans="1:21" ht="13" x14ac:dyDescent="0.3">
      <c r="A40" s="79">
        <v>39</v>
      </c>
      <c r="B40" s="30" t="s">
        <v>122</v>
      </c>
      <c r="C40" s="68">
        <f>SUMIFS(Data!$H:$H,Data!$A:$A,Cataratorii!$B40,Data!$C:$C,Cataratorii!C$1)</f>
        <v>0</v>
      </c>
      <c r="D40" s="68">
        <f>SUMIFS(Data!$H:$H,Data!$A:$A,Cataratorii!$B40,Data!$C:$C,Cataratorii!D$1)</f>
        <v>64</v>
      </c>
      <c r="E40" s="68">
        <f>SUMIFS(Data!$H:$H,Data!$A:$A,Cataratorii!$B40,Data!$C:$C,Cataratorii!E$1)</f>
        <v>86</v>
      </c>
      <c r="F40" s="68">
        <f>SUMIFS(Data!$H:$H,Data!$A:$A,Cataratorii!$B40,Data!$C:$C,Cataratorii!F$1)</f>
        <v>0</v>
      </c>
      <c r="G40" s="68">
        <f>SUMIFS(Data!$H:$H,Data!$A:$A,Cataratorii!$B40,Data!$C:$C,Cataratorii!G$1)</f>
        <v>0</v>
      </c>
      <c r="H40" s="68">
        <f>SUMIFS(Data!$H:$H,Data!$A:$A,Cataratorii!$B40,Data!$C:$C,Cataratorii!H$1)</f>
        <v>308</v>
      </c>
      <c r="I40" s="68">
        <f>SUMIFS(Data!$H:$H,Data!$A:$A,Cataratorii!$B40,Data!$C:$C,Cataratorii!I$1)</f>
        <v>0</v>
      </c>
      <c r="J40" s="68">
        <f>SUMIFS(Data!$H:$H,Data!$A:$A,Cataratorii!$B40,Data!$C:$C,Cataratorii!J$1)</f>
        <v>723</v>
      </c>
      <c r="K40" s="68">
        <f>SUMIFS(Data!$H:$H,Data!$A:$A,Cataratorii!$B40,Data!$C:$C,Cataratorii!K$1)</f>
        <v>323</v>
      </c>
      <c r="L40" s="68">
        <f>SUMIFS(Data!$H:$H,Data!$A:$A,Cataratorii!$B40,Data!$C:$C,Cataratorii!L$1)</f>
        <v>137</v>
      </c>
      <c r="M40" s="68">
        <f>SUMIFS(Data!$H:$H,Data!$A:$A,Cataratorii!$B40,Data!$C:$C,Cataratorii!M$1)</f>
        <v>0</v>
      </c>
      <c r="N40" s="68">
        <f>SUMIFS(Data!$H:$H,Data!$A:$A,Cataratorii!$B40,Data!$C:$C,Cataratorii!N$1)</f>
        <v>62</v>
      </c>
      <c r="O40" s="68">
        <f>SUMIFS(Data!$H:$H,Data!$A:$A,Cataratorii!$B40,Data!$C:$C,Cataratorii!O$1)</f>
        <v>246</v>
      </c>
      <c r="P40" s="68">
        <f>SUMIFS(Data!$H:$H,Data!$A:$A,Cataratorii!$B40,Data!$C:$C,Cataratorii!P$1)</f>
        <v>0</v>
      </c>
      <c r="Q40" s="68">
        <f>SUMIFS(Data!$H:$H,Data!$A:$A,Cataratorii!$B40,Data!$C:$C,Cataratorii!Q$1)</f>
        <v>140</v>
      </c>
      <c r="R40" s="68">
        <f>SUM(C40:Q40)</f>
        <v>2089</v>
      </c>
      <c r="S40" s="31">
        <f>SUMIFS(Data!D:D,Data!A:A,Cataratorii!B40)</f>
        <v>212.65</v>
      </c>
      <c r="T40" s="1" t="str">
        <f>IF(VLOOKUP(B40,Participanti!A:D,4,0)=0," ","New")</f>
        <v xml:space="preserve"> </v>
      </c>
      <c r="U40" s="130">
        <f>R40/S40/1000</f>
        <v>9.8236538913707965E-3</v>
      </c>
    </row>
    <row r="41" spans="1:21" ht="13" x14ac:dyDescent="0.3">
      <c r="A41" s="79">
        <v>40</v>
      </c>
      <c r="B41" s="30" t="s">
        <v>300</v>
      </c>
      <c r="C41" s="68">
        <f>SUMIFS(Data!$H:$H,Data!$A:$A,Cataratorii!$B41,Data!$C:$C,Cataratorii!C$1)</f>
        <v>42</v>
      </c>
      <c r="D41" s="68">
        <f>SUMIFS(Data!$H:$H,Data!$A:$A,Cataratorii!$B41,Data!$C:$C,Cataratorii!D$1)</f>
        <v>0</v>
      </c>
      <c r="E41" s="68">
        <f>SUMIFS(Data!$H:$H,Data!$A:$A,Cataratorii!$B41,Data!$C:$C,Cataratorii!E$1)</f>
        <v>0</v>
      </c>
      <c r="F41" s="68">
        <f>SUMIFS(Data!$H:$H,Data!$A:$A,Cataratorii!$B41,Data!$C:$C,Cataratorii!F$1)</f>
        <v>0</v>
      </c>
      <c r="G41" s="68">
        <f>SUMIFS(Data!$H:$H,Data!$A:$A,Cataratorii!$B41,Data!$C:$C,Cataratorii!G$1)</f>
        <v>0</v>
      </c>
      <c r="H41" s="68">
        <f>SUMIFS(Data!$H:$H,Data!$A:$A,Cataratorii!$B41,Data!$C:$C,Cataratorii!H$1)</f>
        <v>0</v>
      </c>
      <c r="I41" s="68">
        <f>SUMIFS(Data!$H:$H,Data!$A:$A,Cataratorii!$B41,Data!$C:$C,Cataratorii!I$1)</f>
        <v>0</v>
      </c>
      <c r="J41" s="68">
        <f>SUMIFS(Data!$H:$H,Data!$A:$A,Cataratorii!$B41,Data!$C:$C,Cataratorii!J$1)</f>
        <v>1050</v>
      </c>
      <c r="K41" s="68">
        <f>SUMIFS(Data!$H:$H,Data!$A:$A,Cataratorii!$B41,Data!$C:$C,Cataratorii!K$1)</f>
        <v>548</v>
      </c>
      <c r="L41" s="68">
        <f>SUMIFS(Data!$H:$H,Data!$A:$A,Cataratorii!$B41,Data!$C:$C,Cataratorii!L$1)</f>
        <v>0</v>
      </c>
      <c r="M41" s="68">
        <f>SUMIFS(Data!$H:$H,Data!$A:$A,Cataratorii!$B41,Data!$C:$C,Cataratorii!M$1)</f>
        <v>0</v>
      </c>
      <c r="N41" s="68">
        <f>SUMIFS(Data!$H:$H,Data!$A:$A,Cataratorii!$B41,Data!$C:$C,Cataratorii!N$1)</f>
        <v>0</v>
      </c>
      <c r="O41" s="68">
        <f>SUMIFS(Data!$H:$H,Data!$A:$A,Cataratorii!$B41,Data!$C:$C,Cataratorii!O$1)</f>
        <v>0</v>
      </c>
      <c r="P41" s="68">
        <f>SUMIFS(Data!$H:$H,Data!$A:$A,Cataratorii!$B41,Data!$C:$C,Cataratorii!P$1)</f>
        <v>5</v>
      </c>
      <c r="Q41" s="68">
        <f>SUMIFS(Data!$H:$H,Data!$A:$A,Cataratorii!$B41,Data!$C:$C,Cataratorii!Q$1)</f>
        <v>0</v>
      </c>
      <c r="R41" s="68">
        <f>SUM(C41:Q41)</f>
        <v>1645</v>
      </c>
      <c r="S41" s="31">
        <f>SUMIFS(Data!D:D,Data!A:A,Cataratorii!B45)</f>
        <v>37.58</v>
      </c>
      <c r="T41" s="1" t="str">
        <f>IF(VLOOKUP(B41,Participanti!A:D,4,0)=0," ","New")</f>
        <v xml:space="preserve"> </v>
      </c>
      <c r="U41" s="130">
        <f>R41/S41/1000</f>
        <v>4.3773283661522083E-2</v>
      </c>
    </row>
    <row r="42" spans="1:21" ht="13" x14ac:dyDescent="0.3">
      <c r="A42" s="79">
        <v>41</v>
      </c>
      <c r="B42" s="30" t="s">
        <v>114</v>
      </c>
      <c r="C42" s="68">
        <f>SUMIFS(Data!$H:$H,Data!$A:$A,Cataratorii!$B42,Data!$C:$C,Cataratorii!C$1)</f>
        <v>0</v>
      </c>
      <c r="D42" s="68">
        <f>SUMIFS(Data!$H:$H,Data!$A:$A,Cataratorii!$B42,Data!$C:$C,Cataratorii!D$1)</f>
        <v>0</v>
      </c>
      <c r="E42" s="68">
        <f>SUMIFS(Data!$H:$H,Data!$A:$A,Cataratorii!$B42,Data!$C:$C,Cataratorii!E$1)</f>
        <v>0</v>
      </c>
      <c r="F42" s="68">
        <f>SUMIFS(Data!$H:$H,Data!$A:$A,Cataratorii!$B42,Data!$C:$C,Cataratorii!F$1)</f>
        <v>0</v>
      </c>
      <c r="G42" s="68">
        <f>SUMIFS(Data!$H:$H,Data!$A:$A,Cataratorii!$B42,Data!$C:$C,Cataratorii!G$1)</f>
        <v>0</v>
      </c>
      <c r="H42" s="68">
        <f>SUMIFS(Data!$H:$H,Data!$A:$A,Cataratorii!$B42,Data!$C:$C,Cataratorii!H$1)</f>
        <v>0</v>
      </c>
      <c r="I42" s="68">
        <f>SUMIFS(Data!$H:$H,Data!$A:$A,Cataratorii!$B42,Data!$C:$C,Cataratorii!I$1)</f>
        <v>0</v>
      </c>
      <c r="J42" s="68">
        <f>SUMIFS(Data!$H:$H,Data!$A:$A,Cataratorii!$B42,Data!$C:$C,Cataratorii!J$1)</f>
        <v>402</v>
      </c>
      <c r="K42" s="68">
        <f>SUMIFS(Data!$H:$H,Data!$A:$A,Cataratorii!$B42,Data!$C:$C,Cataratorii!K$1)</f>
        <v>543</v>
      </c>
      <c r="L42" s="68">
        <f>SUMIFS(Data!$H:$H,Data!$A:$A,Cataratorii!$B42,Data!$C:$C,Cataratorii!L$1)</f>
        <v>0</v>
      </c>
      <c r="M42" s="68">
        <f>SUMIFS(Data!$H:$H,Data!$A:$A,Cataratorii!$B42,Data!$C:$C,Cataratorii!M$1)</f>
        <v>0</v>
      </c>
      <c r="N42" s="68">
        <f>SUMIFS(Data!$H:$H,Data!$A:$A,Cataratorii!$B42,Data!$C:$C,Cataratorii!N$1)</f>
        <v>0</v>
      </c>
      <c r="O42" s="68">
        <f>SUMIFS(Data!$H:$H,Data!$A:$A,Cataratorii!$B42,Data!$C:$C,Cataratorii!O$1)</f>
        <v>685</v>
      </c>
      <c r="P42" s="68">
        <f>SUMIFS(Data!$H:$H,Data!$A:$A,Cataratorii!$B42,Data!$C:$C,Cataratorii!P$1)</f>
        <v>517</v>
      </c>
      <c r="Q42" s="68">
        <f>SUMIFS(Data!$H:$H,Data!$A:$A,Cataratorii!$B42,Data!$C:$C,Cataratorii!Q$1)</f>
        <v>0</v>
      </c>
      <c r="R42" s="68">
        <f>SUM(C42:Q42)</f>
        <v>2147</v>
      </c>
      <c r="S42" s="31">
        <f>SUMIFS(Data!D:D,Data!A:A,Cataratorii!B39)</f>
        <v>154.34</v>
      </c>
      <c r="T42" s="1" t="str">
        <f>IF(VLOOKUP(B42,Participanti!A:D,4,0)=0," ","New")</f>
        <v xml:space="preserve"> </v>
      </c>
      <c r="U42" s="130">
        <f>R42/S42/1000</f>
        <v>1.3910846183750162E-2</v>
      </c>
    </row>
    <row r="43" spans="1:21" ht="13" x14ac:dyDescent="0.3">
      <c r="A43" s="79">
        <v>42</v>
      </c>
      <c r="B43" s="30" t="s">
        <v>393</v>
      </c>
      <c r="C43" s="68">
        <f>SUMIFS(Data!$H:$H,Data!$A:$A,Cataratorii!$B43,Data!$C:$C,Cataratorii!C$1)</f>
        <v>0</v>
      </c>
      <c r="D43" s="68">
        <f>SUMIFS(Data!$H:$H,Data!$A:$A,Cataratorii!$B43,Data!$C:$C,Cataratorii!D$1)</f>
        <v>0</v>
      </c>
      <c r="E43" s="68">
        <f>SUMIFS(Data!$H:$H,Data!$A:$A,Cataratorii!$B43,Data!$C:$C,Cataratorii!E$1)</f>
        <v>457</v>
      </c>
      <c r="F43" s="68">
        <f>SUMIFS(Data!$H:$H,Data!$A:$A,Cataratorii!$B43,Data!$C:$C,Cataratorii!F$1)</f>
        <v>0</v>
      </c>
      <c r="G43" s="68">
        <f>SUMIFS(Data!$H:$H,Data!$A:$A,Cataratorii!$B43,Data!$C:$C,Cataratorii!G$1)</f>
        <v>0</v>
      </c>
      <c r="H43" s="68">
        <f>SUMIFS(Data!$H:$H,Data!$A:$A,Cataratorii!$B43,Data!$C:$C,Cataratorii!H$1)</f>
        <v>0</v>
      </c>
      <c r="I43" s="68">
        <f>SUMIFS(Data!$H:$H,Data!$A:$A,Cataratorii!$B43,Data!$C:$C,Cataratorii!I$1)</f>
        <v>0</v>
      </c>
      <c r="J43" s="68">
        <f>SUMIFS(Data!$H:$H,Data!$A:$A,Cataratorii!$B43,Data!$C:$C,Cataratorii!J$1)</f>
        <v>0</v>
      </c>
      <c r="K43" s="68">
        <f>SUMIFS(Data!$H:$H,Data!$A:$A,Cataratorii!$B43,Data!$C:$C,Cataratorii!K$1)</f>
        <v>0</v>
      </c>
      <c r="L43" s="68">
        <f>SUMIFS(Data!$H:$H,Data!$A:$A,Cataratorii!$B43,Data!$C:$C,Cataratorii!L$1)</f>
        <v>511</v>
      </c>
      <c r="M43" s="68">
        <f>SUMIFS(Data!$H:$H,Data!$A:$A,Cataratorii!$B43,Data!$C:$C,Cataratorii!M$1)</f>
        <v>0</v>
      </c>
      <c r="N43" s="68">
        <f>SUMIFS(Data!$H:$H,Data!$A:$A,Cataratorii!$B43,Data!$C:$C,Cataratorii!N$1)</f>
        <v>0</v>
      </c>
      <c r="O43" s="68">
        <f>SUMIFS(Data!$H:$H,Data!$A:$A,Cataratorii!$B43,Data!$C:$C,Cataratorii!O$1)</f>
        <v>556</v>
      </c>
      <c r="P43" s="68">
        <f>SUMIFS(Data!$H:$H,Data!$A:$A,Cataratorii!$B43,Data!$C:$C,Cataratorii!P$1)</f>
        <v>0</v>
      </c>
      <c r="Q43" s="68">
        <f>SUMIFS(Data!$H:$H,Data!$A:$A,Cataratorii!$B43,Data!$C:$C,Cataratorii!Q$1)</f>
        <v>0</v>
      </c>
      <c r="R43" s="68">
        <f>SUM(C43:Q43)</f>
        <v>1524</v>
      </c>
      <c r="S43" s="31">
        <f>SUMIFS(Data!D:D,Data!A:A,Cataratorii!B47)</f>
        <v>230.99</v>
      </c>
      <c r="T43" s="1" t="str">
        <f>IF(VLOOKUP(B43,Participanti!A:D,4,0)=0," ","New")</f>
        <v>New</v>
      </c>
      <c r="U43" s="130">
        <f>R43/S43/1000</f>
        <v>6.597688211610892E-3</v>
      </c>
    </row>
    <row r="44" spans="1:21" ht="13" x14ac:dyDescent="0.3">
      <c r="A44" s="79">
        <v>43</v>
      </c>
      <c r="B44" s="30" t="s">
        <v>248</v>
      </c>
      <c r="C44" s="68">
        <f>SUMIFS(Data!$H:$H,Data!$A:$A,Cataratorii!$B44,Data!$C:$C,Cataratorii!C$1)</f>
        <v>46</v>
      </c>
      <c r="D44" s="68">
        <f>SUMIFS(Data!$H:$H,Data!$A:$A,Cataratorii!$B44,Data!$C:$C,Cataratorii!D$1)</f>
        <v>0</v>
      </c>
      <c r="E44" s="68">
        <f>SUMIFS(Data!$H:$H,Data!$A:$A,Cataratorii!$B44,Data!$C:$C,Cataratorii!E$1)</f>
        <v>94</v>
      </c>
      <c r="F44" s="68">
        <f>SUMIFS(Data!$H:$H,Data!$A:$A,Cataratorii!$B44,Data!$C:$C,Cataratorii!F$1)</f>
        <v>0</v>
      </c>
      <c r="G44" s="68">
        <f>SUMIFS(Data!$H:$H,Data!$A:$A,Cataratorii!$B44,Data!$C:$C,Cataratorii!G$1)</f>
        <v>136</v>
      </c>
      <c r="H44" s="68">
        <f>SUMIFS(Data!$H:$H,Data!$A:$A,Cataratorii!$B44,Data!$C:$C,Cataratorii!H$1)</f>
        <v>0</v>
      </c>
      <c r="I44" s="68">
        <f>SUMIFS(Data!$H:$H,Data!$A:$A,Cataratorii!$B44,Data!$C:$C,Cataratorii!I$1)</f>
        <v>0</v>
      </c>
      <c r="J44" s="68">
        <f>SUMIFS(Data!$H:$H,Data!$A:$A,Cataratorii!$B44,Data!$C:$C,Cataratorii!J$1)</f>
        <v>0</v>
      </c>
      <c r="K44" s="68">
        <f>SUMIFS(Data!$H:$H,Data!$A:$A,Cataratorii!$B44,Data!$C:$C,Cataratorii!K$1)</f>
        <v>0</v>
      </c>
      <c r="L44" s="68">
        <f>SUMIFS(Data!$H:$H,Data!$A:$A,Cataratorii!$B44,Data!$C:$C,Cataratorii!L$1)</f>
        <v>0</v>
      </c>
      <c r="M44" s="68">
        <f>SUMIFS(Data!$H:$H,Data!$A:$A,Cataratorii!$B44,Data!$C:$C,Cataratorii!M$1)</f>
        <v>86</v>
      </c>
      <c r="N44" s="68">
        <f>SUMIFS(Data!$H:$H,Data!$A:$A,Cataratorii!$B44,Data!$C:$C,Cataratorii!N$1)</f>
        <v>1079</v>
      </c>
      <c r="O44" s="68">
        <f>SUMIFS(Data!$H:$H,Data!$A:$A,Cataratorii!$B44,Data!$C:$C,Cataratorii!O$1)</f>
        <v>71</v>
      </c>
      <c r="P44" s="68">
        <f>SUMIFS(Data!$H:$H,Data!$A:$A,Cataratorii!$B44,Data!$C:$C,Cataratorii!P$1)</f>
        <v>0</v>
      </c>
      <c r="Q44" s="68">
        <f>SUMIFS(Data!$H:$H,Data!$A:$A,Cataratorii!$B44,Data!$C:$C,Cataratorii!Q$1)</f>
        <v>50</v>
      </c>
      <c r="R44" s="68">
        <f>SUM(C44:Q44)</f>
        <v>1562</v>
      </c>
      <c r="S44" s="31">
        <f>SUMIFS(Data!D:D,Data!A:A,Cataratorii!B46)</f>
        <v>56.980000000000004</v>
      </c>
      <c r="T44" s="1" t="str">
        <f>IF(VLOOKUP(B44,Participanti!A:D,4,0)=0," ","New")</f>
        <v xml:space="preserve"> </v>
      </c>
      <c r="U44" s="130">
        <f>R44/S44/1000</f>
        <v>2.7413127413127413E-2</v>
      </c>
    </row>
    <row r="45" spans="1:21" ht="13" x14ac:dyDescent="0.3">
      <c r="A45" s="79">
        <v>44</v>
      </c>
      <c r="B45" s="30" t="s">
        <v>350</v>
      </c>
      <c r="C45" s="68">
        <f>SUMIFS(Data!$H:$H,Data!$A:$A,Cataratorii!$B45,Data!$C:$C,Cataratorii!C$1)</f>
        <v>1477</v>
      </c>
      <c r="D45" s="68">
        <f>SUMIFS(Data!$H:$H,Data!$A:$A,Cataratorii!$B45,Data!$C:$C,Cataratorii!D$1)</f>
        <v>32</v>
      </c>
      <c r="E45" s="68">
        <f>SUMIFS(Data!$H:$H,Data!$A:$A,Cataratorii!$B45,Data!$C:$C,Cataratorii!E$1)</f>
        <v>0</v>
      </c>
      <c r="F45" s="68">
        <f>SUMIFS(Data!$H:$H,Data!$A:$A,Cataratorii!$B45,Data!$C:$C,Cataratorii!F$1)</f>
        <v>0</v>
      </c>
      <c r="G45" s="68">
        <f>SUMIFS(Data!$H:$H,Data!$A:$A,Cataratorii!$B45,Data!$C:$C,Cataratorii!G$1)</f>
        <v>0</v>
      </c>
      <c r="H45" s="68">
        <f>SUMIFS(Data!$H:$H,Data!$A:$A,Cataratorii!$B45,Data!$C:$C,Cataratorii!H$1)</f>
        <v>0</v>
      </c>
      <c r="I45" s="68">
        <f>SUMIFS(Data!$H:$H,Data!$A:$A,Cataratorii!$B45,Data!$C:$C,Cataratorii!I$1)</f>
        <v>0</v>
      </c>
      <c r="J45" s="68">
        <f>SUMIFS(Data!$H:$H,Data!$A:$A,Cataratorii!$B45,Data!$C:$C,Cataratorii!J$1)</f>
        <v>0</v>
      </c>
      <c r="K45" s="68">
        <f>SUMIFS(Data!$H:$H,Data!$A:$A,Cataratorii!$B45,Data!$C:$C,Cataratorii!K$1)</f>
        <v>0</v>
      </c>
      <c r="L45" s="68">
        <f>SUMIFS(Data!$H:$H,Data!$A:$A,Cataratorii!$B45,Data!$C:$C,Cataratorii!L$1)</f>
        <v>0</v>
      </c>
      <c r="M45" s="68">
        <f>SUMIFS(Data!$H:$H,Data!$A:$A,Cataratorii!$B45,Data!$C:$C,Cataratorii!M$1)</f>
        <v>0</v>
      </c>
      <c r="N45" s="68">
        <f>SUMIFS(Data!$H:$H,Data!$A:$A,Cataratorii!$B45,Data!$C:$C,Cataratorii!N$1)</f>
        <v>0</v>
      </c>
      <c r="O45" s="68">
        <f>SUMIFS(Data!$H:$H,Data!$A:$A,Cataratorii!$B45,Data!$C:$C,Cataratorii!O$1)</f>
        <v>0</v>
      </c>
      <c r="P45" s="68">
        <f>SUMIFS(Data!$H:$H,Data!$A:$A,Cataratorii!$B45,Data!$C:$C,Cataratorii!P$1)</f>
        <v>0</v>
      </c>
      <c r="Q45" s="68">
        <f>SUMIFS(Data!$H:$H,Data!$A:$A,Cataratorii!$B45,Data!$C:$C,Cataratorii!Q$1)</f>
        <v>0</v>
      </c>
      <c r="R45" s="68">
        <f>SUM(C45:Q45)</f>
        <v>1509</v>
      </c>
      <c r="S45" s="31">
        <f>SUMIFS(Data!D:D,Data!A:A,Cataratorii!B48)</f>
        <v>83.259999999999991</v>
      </c>
      <c r="T45" s="1" t="str">
        <f>IF(VLOOKUP(B45,Participanti!A:D,4,0)=0," ","New")</f>
        <v>New</v>
      </c>
      <c r="U45" s="130">
        <f>R45/S45/1000</f>
        <v>1.8123949075186163E-2</v>
      </c>
    </row>
    <row r="46" spans="1:21" ht="13" x14ac:dyDescent="0.3">
      <c r="A46" s="79">
        <v>45</v>
      </c>
      <c r="B46" s="30" t="s">
        <v>358</v>
      </c>
      <c r="C46" s="68">
        <f>SUMIFS(Data!$H:$H,Data!$A:$A,Cataratorii!$B46,Data!$C:$C,Cataratorii!C$1)</f>
        <v>474</v>
      </c>
      <c r="D46" s="68">
        <f>SUMIFS(Data!$H:$H,Data!$A:$A,Cataratorii!$B46,Data!$C:$C,Cataratorii!D$1)</f>
        <v>0</v>
      </c>
      <c r="E46" s="68">
        <f>SUMIFS(Data!$H:$H,Data!$A:$A,Cataratorii!$B46,Data!$C:$C,Cataratorii!E$1)</f>
        <v>521</v>
      </c>
      <c r="F46" s="68">
        <f>SUMIFS(Data!$H:$H,Data!$A:$A,Cataratorii!$B46,Data!$C:$C,Cataratorii!F$1)</f>
        <v>68</v>
      </c>
      <c r="G46" s="68">
        <f>SUMIFS(Data!$H:$H,Data!$A:$A,Cataratorii!$B46,Data!$C:$C,Cataratorii!G$1)</f>
        <v>288</v>
      </c>
      <c r="H46" s="68">
        <f>SUMIFS(Data!$H:$H,Data!$A:$A,Cataratorii!$B46,Data!$C:$C,Cataratorii!H$1)</f>
        <v>0</v>
      </c>
      <c r="I46" s="68">
        <f>SUMIFS(Data!$H:$H,Data!$A:$A,Cataratorii!$B46,Data!$C:$C,Cataratorii!I$1)</f>
        <v>0</v>
      </c>
      <c r="J46" s="68">
        <f>SUMIFS(Data!$H:$H,Data!$A:$A,Cataratorii!$B46,Data!$C:$C,Cataratorii!J$1)</f>
        <v>0</v>
      </c>
      <c r="K46" s="68">
        <f>SUMIFS(Data!$H:$H,Data!$A:$A,Cataratorii!$B46,Data!$C:$C,Cataratorii!K$1)</f>
        <v>0</v>
      </c>
      <c r="L46" s="68">
        <f>SUMIFS(Data!$H:$H,Data!$A:$A,Cataratorii!$B46,Data!$C:$C,Cataratorii!L$1)</f>
        <v>0</v>
      </c>
      <c r="M46" s="68">
        <f>SUMIFS(Data!$H:$H,Data!$A:$A,Cataratorii!$B46,Data!$C:$C,Cataratorii!M$1)</f>
        <v>0</v>
      </c>
      <c r="N46" s="68">
        <f>SUMIFS(Data!$H:$H,Data!$A:$A,Cataratorii!$B46,Data!$C:$C,Cataratorii!N$1)</f>
        <v>0</v>
      </c>
      <c r="O46" s="68">
        <f>SUMIFS(Data!$H:$H,Data!$A:$A,Cataratorii!$B46,Data!$C:$C,Cataratorii!O$1)</f>
        <v>0</v>
      </c>
      <c r="P46" s="68">
        <f>SUMIFS(Data!$H:$H,Data!$A:$A,Cataratorii!$B46,Data!$C:$C,Cataratorii!P$1)</f>
        <v>0</v>
      </c>
      <c r="Q46" s="68">
        <f>SUMIFS(Data!$H:$H,Data!$A:$A,Cataratorii!$B46,Data!$C:$C,Cataratorii!Q$1)</f>
        <v>0</v>
      </c>
      <c r="R46" s="68">
        <f>SUM(C46:Q46)</f>
        <v>1351</v>
      </c>
      <c r="S46" s="31">
        <f>SUMIFS(Data!D:D,Data!A:A,Cataratorii!B49)</f>
        <v>188.03</v>
      </c>
      <c r="T46" s="1" t="str">
        <f>IF(VLOOKUP(B46,Participanti!A:D,4,0)=0," ","New")</f>
        <v>New</v>
      </c>
      <c r="U46" s="130">
        <f>R46/S46/1000</f>
        <v>7.185023666436207E-3</v>
      </c>
    </row>
    <row r="47" spans="1:21" ht="13" x14ac:dyDescent="0.3">
      <c r="A47" s="79">
        <v>46</v>
      </c>
      <c r="B47" s="30" t="s">
        <v>357</v>
      </c>
      <c r="C47" s="68">
        <f>SUMIFS(Data!$H:$H,Data!$A:$A,Cataratorii!$B47,Data!$C:$C,Cataratorii!C$1)</f>
        <v>0</v>
      </c>
      <c r="D47" s="68">
        <f>SUMIFS(Data!$H:$H,Data!$A:$A,Cataratorii!$B47,Data!$C:$C,Cataratorii!D$1)</f>
        <v>73</v>
      </c>
      <c r="E47" s="68">
        <f>SUMIFS(Data!$H:$H,Data!$A:$A,Cataratorii!$B47,Data!$C:$C,Cataratorii!E$1)</f>
        <v>683</v>
      </c>
      <c r="F47" s="68">
        <f>SUMIFS(Data!$H:$H,Data!$A:$A,Cataratorii!$B47,Data!$C:$C,Cataratorii!F$1)</f>
        <v>219</v>
      </c>
      <c r="G47" s="68">
        <f>SUMIFS(Data!$H:$H,Data!$A:$A,Cataratorii!$B47,Data!$C:$C,Cataratorii!G$1)</f>
        <v>103</v>
      </c>
      <c r="H47" s="68">
        <f>SUMIFS(Data!$H:$H,Data!$A:$A,Cataratorii!$B47,Data!$C:$C,Cataratorii!H$1)</f>
        <v>0</v>
      </c>
      <c r="I47" s="68">
        <f>SUMIFS(Data!$H:$H,Data!$A:$A,Cataratorii!$B47,Data!$C:$C,Cataratorii!I$1)</f>
        <v>120</v>
      </c>
      <c r="J47" s="68">
        <f>SUMIFS(Data!$H:$H,Data!$A:$A,Cataratorii!$B47,Data!$C:$C,Cataratorii!J$1)</f>
        <v>0</v>
      </c>
      <c r="K47" s="68">
        <f>SUMIFS(Data!$H:$H,Data!$A:$A,Cataratorii!$B47,Data!$C:$C,Cataratorii!K$1)</f>
        <v>0</v>
      </c>
      <c r="L47" s="68">
        <f>SUMIFS(Data!$H:$H,Data!$A:$A,Cataratorii!$B47,Data!$C:$C,Cataratorii!L$1)</f>
        <v>0</v>
      </c>
      <c r="M47" s="68">
        <f>SUMIFS(Data!$H:$H,Data!$A:$A,Cataratorii!$B47,Data!$C:$C,Cataratorii!M$1)</f>
        <v>0</v>
      </c>
      <c r="N47" s="68">
        <f>SUMIFS(Data!$H:$H,Data!$A:$A,Cataratorii!$B47,Data!$C:$C,Cataratorii!N$1)</f>
        <v>83</v>
      </c>
      <c r="O47" s="68">
        <f>SUMIFS(Data!$H:$H,Data!$A:$A,Cataratorii!$B47,Data!$C:$C,Cataratorii!O$1)</f>
        <v>0</v>
      </c>
      <c r="P47" s="68">
        <f>SUMIFS(Data!$H:$H,Data!$A:$A,Cataratorii!$B47,Data!$C:$C,Cataratorii!P$1)</f>
        <v>294</v>
      </c>
      <c r="Q47" s="68">
        <f>SUMIFS(Data!$H:$H,Data!$A:$A,Cataratorii!$B47,Data!$C:$C,Cataratorii!Q$1)</f>
        <v>694</v>
      </c>
      <c r="R47" s="68">
        <f>SUM(C47:Q47)</f>
        <v>2269</v>
      </c>
      <c r="S47" s="31">
        <f>SUMIFS(Data!D:D,Data!A:A,Cataratorii!B36)</f>
        <v>233.87</v>
      </c>
      <c r="T47" s="1" t="str">
        <f>IF(VLOOKUP(B47,Participanti!A:D,4,0)=0," ","New")</f>
        <v>New</v>
      </c>
      <c r="U47" s="130">
        <f>R47/S47/1000</f>
        <v>9.7019711805704009E-3</v>
      </c>
    </row>
    <row r="48" spans="1:21" ht="13" x14ac:dyDescent="0.3">
      <c r="A48" s="79">
        <v>47</v>
      </c>
      <c r="B48" s="30" t="s">
        <v>245</v>
      </c>
      <c r="C48" s="68">
        <f>SUMIFS(Data!$H:$H,Data!$A:$A,Cataratorii!$B48,Data!$C:$C,Cataratorii!C$1)</f>
        <v>0</v>
      </c>
      <c r="D48" s="68">
        <f>SUMIFS(Data!$H:$H,Data!$A:$A,Cataratorii!$B48,Data!$C:$C,Cataratorii!D$1)</f>
        <v>0</v>
      </c>
      <c r="E48" s="68">
        <f>SUMIFS(Data!$H:$H,Data!$A:$A,Cataratorii!$B48,Data!$C:$C,Cataratorii!E$1)</f>
        <v>0</v>
      </c>
      <c r="F48" s="68">
        <f>SUMIFS(Data!$H:$H,Data!$A:$A,Cataratorii!$B48,Data!$C:$C,Cataratorii!F$1)</f>
        <v>0</v>
      </c>
      <c r="G48" s="68">
        <f>SUMIFS(Data!$H:$H,Data!$A:$A,Cataratorii!$B48,Data!$C:$C,Cataratorii!G$1)</f>
        <v>0</v>
      </c>
      <c r="H48" s="68">
        <f>SUMIFS(Data!$H:$H,Data!$A:$A,Cataratorii!$B48,Data!$C:$C,Cataratorii!H$1)</f>
        <v>0</v>
      </c>
      <c r="I48" s="68">
        <f>SUMIFS(Data!$H:$H,Data!$A:$A,Cataratorii!$B48,Data!$C:$C,Cataratorii!I$1)</f>
        <v>1280</v>
      </c>
      <c r="J48" s="68">
        <f>SUMIFS(Data!$H:$H,Data!$A:$A,Cataratorii!$B48,Data!$C:$C,Cataratorii!J$1)</f>
        <v>0</v>
      </c>
      <c r="K48" s="68">
        <f>SUMIFS(Data!$H:$H,Data!$A:$A,Cataratorii!$B48,Data!$C:$C,Cataratorii!K$1)</f>
        <v>0</v>
      </c>
      <c r="L48" s="68">
        <f>SUMIFS(Data!$H:$H,Data!$A:$A,Cataratorii!$B48,Data!$C:$C,Cataratorii!L$1)</f>
        <v>0</v>
      </c>
      <c r="M48" s="68">
        <f>SUMIFS(Data!$H:$H,Data!$A:$A,Cataratorii!$B48,Data!$C:$C,Cataratorii!M$1)</f>
        <v>0</v>
      </c>
      <c r="N48" s="68">
        <f>SUMIFS(Data!$H:$H,Data!$A:$A,Cataratorii!$B48,Data!$C:$C,Cataratorii!N$1)</f>
        <v>0</v>
      </c>
      <c r="O48" s="68">
        <f>SUMIFS(Data!$H:$H,Data!$A:$A,Cataratorii!$B48,Data!$C:$C,Cataratorii!O$1)</f>
        <v>0</v>
      </c>
      <c r="P48" s="68">
        <f>SUMIFS(Data!$H:$H,Data!$A:$A,Cataratorii!$B48,Data!$C:$C,Cataratorii!P$1)</f>
        <v>0</v>
      </c>
      <c r="Q48" s="68">
        <f>SUMIFS(Data!$H:$H,Data!$A:$A,Cataratorii!$B48,Data!$C:$C,Cataratorii!Q$1)</f>
        <v>0</v>
      </c>
      <c r="R48" s="68">
        <f>SUM(C48:Q48)</f>
        <v>1280</v>
      </c>
      <c r="S48" s="31">
        <f>SUMIFS(Data!D:D,Data!A:A,Cataratorii!B50)</f>
        <v>301.58</v>
      </c>
      <c r="T48" s="1" t="str">
        <f>IF(VLOOKUP(B48,Participanti!A:D,4,0)=0," ","New")</f>
        <v xml:space="preserve"> </v>
      </c>
      <c r="U48" s="130">
        <f>R48/S48/1000</f>
        <v>4.244313283374229E-3</v>
      </c>
    </row>
    <row r="49" spans="1:21" ht="13" x14ac:dyDescent="0.3">
      <c r="A49" s="79">
        <v>48</v>
      </c>
      <c r="B49" s="30" t="s">
        <v>137</v>
      </c>
      <c r="C49" s="68">
        <f>SUMIFS(Data!$H:$H,Data!$A:$A,Cataratorii!$B49,Data!$C:$C,Cataratorii!C$1)</f>
        <v>0</v>
      </c>
      <c r="D49" s="68">
        <f>SUMIFS(Data!$H:$H,Data!$A:$A,Cataratorii!$B49,Data!$C:$C,Cataratorii!D$1)</f>
        <v>446</v>
      </c>
      <c r="E49" s="68">
        <f>SUMIFS(Data!$H:$H,Data!$A:$A,Cataratorii!$B49,Data!$C:$C,Cataratorii!E$1)</f>
        <v>81</v>
      </c>
      <c r="F49" s="68">
        <f>SUMIFS(Data!$H:$H,Data!$A:$A,Cataratorii!$B49,Data!$C:$C,Cataratorii!F$1)</f>
        <v>449</v>
      </c>
      <c r="G49" s="68">
        <f>SUMIFS(Data!$H:$H,Data!$A:$A,Cataratorii!$B49,Data!$C:$C,Cataratorii!G$1)</f>
        <v>0</v>
      </c>
      <c r="H49" s="68">
        <f>SUMIFS(Data!$H:$H,Data!$A:$A,Cataratorii!$B49,Data!$C:$C,Cataratorii!H$1)</f>
        <v>0</v>
      </c>
      <c r="I49" s="68">
        <f>SUMIFS(Data!$H:$H,Data!$A:$A,Cataratorii!$B49,Data!$C:$C,Cataratorii!I$1)</f>
        <v>0</v>
      </c>
      <c r="J49" s="68">
        <f>SUMIFS(Data!$H:$H,Data!$A:$A,Cataratorii!$B49,Data!$C:$C,Cataratorii!J$1)</f>
        <v>0</v>
      </c>
      <c r="K49" s="68">
        <f>SUMIFS(Data!$H:$H,Data!$A:$A,Cataratorii!$B49,Data!$C:$C,Cataratorii!K$1)</f>
        <v>60</v>
      </c>
      <c r="L49" s="68">
        <f>SUMIFS(Data!$H:$H,Data!$A:$A,Cataratorii!$B49,Data!$C:$C,Cataratorii!L$1)</f>
        <v>238</v>
      </c>
      <c r="M49" s="68">
        <f>SUMIFS(Data!$H:$H,Data!$A:$A,Cataratorii!$B49,Data!$C:$C,Cataratorii!M$1)</f>
        <v>0</v>
      </c>
      <c r="N49" s="68">
        <f>SUMIFS(Data!$H:$H,Data!$A:$A,Cataratorii!$B49,Data!$C:$C,Cataratorii!N$1)</f>
        <v>0</v>
      </c>
      <c r="O49" s="68">
        <f>SUMIFS(Data!$H:$H,Data!$A:$A,Cataratorii!$B49,Data!$C:$C,Cataratorii!O$1)</f>
        <v>0</v>
      </c>
      <c r="P49" s="68">
        <f>SUMIFS(Data!$H:$H,Data!$A:$A,Cataratorii!$B49,Data!$C:$C,Cataratorii!P$1)</f>
        <v>224</v>
      </c>
      <c r="Q49" s="68">
        <f>SUMIFS(Data!$H:$H,Data!$A:$A,Cataratorii!$B49,Data!$C:$C,Cataratorii!Q$1)</f>
        <v>239</v>
      </c>
      <c r="R49" s="68">
        <f>SUM(C49:Q49)</f>
        <v>1737</v>
      </c>
      <c r="S49" s="31">
        <f>SUMIFS(Data!D:D,Data!A:A,Cataratorii!B44)</f>
        <v>342.47</v>
      </c>
      <c r="T49" s="1" t="str">
        <f>IF(VLOOKUP(B49,Participanti!A:D,4,0)=0," ","New")</f>
        <v xml:space="preserve"> </v>
      </c>
      <c r="U49" s="130">
        <f>R49/S49/1000</f>
        <v>5.0719771074838665E-3</v>
      </c>
    </row>
    <row r="50" spans="1:21" ht="13" x14ac:dyDescent="0.3">
      <c r="A50" s="79">
        <v>49</v>
      </c>
      <c r="B50" s="30" t="s">
        <v>366</v>
      </c>
      <c r="C50" s="68">
        <f>SUMIFS(Data!$H:$H,Data!$A:$A,Cataratorii!$B50,Data!$C:$C,Cataratorii!C$1)</f>
        <v>0</v>
      </c>
      <c r="D50" s="68">
        <f>SUMIFS(Data!$H:$H,Data!$A:$A,Cataratorii!$B50,Data!$C:$C,Cataratorii!D$1)</f>
        <v>64</v>
      </c>
      <c r="E50" s="68">
        <f>SUMIFS(Data!$H:$H,Data!$A:$A,Cataratorii!$B50,Data!$C:$C,Cataratorii!E$1)</f>
        <v>0</v>
      </c>
      <c r="F50" s="68">
        <f>SUMIFS(Data!$H:$H,Data!$A:$A,Cataratorii!$B50,Data!$C:$C,Cataratorii!F$1)</f>
        <v>79</v>
      </c>
      <c r="G50" s="68">
        <f>SUMIFS(Data!$H:$H,Data!$A:$A,Cataratorii!$B50,Data!$C:$C,Cataratorii!G$1)</f>
        <v>0</v>
      </c>
      <c r="H50" s="68">
        <f>SUMIFS(Data!$H:$H,Data!$A:$A,Cataratorii!$B50,Data!$C:$C,Cataratorii!H$1)</f>
        <v>96</v>
      </c>
      <c r="I50" s="68">
        <f>SUMIFS(Data!$H:$H,Data!$A:$A,Cataratorii!$B50,Data!$C:$C,Cataratorii!I$1)</f>
        <v>0</v>
      </c>
      <c r="J50" s="68">
        <f>SUMIFS(Data!$H:$H,Data!$A:$A,Cataratorii!$B50,Data!$C:$C,Cataratorii!J$1)</f>
        <v>0</v>
      </c>
      <c r="K50" s="68">
        <f>SUMIFS(Data!$H:$H,Data!$A:$A,Cataratorii!$B50,Data!$C:$C,Cataratorii!K$1)</f>
        <v>83</v>
      </c>
      <c r="L50" s="68">
        <f>SUMIFS(Data!$H:$H,Data!$A:$A,Cataratorii!$B50,Data!$C:$C,Cataratorii!L$1)</f>
        <v>93</v>
      </c>
      <c r="M50" s="68">
        <f>SUMIFS(Data!$H:$H,Data!$A:$A,Cataratorii!$B50,Data!$C:$C,Cataratorii!M$1)</f>
        <v>51</v>
      </c>
      <c r="N50" s="68">
        <f>SUMIFS(Data!$H:$H,Data!$A:$A,Cataratorii!$B50,Data!$C:$C,Cataratorii!N$1)</f>
        <v>80</v>
      </c>
      <c r="O50" s="68">
        <f>SUMIFS(Data!$H:$H,Data!$A:$A,Cataratorii!$B50,Data!$C:$C,Cataratorii!O$1)</f>
        <v>713</v>
      </c>
      <c r="P50" s="68">
        <f>SUMIFS(Data!$H:$H,Data!$A:$A,Cataratorii!$B50,Data!$C:$C,Cataratorii!P$1)</f>
        <v>9</v>
      </c>
      <c r="Q50" s="68">
        <f>SUMIFS(Data!$H:$H,Data!$A:$A,Cataratorii!$B50,Data!$C:$C,Cataratorii!Q$1)</f>
        <v>0</v>
      </c>
      <c r="R50" s="68">
        <f>SUM(C50:Q50)</f>
        <v>1268</v>
      </c>
      <c r="S50" s="31">
        <f>SUMIFS(Data!D:D,Data!A:A,Cataratorii!B51)</f>
        <v>116.60000000000002</v>
      </c>
      <c r="T50" s="1" t="str">
        <f>IF(VLOOKUP(B50,Participanti!A:D,4,0)=0," ","New")</f>
        <v>New</v>
      </c>
      <c r="U50" s="130">
        <f>R50/S50/1000</f>
        <v>1.0874785591766722E-2</v>
      </c>
    </row>
    <row r="51" spans="1:21" ht="13" x14ac:dyDescent="0.3">
      <c r="A51" s="79">
        <v>50</v>
      </c>
      <c r="B51" s="30" t="s">
        <v>116</v>
      </c>
      <c r="C51" s="68">
        <f>SUMIFS(Data!$H:$H,Data!$A:$A,Cataratorii!$B51,Data!$C:$C,Cataratorii!C$1)</f>
        <v>0</v>
      </c>
      <c r="D51" s="68">
        <f>SUMIFS(Data!$H:$H,Data!$A:$A,Cataratorii!$B51,Data!$C:$C,Cataratorii!D$1)</f>
        <v>79</v>
      </c>
      <c r="E51" s="68">
        <f>SUMIFS(Data!$H:$H,Data!$A:$A,Cataratorii!$B51,Data!$C:$C,Cataratorii!E$1)</f>
        <v>365</v>
      </c>
      <c r="F51" s="68">
        <f>SUMIFS(Data!$H:$H,Data!$A:$A,Cataratorii!$B51,Data!$C:$C,Cataratorii!F$1)</f>
        <v>0</v>
      </c>
      <c r="G51" s="68">
        <f>SUMIFS(Data!$H:$H,Data!$A:$A,Cataratorii!$B51,Data!$C:$C,Cataratorii!G$1)</f>
        <v>0</v>
      </c>
      <c r="H51" s="68">
        <f>SUMIFS(Data!$H:$H,Data!$A:$A,Cataratorii!$B51,Data!$C:$C,Cataratorii!H$1)</f>
        <v>63</v>
      </c>
      <c r="I51" s="68">
        <f>SUMIFS(Data!$H:$H,Data!$A:$A,Cataratorii!$B51,Data!$C:$C,Cataratorii!I$1)</f>
        <v>0</v>
      </c>
      <c r="J51" s="68">
        <f>SUMIFS(Data!$H:$H,Data!$A:$A,Cataratorii!$B51,Data!$C:$C,Cataratorii!J$1)</f>
        <v>0</v>
      </c>
      <c r="K51" s="68">
        <f>SUMIFS(Data!$H:$H,Data!$A:$A,Cataratorii!$B51,Data!$C:$C,Cataratorii!K$1)</f>
        <v>0</v>
      </c>
      <c r="L51" s="68">
        <f>SUMIFS(Data!$H:$H,Data!$A:$A,Cataratorii!$B51,Data!$C:$C,Cataratorii!L$1)</f>
        <v>0</v>
      </c>
      <c r="M51" s="68">
        <f>SUMIFS(Data!$H:$H,Data!$A:$A,Cataratorii!$B51,Data!$C:$C,Cataratorii!M$1)</f>
        <v>0</v>
      </c>
      <c r="N51" s="68">
        <f>SUMIFS(Data!$H:$H,Data!$A:$A,Cataratorii!$B51,Data!$C:$C,Cataratorii!N$1)</f>
        <v>0</v>
      </c>
      <c r="O51" s="68">
        <f>SUMIFS(Data!$H:$H,Data!$A:$A,Cataratorii!$B51,Data!$C:$C,Cataratorii!O$1)</f>
        <v>686</v>
      </c>
      <c r="P51" s="68">
        <f>SUMIFS(Data!$H:$H,Data!$A:$A,Cataratorii!$B51,Data!$C:$C,Cataratorii!P$1)</f>
        <v>35</v>
      </c>
      <c r="Q51" s="68">
        <f>SUMIFS(Data!$H:$H,Data!$A:$A,Cataratorii!$B51,Data!$C:$C,Cataratorii!Q$1)</f>
        <v>0</v>
      </c>
      <c r="R51" s="68">
        <f>SUM(C51:Q51)</f>
        <v>1228</v>
      </c>
      <c r="S51" s="31">
        <f>SUMIFS(Data!D:D,Data!A:A,Cataratorii!B53)</f>
        <v>164.8</v>
      </c>
      <c r="T51" s="1" t="str">
        <f>IF(VLOOKUP(B51,Participanti!A:D,4,0)=0," ","New")</f>
        <v xml:space="preserve"> </v>
      </c>
      <c r="U51" s="130">
        <f>R51/S51/1000</f>
        <v>7.4514563106796109E-3</v>
      </c>
    </row>
    <row r="52" spans="1:21" ht="13" x14ac:dyDescent="0.3">
      <c r="A52" s="79">
        <v>51</v>
      </c>
      <c r="B52" s="30" t="s">
        <v>431</v>
      </c>
      <c r="C52" s="68">
        <f>SUMIFS(Data!$H:$H,Data!$A:$A,Cataratorii!$B52,Data!$C:$C,Cataratorii!C$1)</f>
        <v>0</v>
      </c>
      <c r="D52" s="68">
        <f>SUMIFS(Data!$H:$H,Data!$A:$A,Cataratorii!$B52,Data!$C:$C,Cataratorii!D$1)</f>
        <v>0</v>
      </c>
      <c r="E52" s="68">
        <f>SUMIFS(Data!$H:$H,Data!$A:$A,Cataratorii!$B52,Data!$C:$C,Cataratorii!E$1)</f>
        <v>0</v>
      </c>
      <c r="F52" s="68">
        <f>SUMIFS(Data!$H:$H,Data!$A:$A,Cataratorii!$B52,Data!$C:$C,Cataratorii!F$1)</f>
        <v>0</v>
      </c>
      <c r="G52" s="68">
        <f>SUMIFS(Data!$H:$H,Data!$A:$A,Cataratorii!$B52,Data!$C:$C,Cataratorii!G$1)</f>
        <v>0</v>
      </c>
      <c r="H52" s="68">
        <f>SUMIFS(Data!$H:$H,Data!$A:$A,Cataratorii!$B52,Data!$C:$C,Cataratorii!H$1)</f>
        <v>0</v>
      </c>
      <c r="I52" s="68">
        <f>SUMIFS(Data!$H:$H,Data!$A:$A,Cataratorii!$B52,Data!$C:$C,Cataratorii!I$1)</f>
        <v>691</v>
      </c>
      <c r="J52" s="68">
        <f>SUMIFS(Data!$H:$H,Data!$A:$A,Cataratorii!$B52,Data!$C:$C,Cataratorii!J$1)</f>
        <v>52</v>
      </c>
      <c r="K52" s="68">
        <f>SUMIFS(Data!$H:$H,Data!$A:$A,Cataratorii!$B52,Data!$C:$C,Cataratorii!K$1)</f>
        <v>0</v>
      </c>
      <c r="L52" s="68">
        <f>SUMIFS(Data!$H:$H,Data!$A:$A,Cataratorii!$B52,Data!$C:$C,Cataratorii!L$1)</f>
        <v>0</v>
      </c>
      <c r="M52" s="68">
        <f>SUMIFS(Data!$H:$H,Data!$A:$A,Cataratorii!$B52,Data!$C:$C,Cataratorii!M$1)</f>
        <v>0</v>
      </c>
      <c r="N52" s="68">
        <f>SUMIFS(Data!$H:$H,Data!$A:$A,Cataratorii!$B52,Data!$C:$C,Cataratorii!N$1)</f>
        <v>0</v>
      </c>
      <c r="O52" s="68">
        <f>SUMIFS(Data!$H:$H,Data!$A:$A,Cataratorii!$B52,Data!$C:$C,Cataratorii!O$1)</f>
        <v>425</v>
      </c>
      <c r="P52" s="68">
        <f>SUMIFS(Data!$H:$H,Data!$A:$A,Cataratorii!$B52,Data!$C:$C,Cataratorii!P$1)</f>
        <v>0</v>
      </c>
      <c r="Q52" s="68">
        <f>SUMIFS(Data!$H:$H,Data!$A:$A,Cataratorii!$B52,Data!$C:$C,Cataratorii!Q$1)</f>
        <v>0</v>
      </c>
      <c r="R52" s="68">
        <f>SUM(C52:Q52)</f>
        <v>1168</v>
      </c>
      <c r="S52" s="31">
        <f>SUMIFS(Data!D:D,Data!A:A,Cataratorii!B54)</f>
        <v>251.24</v>
      </c>
      <c r="T52" s="1" t="str">
        <f>IF(VLOOKUP(B52,Participanti!A:D,4,0)=0," ","New")</f>
        <v>New</v>
      </c>
      <c r="U52" s="130">
        <f>R52/S52/1000</f>
        <v>4.6489412513930897E-3</v>
      </c>
    </row>
    <row r="53" spans="1:21" ht="13" x14ac:dyDescent="0.3">
      <c r="A53" s="79">
        <v>52</v>
      </c>
      <c r="B53" s="30" t="s">
        <v>331</v>
      </c>
      <c r="C53" s="68">
        <f>SUMIFS(Data!$H:$H,Data!$A:$A,Cataratorii!$B53,Data!$C:$C,Cataratorii!C$1)</f>
        <v>17</v>
      </c>
      <c r="D53" s="68">
        <f>SUMIFS(Data!$H:$H,Data!$A:$A,Cataratorii!$B53,Data!$C:$C,Cataratorii!D$1)</f>
        <v>34</v>
      </c>
      <c r="E53" s="68">
        <f>SUMIFS(Data!$H:$H,Data!$A:$A,Cataratorii!$B53,Data!$C:$C,Cataratorii!E$1)</f>
        <v>47</v>
      </c>
      <c r="F53" s="68">
        <f>SUMIFS(Data!$H:$H,Data!$A:$A,Cataratorii!$B53,Data!$C:$C,Cataratorii!F$1)</f>
        <v>187</v>
      </c>
      <c r="G53" s="68">
        <f>SUMIFS(Data!$H:$H,Data!$A:$A,Cataratorii!$B53,Data!$C:$C,Cataratorii!G$1)</f>
        <v>0</v>
      </c>
      <c r="H53" s="68">
        <f>SUMIFS(Data!$H:$H,Data!$A:$A,Cataratorii!$B53,Data!$C:$C,Cataratorii!H$1)</f>
        <v>0</v>
      </c>
      <c r="I53" s="68">
        <f>SUMIFS(Data!$H:$H,Data!$A:$A,Cataratorii!$B53,Data!$C:$C,Cataratorii!I$1)</f>
        <v>0</v>
      </c>
      <c r="J53" s="68">
        <f>SUMIFS(Data!$H:$H,Data!$A:$A,Cataratorii!$B53,Data!$C:$C,Cataratorii!J$1)</f>
        <v>61</v>
      </c>
      <c r="K53" s="68">
        <f>SUMIFS(Data!$H:$H,Data!$A:$A,Cataratorii!$B53,Data!$C:$C,Cataratorii!K$1)</f>
        <v>0</v>
      </c>
      <c r="L53" s="68">
        <f>SUMIFS(Data!$H:$H,Data!$A:$A,Cataratorii!$B53,Data!$C:$C,Cataratorii!L$1)</f>
        <v>0</v>
      </c>
      <c r="M53" s="68">
        <f>SUMIFS(Data!$H:$H,Data!$A:$A,Cataratorii!$B53,Data!$C:$C,Cataratorii!M$1)</f>
        <v>0</v>
      </c>
      <c r="N53" s="68">
        <f>SUMIFS(Data!$H:$H,Data!$A:$A,Cataratorii!$B53,Data!$C:$C,Cataratorii!N$1)</f>
        <v>83</v>
      </c>
      <c r="O53" s="68">
        <f>SUMIFS(Data!$H:$H,Data!$A:$A,Cataratorii!$B53,Data!$C:$C,Cataratorii!O$1)</f>
        <v>722</v>
      </c>
      <c r="P53" s="68">
        <f>SUMIFS(Data!$H:$H,Data!$A:$A,Cataratorii!$B53,Data!$C:$C,Cataratorii!P$1)</f>
        <v>0</v>
      </c>
      <c r="Q53" s="68">
        <f>SUMIFS(Data!$H:$H,Data!$A:$A,Cataratorii!$B53,Data!$C:$C,Cataratorii!Q$1)</f>
        <v>0</v>
      </c>
      <c r="R53" s="68">
        <f>SUM(C53:Q53)</f>
        <v>1151</v>
      </c>
      <c r="S53" s="31">
        <f>SUMIFS(Data!D:D,Data!A:A,Cataratorii!B55)</f>
        <v>243.34</v>
      </c>
      <c r="T53" s="1" t="str">
        <f>IF(VLOOKUP(B53,Participanti!A:D,4,0)=0," ","New")</f>
        <v>New</v>
      </c>
      <c r="U53" s="130">
        <f>R53/S53/1000</f>
        <v>4.7300073970576147E-3</v>
      </c>
    </row>
    <row r="54" spans="1:21" ht="13" x14ac:dyDescent="0.3">
      <c r="A54" s="79">
        <v>53</v>
      </c>
      <c r="B54" s="30" t="s">
        <v>344</v>
      </c>
      <c r="C54" s="68">
        <f>SUMIFS(Data!$H:$H,Data!$A:$A,Cataratorii!$B54,Data!$C:$C,Cataratorii!C$1)</f>
        <v>0</v>
      </c>
      <c r="D54" s="68">
        <f>SUMIFS(Data!$H:$H,Data!$A:$A,Cataratorii!$B54,Data!$C:$C,Cataratorii!D$1)</f>
        <v>0</v>
      </c>
      <c r="E54" s="68">
        <f>SUMIFS(Data!$H:$H,Data!$A:$A,Cataratorii!$B54,Data!$C:$C,Cataratorii!E$1)</f>
        <v>0</v>
      </c>
      <c r="F54" s="68">
        <f>SUMIFS(Data!$H:$H,Data!$A:$A,Cataratorii!$B54,Data!$C:$C,Cataratorii!F$1)</f>
        <v>0</v>
      </c>
      <c r="G54" s="68">
        <f>SUMIFS(Data!$H:$H,Data!$A:$A,Cataratorii!$B54,Data!$C:$C,Cataratorii!G$1)</f>
        <v>0</v>
      </c>
      <c r="H54" s="68">
        <f>SUMIFS(Data!$H:$H,Data!$A:$A,Cataratorii!$B54,Data!$C:$C,Cataratorii!H$1)</f>
        <v>110</v>
      </c>
      <c r="I54" s="68">
        <f>SUMIFS(Data!$H:$H,Data!$A:$A,Cataratorii!$B54,Data!$C:$C,Cataratorii!I$1)</f>
        <v>55</v>
      </c>
      <c r="J54" s="68">
        <f>SUMIFS(Data!$H:$H,Data!$A:$A,Cataratorii!$B54,Data!$C:$C,Cataratorii!J$1)</f>
        <v>95</v>
      </c>
      <c r="K54" s="68">
        <f>SUMIFS(Data!$H:$H,Data!$A:$A,Cataratorii!$B54,Data!$C:$C,Cataratorii!K$1)</f>
        <v>55</v>
      </c>
      <c r="L54" s="68">
        <f>SUMIFS(Data!$H:$H,Data!$A:$A,Cataratorii!$B54,Data!$C:$C,Cataratorii!L$1)</f>
        <v>0</v>
      </c>
      <c r="M54" s="68">
        <f>SUMIFS(Data!$H:$H,Data!$A:$A,Cataratorii!$B54,Data!$C:$C,Cataratorii!M$1)</f>
        <v>0</v>
      </c>
      <c r="N54" s="68">
        <f>SUMIFS(Data!$H:$H,Data!$A:$A,Cataratorii!$B54,Data!$C:$C,Cataratorii!N$1)</f>
        <v>0</v>
      </c>
      <c r="O54" s="68">
        <f>SUMIFS(Data!$H:$H,Data!$A:$A,Cataratorii!$B54,Data!$C:$C,Cataratorii!O$1)</f>
        <v>715</v>
      </c>
      <c r="P54" s="68">
        <f>SUMIFS(Data!$H:$H,Data!$A:$A,Cataratorii!$B54,Data!$C:$C,Cataratorii!P$1)</f>
        <v>52</v>
      </c>
      <c r="Q54" s="68">
        <f>SUMIFS(Data!$H:$H,Data!$A:$A,Cataratorii!$B54,Data!$C:$C,Cataratorii!Q$1)</f>
        <v>0</v>
      </c>
      <c r="R54" s="68">
        <f>SUM(C54:Q54)</f>
        <v>1082</v>
      </c>
      <c r="S54" s="31">
        <f>SUMIFS(Data!D:D,Data!A:A,Cataratorii!B57)</f>
        <v>89.52</v>
      </c>
      <c r="T54" s="1" t="str">
        <f>IF(VLOOKUP(B54,Participanti!A:D,4,0)=0," ","New")</f>
        <v>New</v>
      </c>
      <c r="U54" s="130">
        <f>R54/S54/1000</f>
        <v>1.2086684539767651E-2</v>
      </c>
    </row>
    <row r="55" spans="1:21" ht="13" x14ac:dyDescent="0.3">
      <c r="A55" s="79">
        <v>54</v>
      </c>
      <c r="B55" s="30" t="s">
        <v>279</v>
      </c>
      <c r="C55" s="68">
        <f>SUMIFS(Data!$H:$H,Data!$A:$A,Cataratorii!$B55,Data!$C:$C,Cataratorii!C$1)</f>
        <v>138</v>
      </c>
      <c r="D55" s="68">
        <f>SUMIFS(Data!$H:$H,Data!$A:$A,Cataratorii!$B55,Data!$C:$C,Cataratorii!D$1)</f>
        <v>65</v>
      </c>
      <c r="E55" s="68">
        <f>SUMIFS(Data!$H:$H,Data!$A:$A,Cataratorii!$B55,Data!$C:$C,Cataratorii!E$1)</f>
        <v>0</v>
      </c>
      <c r="F55" s="68">
        <f>SUMIFS(Data!$H:$H,Data!$A:$A,Cataratorii!$B55,Data!$C:$C,Cataratorii!F$1)</f>
        <v>106</v>
      </c>
      <c r="G55" s="68">
        <f>SUMIFS(Data!$H:$H,Data!$A:$A,Cataratorii!$B55,Data!$C:$C,Cataratorii!G$1)</f>
        <v>0</v>
      </c>
      <c r="H55" s="68">
        <f>SUMIFS(Data!$H:$H,Data!$A:$A,Cataratorii!$B55,Data!$C:$C,Cataratorii!H$1)</f>
        <v>0</v>
      </c>
      <c r="I55" s="68">
        <f>SUMIFS(Data!$H:$H,Data!$A:$A,Cataratorii!$B55,Data!$C:$C,Cataratorii!I$1)</f>
        <v>162</v>
      </c>
      <c r="J55" s="68">
        <f>SUMIFS(Data!$H:$H,Data!$A:$A,Cataratorii!$B55,Data!$C:$C,Cataratorii!J$1)</f>
        <v>118</v>
      </c>
      <c r="K55" s="68">
        <f>SUMIFS(Data!$H:$H,Data!$A:$A,Cataratorii!$B55,Data!$C:$C,Cataratorii!K$1)</f>
        <v>178</v>
      </c>
      <c r="L55" s="68">
        <f>SUMIFS(Data!$H:$H,Data!$A:$A,Cataratorii!$B55,Data!$C:$C,Cataratorii!L$1)</f>
        <v>160</v>
      </c>
      <c r="M55" s="68">
        <f>SUMIFS(Data!$H:$H,Data!$A:$A,Cataratorii!$B55,Data!$C:$C,Cataratorii!M$1)</f>
        <v>0</v>
      </c>
      <c r="N55" s="68">
        <f>SUMIFS(Data!$H:$H,Data!$A:$A,Cataratorii!$B55,Data!$C:$C,Cataratorii!N$1)</f>
        <v>0</v>
      </c>
      <c r="O55" s="68">
        <f>SUMIFS(Data!$H:$H,Data!$A:$A,Cataratorii!$B55,Data!$C:$C,Cataratorii!O$1)</f>
        <v>0</v>
      </c>
      <c r="P55" s="68">
        <f>SUMIFS(Data!$H:$H,Data!$A:$A,Cataratorii!$B55,Data!$C:$C,Cataratorii!P$1)</f>
        <v>179</v>
      </c>
      <c r="Q55" s="68">
        <f>SUMIFS(Data!$H:$H,Data!$A:$A,Cataratorii!$B55,Data!$C:$C,Cataratorii!Q$1)</f>
        <v>0</v>
      </c>
      <c r="R55" s="68">
        <f>SUM(C55:Q55)</f>
        <v>1106</v>
      </c>
      <c r="S55" s="31">
        <f>SUMIFS(Data!D:D,Data!A:A,Cataratorii!B56)</f>
        <v>13.59</v>
      </c>
      <c r="T55" s="1" t="str">
        <f>IF(VLOOKUP(B55,Participanti!A:D,4,0)=0," ","New")</f>
        <v xml:space="preserve"> </v>
      </c>
      <c r="U55" s="130">
        <f>R55/S55/1000</f>
        <v>8.1383370125091989E-2</v>
      </c>
    </row>
    <row r="56" spans="1:21" ht="13" x14ac:dyDescent="0.3">
      <c r="A56" s="79">
        <v>55</v>
      </c>
      <c r="B56" s="30" t="s">
        <v>338</v>
      </c>
      <c r="C56" s="68">
        <f>SUMIFS(Data!$H:$H,Data!$A:$A,Cataratorii!$B56,Data!$C:$C,Cataratorii!C$1)</f>
        <v>893</v>
      </c>
      <c r="D56" s="68">
        <f>SUMIFS(Data!$H:$H,Data!$A:$A,Cataratorii!$B56,Data!$C:$C,Cataratorii!D$1)</f>
        <v>0</v>
      </c>
      <c r="E56" s="68">
        <f>SUMIFS(Data!$H:$H,Data!$A:$A,Cataratorii!$B56,Data!$C:$C,Cataratorii!E$1)</f>
        <v>0</v>
      </c>
      <c r="F56" s="68">
        <f>SUMIFS(Data!$H:$H,Data!$A:$A,Cataratorii!$B56,Data!$C:$C,Cataratorii!F$1)</f>
        <v>0</v>
      </c>
      <c r="G56" s="68">
        <f>SUMIFS(Data!$H:$H,Data!$A:$A,Cataratorii!$B56,Data!$C:$C,Cataratorii!G$1)</f>
        <v>0</v>
      </c>
      <c r="H56" s="68">
        <f>SUMIFS(Data!$H:$H,Data!$A:$A,Cataratorii!$B56,Data!$C:$C,Cataratorii!H$1)</f>
        <v>0</v>
      </c>
      <c r="I56" s="68">
        <f>SUMIFS(Data!$H:$H,Data!$A:$A,Cataratorii!$B56,Data!$C:$C,Cataratorii!I$1)</f>
        <v>0</v>
      </c>
      <c r="J56" s="68">
        <f>SUMIFS(Data!$H:$H,Data!$A:$A,Cataratorii!$B56,Data!$C:$C,Cataratorii!J$1)</f>
        <v>0</v>
      </c>
      <c r="K56" s="68">
        <f>SUMIFS(Data!$H:$H,Data!$A:$A,Cataratorii!$B56,Data!$C:$C,Cataratorii!K$1)</f>
        <v>0</v>
      </c>
      <c r="L56" s="68">
        <f>SUMIFS(Data!$H:$H,Data!$A:$A,Cataratorii!$B56,Data!$C:$C,Cataratorii!L$1)</f>
        <v>0</v>
      </c>
      <c r="M56" s="68">
        <f>SUMIFS(Data!$H:$H,Data!$A:$A,Cataratorii!$B56,Data!$C:$C,Cataratorii!M$1)</f>
        <v>0</v>
      </c>
      <c r="N56" s="68">
        <f>SUMIFS(Data!$H:$H,Data!$A:$A,Cataratorii!$B56,Data!$C:$C,Cataratorii!N$1)</f>
        <v>0</v>
      </c>
      <c r="O56" s="68">
        <f>SUMIFS(Data!$H:$H,Data!$A:$A,Cataratorii!$B56,Data!$C:$C,Cataratorii!O$1)</f>
        <v>0</v>
      </c>
      <c r="P56" s="68">
        <f>SUMIFS(Data!$H:$H,Data!$A:$A,Cataratorii!$B56,Data!$C:$C,Cataratorii!P$1)</f>
        <v>0</v>
      </c>
      <c r="Q56" s="68">
        <f>SUMIFS(Data!$H:$H,Data!$A:$A,Cataratorii!$B56,Data!$C:$C,Cataratorii!Q$1)</f>
        <v>0</v>
      </c>
      <c r="R56" s="68">
        <f>SUM(C56:Q56)</f>
        <v>893</v>
      </c>
      <c r="S56" s="31">
        <f>SUMIFS(Data!D:D,Data!A:A,Cataratorii!B60)</f>
        <v>165.60999999999999</v>
      </c>
      <c r="T56" s="1" t="str">
        <f>IF(VLOOKUP(B56,Participanti!A:D,4,0)=0," ","New")</f>
        <v>New</v>
      </c>
      <c r="U56" s="130">
        <f>R56/S56/1000</f>
        <v>5.39218646217016E-3</v>
      </c>
    </row>
    <row r="57" spans="1:21" ht="13" x14ac:dyDescent="0.3">
      <c r="A57" s="79">
        <v>56</v>
      </c>
      <c r="B57" s="30" t="s">
        <v>390</v>
      </c>
      <c r="C57" s="68">
        <f>SUMIFS(Data!$H:$H,Data!$A:$A,Cataratorii!$B57,Data!$C:$C,Cataratorii!C$1)</f>
        <v>0</v>
      </c>
      <c r="D57" s="68">
        <f>SUMIFS(Data!$H:$H,Data!$A:$A,Cataratorii!$B57,Data!$C:$C,Cataratorii!D$1)</f>
        <v>0</v>
      </c>
      <c r="E57" s="68">
        <f>SUMIFS(Data!$H:$H,Data!$A:$A,Cataratorii!$B57,Data!$C:$C,Cataratorii!E$1)</f>
        <v>371</v>
      </c>
      <c r="F57" s="68">
        <f>SUMIFS(Data!$H:$H,Data!$A:$A,Cataratorii!$B57,Data!$C:$C,Cataratorii!F$1)</f>
        <v>0</v>
      </c>
      <c r="G57" s="68">
        <f>SUMIFS(Data!$H:$H,Data!$A:$A,Cataratorii!$B57,Data!$C:$C,Cataratorii!G$1)</f>
        <v>0</v>
      </c>
      <c r="H57" s="68">
        <f>SUMIFS(Data!$H:$H,Data!$A:$A,Cataratorii!$B57,Data!$C:$C,Cataratorii!H$1)</f>
        <v>0</v>
      </c>
      <c r="I57" s="68">
        <f>SUMIFS(Data!$H:$H,Data!$A:$A,Cataratorii!$B57,Data!$C:$C,Cataratorii!I$1)</f>
        <v>0</v>
      </c>
      <c r="J57" s="68">
        <f>SUMIFS(Data!$H:$H,Data!$A:$A,Cataratorii!$B57,Data!$C:$C,Cataratorii!J$1)</f>
        <v>0</v>
      </c>
      <c r="K57" s="68">
        <f>SUMIFS(Data!$H:$H,Data!$A:$A,Cataratorii!$B57,Data!$C:$C,Cataratorii!K$1)</f>
        <v>0</v>
      </c>
      <c r="L57" s="68">
        <f>SUMIFS(Data!$H:$H,Data!$A:$A,Cataratorii!$B57,Data!$C:$C,Cataratorii!L$1)</f>
        <v>0</v>
      </c>
      <c r="M57" s="68">
        <f>SUMIFS(Data!$H:$H,Data!$A:$A,Cataratorii!$B57,Data!$C:$C,Cataratorii!M$1)</f>
        <v>0</v>
      </c>
      <c r="N57" s="68">
        <f>SUMIFS(Data!$H:$H,Data!$A:$A,Cataratorii!$B57,Data!$C:$C,Cataratorii!N$1)</f>
        <v>0</v>
      </c>
      <c r="O57" s="68">
        <f>SUMIFS(Data!$H:$H,Data!$A:$A,Cataratorii!$B57,Data!$C:$C,Cataratorii!O$1)</f>
        <v>497</v>
      </c>
      <c r="P57" s="68">
        <f>SUMIFS(Data!$H:$H,Data!$A:$A,Cataratorii!$B57,Data!$C:$C,Cataratorii!P$1)</f>
        <v>394</v>
      </c>
      <c r="Q57" s="68">
        <f>SUMIFS(Data!$H:$H,Data!$A:$A,Cataratorii!$B57,Data!$C:$C,Cataratorii!Q$1)</f>
        <v>0</v>
      </c>
      <c r="R57" s="68">
        <f>SUM(C57:Q57)</f>
        <v>1262</v>
      </c>
      <c r="S57" s="31">
        <f>SUMIFS(Data!D:D,Data!A:A,Cataratorii!B52)</f>
        <v>94.56</v>
      </c>
      <c r="T57" s="1" t="str">
        <f>IF(VLOOKUP(B57,Participanti!A:D,4,0)=0," ","New")</f>
        <v>New</v>
      </c>
      <c r="U57" s="130">
        <f>R57/S57/1000</f>
        <v>1.3346023688663281E-2</v>
      </c>
    </row>
    <row r="58" spans="1:21" ht="13" x14ac:dyDescent="0.3">
      <c r="A58" s="79">
        <v>57</v>
      </c>
      <c r="B58" s="30" t="s">
        <v>59</v>
      </c>
      <c r="C58" s="68">
        <f>SUMIFS(Data!$H:$H,Data!$A:$A,Cataratorii!$B58,Data!$C:$C,Cataratorii!C$1)</f>
        <v>0</v>
      </c>
      <c r="D58" s="68">
        <f>SUMIFS(Data!$H:$H,Data!$A:$A,Cataratorii!$B58,Data!$C:$C,Cataratorii!D$1)</f>
        <v>0</v>
      </c>
      <c r="E58" s="68">
        <f>SUMIFS(Data!$H:$H,Data!$A:$A,Cataratorii!$B58,Data!$C:$C,Cataratorii!E$1)</f>
        <v>19</v>
      </c>
      <c r="F58" s="68">
        <f>SUMIFS(Data!$H:$H,Data!$A:$A,Cataratorii!$B58,Data!$C:$C,Cataratorii!F$1)</f>
        <v>0</v>
      </c>
      <c r="G58" s="68">
        <f>SUMIFS(Data!$H:$H,Data!$A:$A,Cataratorii!$B58,Data!$C:$C,Cataratorii!G$1)</f>
        <v>0</v>
      </c>
      <c r="H58" s="68">
        <f>SUMIFS(Data!$H:$H,Data!$A:$A,Cataratorii!$B58,Data!$C:$C,Cataratorii!H$1)</f>
        <v>0</v>
      </c>
      <c r="I58" s="68">
        <f>SUMIFS(Data!$H:$H,Data!$A:$A,Cataratorii!$B58,Data!$C:$C,Cataratorii!I$1)</f>
        <v>199</v>
      </c>
      <c r="J58" s="68">
        <f>SUMIFS(Data!$H:$H,Data!$A:$A,Cataratorii!$B58,Data!$C:$C,Cataratorii!J$1)</f>
        <v>0</v>
      </c>
      <c r="K58" s="68">
        <f>SUMIFS(Data!$H:$H,Data!$A:$A,Cataratorii!$B58,Data!$C:$C,Cataratorii!K$1)</f>
        <v>71</v>
      </c>
      <c r="L58" s="68">
        <f>SUMIFS(Data!$H:$H,Data!$A:$A,Cataratorii!$B58,Data!$C:$C,Cataratorii!L$1)</f>
        <v>171</v>
      </c>
      <c r="M58" s="68">
        <f>SUMIFS(Data!$H:$H,Data!$A:$A,Cataratorii!$B58,Data!$C:$C,Cataratorii!M$1)</f>
        <v>152</v>
      </c>
      <c r="N58" s="68">
        <f>SUMIFS(Data!$H:$H,Data!$A:$A,Cataratorii!$B58,Data!$C:$C,Cataratorii!N$1)</f>
        <v>182</v>
      </c>
      <c r="O58" s="68">
        <f>SUMIFS(Data!$H:$H,Data!$A:$A,Cataratorii!$B58,Data!$C:$C,Cataratorii!O$1)</f>
        <v>0</v>
      </c>
      <c r="P58" s="68">
        <f>SUMIFS(Data!$H:$H,Data!$A:$A,Cataratorii!$B58,Data!$C:$C,Cataratorii!P$1)</f>
        <v>0</v>
      </c>
      <c r="Q58" s="68">
        <f>SUMIFS(Data!$H:$H,Data!$A:$A,Cataratorii!$B58,Data!$C:$C,Cataratorii!Q$1)</f>
        <v>208</v>
      </c>
      <c r="R58" s="68">
        <f>SUM(C58:Q58)</f>
        <v>1002</v>
      </c>
      <c r="S58" s="31">
        <f>SUMIFS(Data!D:D,Data!A:A,Cataratorii!B58)</f>
        <v>162.49000000000004</v>
      </c>
      <c r="T58" s="1" t="str">
        <f>IF(VLOOKUP(B58,Participanti!A:D,4,0)=0," ","New")</f>
        <v xml:space="preserve"> </v>
      </c>
      <c r="U58" s="130">
        <f>R58/S58/1000</f>
        <v>6.1665333251276983E-3</v>
      </c>
    </row>
    <row r="59" spans="1:21" ht="13" x14ac:dyDescent="0.3">
      <c r="A59" s="79">
        <v>58</v>
      </c>
      <c r="B59" s="30" t="s">
        <v>367</v>
      </c>
      <c r="C59" s="68">
        <f>SUMIFS(Data!$H:$H,Data!$A:$A,Cataratorii!$B107,Data!$C:$C,Cataratorii!C$1)</f>
        <v>0</v>
      </c>
      <c r="D59" s="68">
        <f>SUMIFS(Data!$H:$H,Data!$A:$A,Cataratorii!$B107,Data!$C:$C,Cataratorii!D$1)</f>
        <v>0</v>
      </c>
      <c r="E59" s="68">
        <f>SUMIFS(Data!$H:$H,Data!$A:$A,Cataratorii!$B107,Data!$C:$C,Cataratorii!E$1)</f>
        <v>0</v>
      </c>
      <c r="F59" s="68">
        <f>SUMIFS(Data!$H:$H,Data!$A:$A,Cataratorii!$B107,Data!$C:$C,Cataratorii!F$1)</f>
        <v>0</v>
      </c>
      <c r="G59" s="68">
        <f>SUMIFS(Data!$H:$H,Data!$A:$A,Cataratorii!$B107,Data!$C:$C,Cataratorii!G$1)</f>
        <v>0</v>
      </c>
      <c r="H59" s="68">
        <f>SUMIFS(Data!$H:$H,Data!$A:$A,Cataratorii!$B107,Data!$C:$C,Cataratorii!H$1)</f>
        <v>0</v>
      </c>
      <c r="I59" s="68">
        <f>SUMIFS(Data!$H:$H,Data!$A:$A,Cataratorii!$B107,Data!$C:$C,Cataratorii!I$1)</f>
        <v>0</v>
      </c>
      <c r="J59" s="68">
        <f>SUMIFS(Data!$H:$H,Data!$A:$A,Cataratorii!$B107,Data!$C:$C,Cataratorii!J$1)</f>
        <v>0</v>
      </c>
      <c r="K59" s="68">
        <f>SUMIFS(Data!$H:$H,Data!$A:$A,Cataratorii!$B107,Data!$C:$C,Cataratorii!K$1)</f>
        <v>0</v>
      </c>
      <c r="L59" s="68">
        <f>SUMIFS(Data!$H:$H,Data!$A:$A,Cataratorii!$B107,Data!$C:$C,Cataratorii!L$1)</f>
        <v>0</v>
      </c>
      <c r="M59" s="68">
        <f>SUMIFS(Data!$H:$H,Data!$A:$A,Cataratorii!$B107,Data!$C:$C,Cataratorii!M$1)</f>
        <v>0</v>
      </c>
      <c r="N59" s="68">
        <f>SUMIFS(Data!$H:$H,Data!$A:$A,Cataratorii!$B107,Data!$C:$C,Cataratorii!N$1)</f>
        <v>0</v>
      </c>
      <c r="O59" s="68">
        <f>SUMIFS(Data!$H:$H,Data!$A:$A,Cataratorii!$B107,Data!$C:$C,Cataratorii!O$1)</f>
        <v>0</v>
      </c>
      <c r="P59" s="68">
        <f>SUMIFS(Data!$H:$H,Data!$A:$A,Cataratorii!$B107,Data!$C:$C,Cataratorii!P$1)</f>
        <v>0</v>
      </c>
      <c r="Q59" s="68">
        <f>SUMIFS(Data!$H:$H,Data!$A:$A,Cataratorii!$B107,Data!$C:$C,Cataratorii!Q$1)</f>
        <v>0</v>
      </c>
      <c r="R59" s="68">
        <f>SUM(C59:Q59)</f>
        <v>0</v>
      </c>
      <c r="S59" s="31">
        <f>SUMIFS(Data!D:D,Data!A:A,Cataratorii!B111)</f>
        <v>10.02</v>
      </c>
      <c r="T59" s="1" t="str">
        <f>IF(VLOOKUP(B59,Participanti!A:D,4,0)=0," ","New")</f>
        <v>New</v>
      </c>
      <c r="U59" s="130">
        <f>R59/S59/1000</f>
        <v>0</v>
      </c>
    </row>
    <row r="60" spans="1:21" ht="13" x14ac:dyDescent="0.3">
      <c r="A60" s="79">
        <v>59</v>
      </c>
      <c r="B60" s="30" t="s">
        <v>347</v>
      </c>
      <c r="C60" s="68">
        <f>SUMIFS(Data!$H:$H,Data!$A:$A,Cataratorii!$B60,Data!$C:$C,Cataratorii!C$1)</f>
        <v>0</v>
      </c>
      <c r="D60" s="68">
        <f>SUMIFS(Data!$H:$H,Data!$A:$A,Cataratorii!$B60,Data!$C:$C,Cataratorii!D$1)</f>
        <v>0</v>
      </c>
      <c r="E60" s="68">
        <f>SUMIFS(Data!$H:$H,Data!$A:$A,Cataratorii!$B60,Data!$C:$C,Cataratorii!E$1)</f>
        <v>91</v>
      </c>
      <c r="F60" s="68">
        <f>SUMIFS(Data!$H:$H,Data!$A:$A,Cataratorii!$B60,Data!$C:$C,Cataratorii!F$1)</f>
        <v>204</v>
      </c>
      <c r="G60" s="68">
        <f>SUMIFS(Data!$H:$H,Data!$A:$A,Cataratorii!$B60,Data!$C:$C,Cataratorii!G$1)</f>
        <v>0</v>
      </c>
      <c r="H60" s="68">
        <f>SUMIFS(Data!$H:$H,Data!$A:$A,Cataratorii!$B60,Data!$C:$C,Cataratorii!H$1)</f>
        <v>142</v>
      </c>
      <c r="I60" s="68">
        <f>SUMIFS(Data!$H:$H,Data!$A:$A,Cataratorii!$B60,Data!$C:$C,Cataratorii!I$1)</f>
        <v>203</v>
      </c>
      <c r="J60" s="68">
        <f>SUMIFS(Data!$H:$H,Data!$A:$A,Cataratorii!$B60,Data!$C:$C,Cataratorii!J$1)</f>
        <v>0</v>
      </c>
      <c r="K60" s="68">
        <f>SUMIFS(Data!$H:$H,Data!$A:$A,Cataratorii!$B60,Data!$C:$C,Cataratorii!K$1)</f>
        <v>88</v>
      </c>
      <c r="L60" s="68">
        <f>SUMIFS(Data!$H:$H,Data!$A:$A,Cataratorii!$B60,Data!$C:$C,Cataratorii!L$1)</f>
        <v>0</v>
      </c>
      <c r="M60" s="68">
        <f>SUMIFS(Data!$H:$H,Data!$A:$A,Cataratorii!$B60,Data!$C:$C,Cataratorii!M$1)</f>
        <v>0</v>
      </c>
      <c r="N60" s="68">
        <f>SUMIFS(Data!$H:$H,Data!$A:$A,Cataratorii!$B60,Data!$C:$C,Cataratorii!N$1)</f>
        <v>0</v>
      </c>
      <c r="O60" s="68">
        <f>SUMIFS(Data!$H:$H,Data!$A:$A,Cataratorii!$B60,Data!$C:$C,Cataratorii!O$1)</f>
        <v>0</v>
      </c>
      <c r="P60" s="68">
        <f>SUMIFS(Data!$H:$H,Data!$A:$A,Cataratorii!$B60,Data!$C:$C,Cataratorii!P$1)</f>
        <v>0</v>
      </c>
      <c r="Q60" s="68">
        <f>SUMIFS(Data!$H:$H,Data!$A:$A,Cataratorii!$B60,Data!$C:$C,Cataratorii!Q$1)</f>
        <v>99</v>
      </c>
      <c r="R60" s="68">
        <f>SUM(C60:Q60)</f>
        <v>827</v>
      </c>
      <c r="S60" s="31">
        <f>SUMIFS(Data!D:D,Data!A:A,Cataratorii!B63)</f>
        <v>105.65</v>
      </c>
      <c r="T60" s="1" t="str">
        <f>IF(VLOOKUP(B60,Participanti!A:D,4,0)=0," ","New")</f>
        <v>New</v>
      </c>
      <c r="U60" s="130">
        <f>R60/S60/1000</f>
        <v>7.8277330809275909E-3</v>
      </c>
    </row>
    <row r="61" spans="1:21" ht="13" x14ac:dyDescent="0.3">
      <c r="A61" s="79">
        <v>60</v>
      </c>
      <c r="B61" s="30" t="s">
        <v>430</v>
      </c>
      <c r="C61" s="68">
        <f>SUMIFS(Data!$H:$H,Data!$A:$A,Cataratorii!$B61,Data!$C:$C,Cataratorii!C$1)</f>
        <v>0</v>
      </c>
      <c r="D61" s="68">
        <f>SUMIFS(Data!$H:$H,Data!$A:$A,Cataratorii!$B61,Data!$C:$C,Cataratorii!D$1)</f>
        <v>0</v>
      </c>
      <c r="E61" s="68">
        <f>SUMIFS(Data!$H:$H,Data!$A:$A,Cataratorii!$B61,Data!$C:$C,Cataratorii!E$1)</f>
        <v>0</v>
      </c>
      <c r="F61" s="68">
        <f>SUMIFS(Data!$H:$H,Data!$A:$A,Cataratorii!$B61,Data!$C:$C,Cataratorii!F$1)</f>
        <v>0</v>
      </c>
      <c r="G61" s="68">
        <f>SUMIFS(Data!$H:$H,Data!$A:$A,Cataratorii!$B61,Data!$C:$C,Cataratorii!G$1)</f>
        <v>0</v>
      </c>
      <c r="H61" s="68">
        <f>SUMIFS(Data!$H:$H,Data!$A:$A,Cataratorii!$B61,Data!$C:$C,Cataratorii!H$1)</f>
        <v>0</v>
      </c>
      <c r="I61" s="68">
        <f>SUMIFS(Data!$H:$H,Data!$A:$A,Cataratorii!$B61,Data!$C:$C,Cataratorii!I$1)</f>
        <v>0</v>
      </c>
      <c r="J61" s="68">
        <f>SUMIFS(Data!$H:$H,Data!$A:$A,Cataratorii!$B61,Data!$C:$C,Cataratorii!J$1)</f>
        <v>0</v>
      </c>
      <c r="K61" s="68">
        <f>SUMIFS(Data!$H:$H,Data!$A:$A,Cataratorii!$B61,Data!$C:$C,Cataratorii!K$1)</f>
        <v>185</v>
      </c>
      <c r="L61" s="68">
        <f>SUMIFS(Data!$H:$H,Data!$A:$A,Cataratorii!$B61,Data!$C:$C,Cataratorii!L$1)</f>
        <v>186</v>
      </c>
      <c r="M61" s="68">
        <f>SUMIFS(Data!$H:$H,Data!$A:$A,Cataratorii!$B61,Data!$C:$C,Cataratorii!M$1)</f>
        <v>186</v>
      </c>
      <c r="N61" s="68">
        <f>SUMIFS(Data!$H:$H,Data!$A:$A,Cataratorii!$B61,Data!$C:$C,Cataratorii!N$1)</f>
        <v>132</v>
      </c>
      <c r="O61" s="68">
        <f>SUMIFS(Data!$H:$H,Data!$A:$A,Cataratorii!$B61,Data!$C:$C,Cataratorii!O$1)</f>
        <v>0</v>
      </c>
      <c r="P61" s="68">
        <f>SUMIFS(Data!$H:$H,Data!$A:$A,Cataratorii!$B61,Data!$C:$C,Cataratorii!P$1)</f>
        <v>82</v>
      </c>
      <c r="Q61" s="68">
        <f>SUMIFS(Data!$H:$H,Data!$A:$A,Cataratorii!$B61,Data!$C:$C,Cataratorii!Q$1)</f>
        <v>115</v>
      </c>
      <c r="R61" s="68">
        <f>SUM(C61:Q61)</f>
        <v>886</v>
      </c>
      <c r="S61" s="31">
        <f>SUMIFS(Data!D:D,Data!A:A,Cataratorii!B61)</f>
        <v>144.12</v>
      </c>
      <c r="T61" s="1" t="str">
        <f>IF(VLOOKUP(B61,Participanti!A:D,4,0)=0," ","New")</f>
        <v>New</v>
      </c>
      <c r="U61" s="130">
        <f>R61/S61/1000</f>
        <v>6.1476547321676379E-3</v>
      </c>
    </row>
    <row r="62" spans="1:21" ht="13" x14ac:dyDescent="0.3">
      <c r="A62" s="79">
        <v>61</v>
      </c>
      <c r="B62" s="30" t="s">
        <v>124</v>
      </c>
      <c r="C62" s="68">
        <f>SUMIFS(Data!$H:$H,Data!$A:$A,Cataratorii!$B62,Data!$C:$C,Cataratorii!C$1)</f>
        <v>0</v>
      </c>
      <c r="D62" s="68">
        <f>SUMIFS(Data!$H:$H,Data!$A:$A,Cataratorii!$B62,Data!$C:$C,Cataratorii!D$1)</f>
        <v>52</v>
      </c>
      <c r="E62" s="68">
        <f>SUMIFS(Data!$H:$H,Data!$A:$A,Cataratorii!$B62,Data!$C:$C,Cataratorii!E$1)</f>
        <v>247</v>
      </c>
      <c r="F62" s="68">
        <f>SUMIFS(Data!$H:$H,Data!$A:$A,Cataratorii!$B62,Data!$C:$C,Cataratorii!F$1)</f>
        <v>147</v>
      </c>
      <c r="G62" s="68">
        <f>SUMIFS(Data!$H:$H,Data!$A:$A,Cataratorii!$B62,Data!$C:$C,Cataratorii!G$1)</f>
        <v>0</v>
      </c>
      <c r="H62" s="68">
        <f>SUMIFS(Data!$H:$H,Data!$A:$A,Cataratorii!$B62,Data!$C:$C,Cataratorii!H$1)</f>
        <v>0</v>
      </c>
      <c r="I62" s="68">
        <f>SUMIFS(Data!$H:$H,Data!$A:$A,Cataratorii!$B62,Data!$C:$C,Cataratorii!I$1)</f>
        <v>116</v>
      </c>
      <c r="J62" s="68">
        <f>SUMIFS(Data!$H:$H,Data!$A:$A,Cataratorii!$B62,Data!$C:$C,Cataratorii!J$1)</f>
        <v>0</v>
      </c>
      <c r="K62" s="68">
        <f>SUMIFS(Data!$H:$H,Data!$A:$A,Cataratorii!$B62,Data!$C:$C,Cataratorii!K$1)</f>
        <v>0</v>
      </c>
      <c r="L62" s="68">
        <f>SUMIFS(Data!$H:$H,Data!$A:$A,Cataratorii!$B62,Data!$C:$C,Cataratorii!L$1)</f>
        <v>0</v>
      </c>
      <c r="M62" s="68">
        <f>SUMIFS(Data!$H:$H,Data!$A:$A,Cataratorii!$B62,Data!$C:$C,Cataratorii!M$1)</f>
        <v>0</v>
      </c>
      <c r="N62" s="68">
        <f>SUMIFS(Data!$H:$H,Data!$A:$A,Cataratorii!$B62,Data!$C:$C,Cataratorii!N$1)</f>
        <v>91</v>
      </c>
      <c r="O62" s="68">
        <f>SUMIFS(Data!$H:$H,Data!$A:$A,Cataratorii!$B62,Data!$C:$C,Cataratorii!O$1)</f>
        <v>0</v>
      </c>
      <c r="P62" s="68">
        <f>SUMIFS(Data!$H:$H,Data!$A:$A,Cataratorii!$B62,Data!$C:$C,Cataratorii!P$1)</f>
        <v>70</v>
      </c>
      <c r="Q62" s="68">
        <f>SUMIFS(Data!$H:$H,Data!$A:$A,Cataratorii!$B62,Data!$C:$C,Cataratorii!Q$1)</f>
        <v>0</v>
      </c>
      <c r="R62" s="68">
        <f>SUM(C62:Q62)</f>
        <v>723</v>
      </c>
      <c r="S62" s="31">
        <f>SUMIFS(Data!D:D,Data!A:A,Cataratorii!B64)</f>
        <v>215.45</v>
      </c>
      <c r="T62" s="1" t="str">
        <f>IF(VLOOKUP(B62,Participanti!A:D,4,0)=0," ","New")</f>
        <v xml:space="preserve"> </v>
      </c>
      <c r="U62" s="130">
        <f>R62/S62/1000</f>
        <v>3.355766999303783E-3</v>
      </c>
    </row>
    <row r="63" spans="1:21" ht="13" x14ac:dyDescent="0.3">
      <c r="A63" s="79">
        <v>62</v>
      </c>
      <c r="B63" s="30" t="s">
        <v>301</v>
      </c>
      <c r="C63" s="68">
        <f>SUMIFS(Data!$H:$H,Data!$A:$A,Cataratorii!$B63,Data!$C:$C,Cataratorii!C$1)</f>
        <v>182</v>
      </c>
      <c r="D63" s="68">
        <f>SUMIFS(Data!$H:$H,Data!$A:$A,Cataratorii!$B63,Data!$C:$C,Cataratorii!D$1)</f>
        <v>74</v>
      </c>
      <c r="E63" s="68">
        <f>SUMIFS(Data!$H:$H,Data!$A:$A,Cataratorii!$B63,Data!$C:$C,Cataratorii!E$1)</f>
        <v>0</v>
      </c>
      <c r="F63" s="68">
        <f>SUMIFS(Data!$H:$H,Data!$A:$A,Cataratorii!$B63,Data!$C:$C,Cataratorii!F$1)</f>
        <v>310</v>
      </c>
      <c r="G63" s="68">
        <f>SUMIFS(Data!$H:$H,Data!$A:$A,Cataratorii!$B63,Data!$C:$C,Cataratorii!G$1)</f>
        <v>0</v>
      </c>
      <c r="H63" s="68">
        <f>SUMIFS(Data!$H:$H,Data!$A:$A,Cataratorii!$B63,Data!$C:$C,Cataratorii!H$1)</f>
        <v>56</v>
      </c>
      <c r="I63" s="68">
        <f>SUMIFS(Data!$H:$H,Data!$A:$A,Cataratorii!$B63,Data!$C:$C,Cataratorii!I$1)</f>
        <v>0</v>
      </c>
      <c r="J63" s="68">
        <f>SUMIFS(Data!$H:$H,Data!$A:$A,Cataratorii!$B63,Data!$C:$C,Cataratorii!J$1)</f>
        <v>0</v>
      </c>
      <c r="K63" s="68">
        <f>SUMIFS(Data!$H:$H,Data!$A:$A,Cataratorii!$B63,Data!$C:$C,Cataratorii!K$1)</f>
        <v>0</v>
      </c>
      <c r="L63" s="68">
        <f>SUMIFS(Data!$H:$H,Data!$A:$A,Cataratorii!$B63,Data!$C:$C,Cataratorii!L$1)</f>
        <v>0</v>
      </c>
      <c r="M63" s="68">
        <f>SUMIFS(Data!$H:$H,Data!$A:$A,Cataratorii!$B63,Data!$C:$C,Cataratorii!M$1)</f>
        <v>0</v>
      </c>
      <c r="N63" s="68">
        <f>SUMIFS(Data!$H:$H,Data!$A:$A,Cataratorii!$B63,Data!$C:$C,Cataratorii!N$1)</f>
        <v>0</v>
      </c>
      <c r="O63" s="68">
        <f>SUMIFS(Data!$H:$H,Data!$A:$A,Cataratorii!$B63,Data!$C:$C,Cataratorii!O$1)</f>
        <v>0</v>
      </c>
      <c r="P63" s="68">
        <f>SUMIFS(Data!$H:$H,Data!$A:$A,Cataratorii!$B63,Data!$C:$C,Cataratorii!P$1)</f>
        <v>0</v>
      </c>
      <c r="Q63" s="68">
        <f>SUMIFS(Data!$H:$H,Data!$A:$A,Cataratorii!$B63,Data!$C:$C,Cataratorii!Q$1)</f>
        <v>0</v>
      </c>
      <c r="R63" s="68">
        <f>SUM(C63:Q63)</f>
        <v>622</v>
      </c>
      <c r="S63" s="31">
        <f>SUMIFS(Data!D:D,Data!A:A,Cataratorii!B65)</f>
        <v>98.219999999999985</v>
      </c>
      <c r="T63" s="1" t="str">
        <f>IF(VLOOKUP(B63,Participanti!A:D,4,0)=0," ","New")</f>
        <v xml:space="preserve"> </v>
      </c>
      <c r="U63" s="130">
        <f>R63/S63/1000</f>
        <v>6.3327224597841585E-3</v>
      </c>
    </row>
    <row r="64" spans="1:21" ht="13" x14ac:dyDescent="0.3">
      <c r="A64" s="79">
        <v>63</v>
      </c>
      <c r="B64" s="30" t="s">
        <v>133</v>
      </c>
      <c r="C64" s="68">
        <f>SUMIFS(Data!$H:$H,Data!$A:$A,Cataratorii!$B64,Data!$C:$C,Cataratorii!C$1)</f>
        <v>1</v>
      </c>
      <c r="D64" s="68">
        <f>SUMIFS(Data!$H:$H,Data!$A:$A,Cataratorii!$B64,Data!$C:$C,Cataratorii!D$1)</f>
        <v>0</v>
      </c>
      <c r="E64" s="68">
        <f>SUMIFS(Data!$H:$H,Data!$A:$A,Cataratorii!$B64,Data!$C:$C,Cataratorii!E$1)</f>
        <v>205</v>
      </c>
      <c r="F64" s="68">
        <f>SUMIFS(Data!$H:$H,Data!$A:$A,Cataratorii!$B64,Data!$C:$C,Cataratorii!F$1)</f>
        <v>123</v>
      </c>
      <c r="G64" s="68">
        <f>SUMIFS(Data!$H:$H,Data!$A:$A,Cataratorii!$B64,Data!$C:$C,Cataratorii!G$1)</f>
        <v>0</v>
      </c>
      <c r="H64" s="68">
        <f>SUMIFS(Data!$H:$H,Data!$A:$A,Cataratorii!$B64,Data!$C:$C,Cataratorii!H$1)</f>
        <v>0</v>
      </c>
      <c r="I64" s="68">
        <f>SUMIFS(Data!$H:$H,Data!$A:$A,Cataratorii!$B64,Data!$C:$C,Cataratorii!I$1)</f>
        <v>284</v>
      </c>
      <c r="J64" s="68">
        <f>SUMIFS(Data!$H:$H,Data!$A:$A,Cataratorii!$B64,Data!$C:$C,Cataratorii!J$1)</f>
        <v>0</v>
      </c>
      <c r="K64" s="68">
        <f>SUMIFS(Data!$H:$H,Data!$A:$A,Cataratorii!$B64,Data!$C:$C,Cataratorii!K$1)</f>
        <v>0</v>
      </c>
      <c r="L64" s="68">
        <f>SUMIFS(Data!$H:$H,Data!$A:$A,Cataratorii!$B64,Data!$C:$C,Cataratorii!L$1)</f>
        <v>0</v>
      </c>
      <c r="M64" s="68">
        <f>SUMIFS(Data!$H:$H,Data!$A:$A,Cataratorii!$B64,Data!$C:$C,Cataratorii!M$1)</f>
        <v>0</v>
      </c>
      <c r="N64" s="68">
        <f>SUMIFS(Data!$H:$H,Data!$A:$A,Cataratorii!$B64,Data!$C:$C,Cataratorii!N$1)</f>
        <v>0</v>
      </c>
      <c r="O64" s="68">
        <f>SUMIFS(Data!$H:$H,Data!$A:$A,Cataratorii!$B64,Data!$C:$C,Cataratorii!O$1)</f>
        <v>0</v>
      </c>
      <c r="P64" s="68">
        <f>SUMIFS(Data!$H:$H,Data!$A:$A,Cataratorii!$B64,Data!$C:$C,Cataratorii!P$1)</f>
        <v>0</v>
      </c>
      <c r="Q64" s="68">
        <f>SUMIFS(Data!$H:$H,Data!$A:$A,Cataratorii!$B64,Data!$C:$C,Cataratorii!Q$1)</f>
        <v>0</v>
      </c>
      <c r="R64" s="68">
        <f>SUM(C64:Q64)</f>
        <v>613</v>
      </c>
      <c r="S64" s="31">
        <f>SUMIFS(Data!D:D,Data!A:A,Cataratorii!B66)</f>
        <v>191.81</v>
      </c>
      <c r="T64" s="1" t="str">
        <f>IF(VLOOKUP(B64,Participanti!A:D,4,0)=0," ","New")</f>
        <v xml:space="preserve"> </v>
      </c>
      <c r="U64" s="130">
        <f>R64/S64/1000</f>
        <v>3.1958709139252384E-3</v>
      </c>
    </row>
    <row r="65" spans="1:21" ht="13" x14ac:dyDescent="0.3">
      <c r="A65" s="79">
        <v>64</v>
      </c>
      <c r="B65" s="30" t="s">
        <v>370</v>
      </c>
      <c r="C65" s="68">
        <f>SUMIFS(Data!$H:$H,Data!$A:$A,Cataratorii!$B65,Data!$C:$C,Cataratorii!C$1)</f>
        <v>0</v>
      </c>
      <c r="D65" s="68">
        <f>SUMIFS(Data!$H:$H,Data!$A:$A,Cataratorii!$B65,Data!$C:$C,Cataratorii!D$1)</f>
        <v>0</v>
      </c>
      <c r="E65" s="68">
        <f>SUMIFS(Data!$H:$H,Data!$A:$A,Cataratorii!$B65,Data!$C:$C,Cataratorii!E$1)</f>
        <v>0</v>
      </c>
      <c r="F65" s="68">
        <f>SUMIFS(Data!$H:$H,Data!$A:$A,Cataratorii!$B65,Data!$C:$C,Cataratorii!F$1)</f>
        <v>0</v>
      </c>
      <c r="G65" s="68">
        <f>SUMIFS(Data!$H:$H,Data!$A:$A,Cataratorii!$B65,Data!$C:$C,Cataratorii!G$1)</f>
        <v>0</v>
      </c>
      <c r="H65" s="68">
        <f>SUMIFS(Data!$H:$H,Data!$A:$A,Cataratorii!$B65,Data!$C:$C,Cataratorii!H$1)</f>
        <v>0</v>
      </c>
      <c r="I65" s="68">
        <f>SUMIFS(Data!$H:$H,Data!$A:$A,Cataratorii!$B65,Data!$C:$C,Cataratorii!I$1)</f>
        <v>84</v>
      </c>
      <c r="J65" s="68">
        <f>SUMIFS(Data!$H:$H,Data!$A:$A,Cataratorii!$B65,Data!$C:$C,Cataratorii!J$1)</f>
        <v>0</v>
      </c>
      <c r="K65" s="68">
        <f>SUMIFS(Data!$H:$H,Data!$A:$A,Cataratorii!$B65,Data!$C:$C,Cataratorii!K$1)</f>
        <v>0</v>
      </c>
      <c r="L65" s="68">
        <f>SUMIFS(Data!$H:$H,Data!$A:$A,Cataratorii!$B65,Data!$C:$C,Cataratorii!L$1)</f>
        <v>0</v>
      </c>
      <c r="M65" s="68">
        <f>SUMIFS(Data!$H:$H,Data!$A:$A,Cataratorii!$B65,Data!$C:$C,Cataratorii!M$1)</f>
        <v>0</v>
      </c>
      <c r="N65" s="68">
        <f>SUMIFS(Data!$H:$H,Data!$A:$A,Cataratorii!$B65,Data!$C:$C,Cataratorii!N$1)</f>
        <v>0</v>
      </c>
      <c r="O65" s="68">
        <f>SUMIFS(Data!$H:$H,Data!$A:$A,Cataratorii!$B65,Data!$C:$C,Cataratorii!O$1)</f>
        <v>523</v>
      </c>
      <c r="P65" s="68">
        <f>SUMIFS(Data!$H:$H,Data!$A:$A,Cataratorii!$B65,Data!$C:$C,Cataratorii!P$1)</f>
        <v>0</v>
      </c>
      <c r="Q65" s="68">
        <f>SUMIFS(Data!$H:$H,Data!$A:$A,Cataratorii!$B65,Data!$C:$C,Cataratorii!Q$1)</f>
        <v>0</v>
      </c>
      <c r="R65" s="68">
        <f>SUM(C65:Q65)</f>
        <v>607</v>
      </c>
      <c r="S65" s="31">
        <f>SUMIFS(Data!D:D,Data!A:A,Cataratorii!B67)</f>
        <v>354.81</v>
      </c>
      <c r="T65" s="1" t="str">
        <f>IF(VLOOKUP(B65,Participanti!A:D,4,0)=0," ","New")</f>
        <v>New</v>
      </c>
      <c r="U65" s="130">
        <f>R65/S65/1000</f>
        <v>1.7107747808686341E-3</v>
      </c>
    </row>
    <row r="66" spans="1:21" ht="13" x14ac:dyDescent="0.3">
      <c r="A66" s="79">
        <v>65</v>
      </c>
      <c r="B66" s="30" t="s">
        <v>203</v>
      </c>
      <c r="C66" s="68">
        <f>SUMIFS(Data!$H:$H,Data!$A:$A,Cataratorii!$B66,Data!$C:$C,Cataratorii!C$1)</f>
        <v>70</v>
      </c>
      <c r="D66" s="68">
        <f>SUMIFS(Data!$H:$H,Data!$A:$A,Cataratorii!$B66,Data!$C:$C,Cataratorii!D$1)</f>
        <v>0</v>
      </c>
      <c r="E66" s="68">
        <f>SUMIFS(Data!$H:$H,Data!$A:$A,Cataratorii!$B66,Data!$C:$C,Cataratorii!E$1)</f>
        <v>86</v>
      </c>
      <c r="F66" s="68">
        <f>SUMIFS(Data!$H:$H,Data!$A:$A,Cataratorii!$B66,Data!$C:$C,Cataratorii!F$1)</f>
        <v>0</v>
      </c>
      <c r="G66" s="68">
        <f>SUMIFS(Data!$H:$H,Data!$A:$A,Cataratorii!$B66,Data!$C:$C,Cataratorii!G$1)</f>
        <v>72</v>
      </c>
      <c r="H66" s="68">
        <f>SUMIFS(Data!$H:$H,Data!$A:$A,Cataratorii!$B66,Data!$C:$C,Cataratorii!H$1)</f>
        <v>0</v>
      </c>
      <c r="I66" s="68">
        <f>SUMIFS(Data!$H:$H,Data!$A:$A,Cataratorii!$B66,Data!$C:$C,Cataratorii!I$1)</f>
        <v>0</v>
      </c>
      <c r="J66" s="68">
        <f>SUMIFS(Data!$H:$H,Data!$A:$A,Cataratorii!$B66,Data!$C:$C,Cataratorii!J$1)</f>
        <v>0</v>
      </c>
      <c r="K66" s="68">
        <f>SUMIFS(Data!$H:$H,Data!$A:$A,Cataratorii!$B66,Data!$C:$C,Cataratorii!K$1)</f>
        <v>77</v>
      </c>
      <c r="L66" s="68">
        <f>SUMIFS(Data!$H:$H,Data!$A:$A,Cataratorii!$B66,Data!$C:$C,Cataratorii!L$1)</f>
        <v>221</v>
      </c>
      <c r="M66" s="68">
        <f>SUMIFS(Data!$H:$H,Data!$A:$A,Cataratorii!$B66,Data!$C:$C,Cataratorii!M$1)</f>
        <v>0</v>
      </c>
      <c r="N66" s="68">
        <f>SUMIFS(Data!$H:$H,Data!$A:$A,Cataratorii!$B66,Data!$C:$C,Cataratorii!N$1)</f>
        <v>0</v>
      </c>
      <c r="O66" s="68">
        <f>SUMIFS(Data!$H:$H,Data!$A:$A,Cataratorii!$B66,Data!$C:$C,Cataratorii!O$1)</f>
        <v>0</v>
      </c>
      <c r="P66" s="68">
        <f>SUMIFS(Data!$H:$H,Data!$A:$A,Cataratorii!$B66,Data!$C:$C,Cataratorii!P$1)</f>
        <v>0</v>
      </c>
      <c r="Q66" s="68">
        <f>SUMIFS(Data!$H:$H,Data!$A:$A,Cataratorii!$B66,Data!$C:$C,Cataratorii!Q$1)</f>
        <v>0</v>
      </c>
      <c r="R66" s="68">
        <f>SUM(C66:Q66)</f>
        <v>526</v>
      </c>
      <c r="S66" s="31">
        <f>SUMIFS(Data!D:D,Data!A:A,Cataratorii!B68)</f>
        <v>150.22</v>
      </c>
      <c r="T66" s="1" t="str">
        <f>IF(VLOOKUP(B66,Participanti!A:D,4,0)=0," ","New")</f>
        <v xml:space="preserve"> </v>
      </c>
      <c r="U66" s="130">
        <f>R66/S66/1000</f>
        <v>3.5015310877379844E-3</v>
      </c>
    </row>
    <row r="67" spans="1:21" ht="13" x14ac:dyDescent="0.3">
      <c r="A67" s="79">
        <v>66</v>
      </c>
      <c r="B67" s="30" t="s">
        <v>128</v>
      </c>
      <c r="C67" s="68">
        <f>SUMIFS(Data!$H:$H,Data!$A:$A,Cataratorii!$B67,Data!$C:$C,Cataratorii!C$1)</f>
        <v>0</v>
      </c>
      <c r="D67" s="68">
        <f>SUMIFS(Data!$H:$H,Data!$A:$A,Cataratorii!$B67,Data!$C:$C,Cataratorii!D$1)</f>
        <v>52</v>
      </c>
      <c r="E67" s="68">
        <f>SUMIFS(Data!$H:$H,Data!$A:$A,Cataratorii!$B67,Data!$C:$C,Cataratorii!E$1)</f>
        <v>67</v>
      </c>
      <c r="F67" s="68">
        <f>SUMIFS(Data!$H:$H,Data!$A:$A,Cataratorii!$B67,Data!$C:$C,Cataratorii!F$1)</f>
        <v>0</v>
      </c>
      <c r="G67" s="68">
        <f>SUMIFS(Data!$H:$H,Data!$A:$A,Cataratorii!$B67,Data!$C:$C,Cataratorii!G$1)</f>
        <v>64</v>
      </c>
      <c r="H67" s="68">
        <f>SUMIFS(Data!$H:$H,Data!$A:$A,Cataratorii!$B67,Data!$C:$C,Cataratorii!H$1)</f>
        <v>0</v>
      </c>
      <c r="I67" s="68">
        <f>SUMIFS(Data!$H:$H,Data!$A:$A,Cataratorii!$B67,Data!$C:$C,Cataratorii!I$1)</f>
        <v>98</v>
      </c>
      <c r="J67" s="68">
        <f>SUMIFS(Data!$H:$H,Data!$A:$A,Cataratorii!$B67,Data!$C:$C,Cataratorii!J$1)</f>
        <v>0</v>
      </c>
      <c r="K67" s="68">
        <f>SUMIFS(Data!$H:$H,Data!$A:$A,Cataratorii!$B67,Data!$C:$C,Cataratorii!K$1)</f>
        <v>68</v>
      </c>
      <c r="L67" s="68">
        <f>SUMIFS(Data!$H:$H,Data!$A:$A,Cataratorii!$B67,Data!$C:$C,Cataratorii!L$1)</f>
        <v>72</v>
      </c>
      <c r="M67" s="68">
        <f>SUMIFS(Data!$H:$H,Data!$A:$A,Cataratorii!$B67,Data!$C:$C,Cataratorii!M$1)</f>
        <v>102</v>
      </c>
      <c r="N67" s="68">
        <f>SUMIFS(Data!$H:$H,Data!$A:$A,Cataratorii!$B67,Data!$C:$C,Cataratorii!N$1)</f>
        <v>0</v>
      </c>
      <c r="O67" s="68">
        <f>SUMIFS(Data!$H:$H,Data!$A:$A,Cataratorii!$B67,Data!$C:$C,Cataratorii!O$1)</f>
        <v>0</v>
      </c>
      <c r="P67" s="68">
        <f>SUMIFS(Data!$H:$H,Data!$A:$A,Cataratorii!$B67,Data!$C:$C,Cataratorii!P$1)</f>
        <v>0</v>
      </c>
      <c r="Q67" s="68">
        <f>SUMIFS(Data!$H:$H,Data!$A:$A,Cataratorii!$B67,Data!$C:$C,Cataratorii!Q$1)</f>
        <v>0</v>
      </c>
      <c r="R67" s="68">
        <f>SUM(C67:Q67)</f>
        <v>523</v>
      </c>
      <c r="S67" s="31">
        <f>SUMIFS(Data!D:D,Data!A:A,Cataratorii!B69)</f>
        <v>153.13</v>
      </c>
      <c r="T67" s="1" t="str">
        <f>IF(VLOOKUP(B67,Participanti!A:D,4,0)=0," ","New")</f>
        <v>New</v>
      </c>
      <c r="U67" s="130">
        <f>R67/S67/1000</f>
        <v>3.4153986808594006E-3</v>
      </c>
    </row>
    <row r="68" spans="1:21" ht="13" x14ac:dyDescent="0.3">
      <c r="A68" s="79">
        <v>67</v>
      </c>
      <c r="B68" s="30" t="s">
        <v>343</v>
      </c>
      <c r="C68" s="68">
        <f>SUMIFS(Data!$H:$H,Data!$A:$A,Cataratorii!$B68,Data!$C:$C,Cataratorii!C$1)</f>
        <v>22</v>
      </c>
      <c r="D68" s="68">
        <f>SUMIFS(Data!$H:$H,Data!$A:$A,Cataratorii!$B68,Data!$C:$C,Cataratorii!D$1)</f>
        <v>0</v>
      </c>
      <c r="E68" s="68">
        <f>SUMIFS(Data!$H:$H,Data!$A:$A,Cataratorii!$B68,Data!$C:$C,Cataratorii!E$1)</f>
        <v>85</v>
      </c>
      <c r="F68" s="68">
        <f>SUMIFS(Data!$H:$H,Data!$A:$A,Cataratorii!$B68,Data!$C:$C,Cataratorii!F$1)</f>
        <v>0</v>
      </c>
      <c r="G68" s="68">
        <f>SUMIFS(Data!$H:$H,Data!$A:$A,Cataratorii!$B68,Data!$C:$C,Cataratorii!G$1)</f>
        <v>136</v>
      </c>
      <c r="H68" s="68">
        <f>SUMIFS(Data!$H:$H,Data!$A:$A,Cataratorii!$B68,Data!$C:$C,Cataratorii!H$1)</f>
        <v>0</v>
      </c>
      <c r="I68" s="68">
        <f>SUMIFS(Data!$H:$H,Data!$A:$A,Cataratorii!$B68,Data!$C:$C,Cataratorii!I$1)</f>
        <v>161</v>
      </c>
      <c r="J68" s="68">
        <f>SUMIFS(Data!$H:$H,Data!$A:$A,Cataratorii!$B68,Data!$C:$C,Cataratorii!J$1)</f>
        <v>0</v>
      </c>
      <c r="K68" s="68">
        <f>SUMIFS(Data!$H:$H,Data!$A:$A,Cataratorii!$B68,Data!$C:$C,Cataratorii!K$1)</f>
        <v>80</v>
      </c>
      <c r="L68" s="68">
        <f>SUMIFS(Data!$H:$H,Data!$A:$A,Cataratorii!$B68,Data!$C:$C,Cataratorii!L$1)</f>
        <v>0</v>
      </c>
      <c r="M68" s="68">
        <f>SUMIFS(Data!$H:$H,Data!$A:$A,Cataratorii!$B68,Data!$C:$C,Cataratorii!M$1)</f>
        <v>0</v>
      </c>
      <c r="N68" s="68">
        <f>SUMIFS(Data!$H:$H,Data!$A:$A,Cataratorii!$B68,Data!$C:$C,Cataratorii!N$1)</f>
        <v>0</v>
      </c>
      <c r="O68" s="68">
        <f>SUMIFS(Data!$H:$H,Data!$A:$A,Cataratorii!$B68,Data!$C:$C,Cataratorii!O$1)</f>
        <v>0</v>
      </c>
      <c r="P68" s="68">
        <f>SUMIFS(Data!$H:$H,Data!$A:$A,Cataratorii!$B68,Data!$C:$C,Cataratorii!P$1)</f>
        <v>0</v>
      </c>
      <c r="Q68" s="68">
        <f>SUMIFS(Data!$H:$H,Data!$A:$A,Cataratorii!$B68,Data!$C:$C,Cataratorii!Q$1)</f>
        <v>0</v>
      </c>
      <c r="R68" s="68">
        <f>SUM(C68:Q68)</f>
        <v>484</v>
      </c>
      <c r="S68" s="31">
        <f>SUMIFS(Data!D:D,Data!A:A,Cataratorii!B71)</f>
        <v>132.47</v>
      </c>
      <c r="T68" s="1" t="str">
        <f>IF(VLOOKUP(B68,Participanti!A:D,4,0)=0," ","New")</f>
        <v>New</v>
      </c>
      <c r="U68" s="130">
        <f>R68/S68/1000</f>
        <v>3.6536574318713671E-3</v>
      </c>
    </row>
    <row r="69" spans="1:21" ht="13" x14ac:dyDescent="0.3">
      <c r="A69" s="79">
        <v>68</v>
      </c>
      <c r="B69" s="30" t="s">
        <v>378</v>
      </c>
      <c r="C69" s="68">
        <f>SUMIFS(Data!$H:$H,Data!$A:$A,Cataratorii!$B69,Data!$C:$C,Cataratorii!C$1)</f>
        <v>91</v>
      </c>
      <c r="D69" s="68">
        <f>SUMIFS(Data!$H:$H,Data!$A:$A,Cataratorii!$B69,Data!$C:$C,Cataratorii!D$1)</f>
        <v>0</v>
      </c>
      <c r="E69" s="68">
        <f>SUMIFS(Data!$H:$H,Data!$A:$A,Cataratorii!$B69,Data!$C:$C,Cataratorii!E$1)</f>
        <v>0</v>
      </c>
      <c r="F69" s="68">
        <f>SUMIFS(Data!$H:$H,Data!$A:$A,Cataratorii!$B69,Data!$C:$C,Cataratorii!F$1)</f>
        <v>0</v>
      </c>
      <c r="G69" s="68">
        <f>SUMIFS(Data!$H:$H,Data!$A:$A,Cataratorii!$B69,Data!$C:$C,Cataratorii!G$1)</f>
        <v>0</v>
      </c>
      <c r="H69" s="68">
        <f>SUMIFS(Data!$H:$H,Data!$A:$A,Cataratorii!$B69,Data!$C:$C,Cataratorii!H$1)</f>
        <v>50</v>
      </c>
      <c r="I69" s="68">
        <f>SUMIFS(Data!$H:$H,Data!$A:$A,Cataratorii!$B69,Data!$C:$C,Cataratorii!I$1)</f>
        <v>102</v>
      </c>
      <c r="J69" s="68">
        <f>SUMIFS(Data!$H:$H,Data!$A:$A,Cataratorii!$B69,Data!$C:$C,Cataratorii!J$1)</f>
        <v>0</v>
      </c>
      <c r="K69" s="68">
        <f>SUMIFS(Data!$H:$H,Data!$A:$A,Cataratorii!$B69,Data!$C:$C,Cataratorii!K$1)</f>
        <v>54</v>
      </c>
      <c r="L69" s="68">
        <f>SUMIFS(Data!$H:$H,Data!$A:$A,Cataratorii!$B69,Data!$C:$C,Cataratorii!L$1)</f>
        <v>0</v>
      </c>
      <c r="M69" s="68">
        <f>SUMIFS(Data!$H:$H,Data!$A:$A,Cataratorii!$B69,Data!$C:$C,Cataratorii!M$1)</f>
        <v>0</v>
      </c>
      <c r="N69" s="68">
        <f>SUMIFS(Data!$H:$H,Data!$A:$A,Cataratorii!$B69,Data!$C:$C,Cataratorii!N$1)</f>
        <v>71</v>
      </c>
      <c r="O69" s="68">
        <f>SUMIFS(Data!$H:$H,Data!$A:$A,Cataratorii!$B69,Data!$C:$C,Cataratorii!O$1)</f>
        <v>80</v>
      </c>
      <c r="P69" s="68">
        <f>SUMIFS(Data!$H:$H,Data!$A:$A,Cataratorii!$B69,Data!$C:$C,Cataratorii!P$1)</f>
        <v>0</v>
      </c>
      <c r="Q69" s="68">
        <f>SUMIFS(Data!$H:$H,Data!$A:$A,Cataratorii!$B69,Data!$C:$C,Cataratorii!Q$1)</f>
        <v>0</v>
      </c>
      <c r="R69" s="68">
        <f>SUM(C69:Q69)</f>
        <v>448</v>
      </c>
      <c r="S69" s="31">
        <f>SUMIFS(Data!D:D,Data!A:A,Cataratorii!B72)</f>
        <v>64.108472222222218</v>
      </c>
      <c r="T69" s="1" t="str">
        <f>IF(VLOOKUP(B69,Participanti!A:D,4,0)=0," ","New")</f>
        <v>New</v>
      </c>
      <c r="U69" s="130">
        <f>R69/S69/1000</f>
        <v>6.9881559249622494E-3</v>
      </c>
    </row>
    <row r="70" spans="1:21" ht="13" x14ac:dyDescent="0.3">
      <c r="A70" s="79">
        <v>69</v>
      </c>
      <c r="B70" s="30" t="s">
        <v>345</v>
      </c>
      <c r="C70" s="68">
        <f>SUMIFS(Data!$H:$H,Data!$A:$A,Cataratorii!$B70,Data!$C:$C,Cataratorii!C$1)</f>
        <v>0</v>
      </c>
      <c r="D70" s="68">
        <f>SUMIFS(Data!$H:$H,Data!$A:$A,Cataratorii!$B70,Data!$C:$C,Cataratorii!D$1)</f>
        <v>62</v>
      </c>
      <c r="E70" s="68">
        <f>SUMIFS(Data!$H:$H,Data!$A:$A,Cataratorii!$B70,Data!$C:$C,Cataratorii!E$1)</f>
        <v>43</v>
      </c>
      <c r="F70" s="68">
        <f>SUMIFS(Data!$H:$H,Data!$A:$A,Cataratorii!$B70,Data!$C:$C,Cataratorii!F$1)</f>
        <v>0</v>
      </c>
      <c r="G70" s="68">
        <f>SUMIFS(Data!$H:$H,Data!$A:$A,Cataratorii!$B70,Data!$C:$C,Cataratorii!G$1)</f>
        <v>87</v>
      </c>
      <c r="H70" s="68">
        <f>SUMIFS(Data!$H:$H,Data!$A:$A,Cataratorii!$B70,Data!$C:$C,Cataratorii!H$1)</f>
        <v>0</v>
      </c>
      <c r="I70" s="68">
        <f>SUMIFS(Data!$H:$H,Data!$A:$A,Cataratorii!$B70,Data!$C:$C,Cataratorii!I$1)</f>
        <v>0</v>
      </c>
      <c r="J70" s="68">
        <f>SUMIFS(Data!$H:$H,Data!$A:$A,Cataratorii!$B70,Data!$C:$C,Cataratorii!J$1)</f>
        <v>0</v>
      </c>
      <c r="K70" s="68">
        <f>SUMIFS(Data!$H:$H,Data!$A:$A,Cataratorii!$B70,Data!$C:$C,Cataratorii!K$1)</f>
        <v>75</v>
      </c>
      <c r="L70" s="68">
        <f>SUMIFS(Data!$H:$H,Data!$A:$A,Cataratorii!$B70,Data!$C:$C,Cataratorii!L$1)</f>
        <v>0</v>
      </c>
      <c r="M70" s="68">
        <f>SUMIFS(Data!$H:$H,Data!$A:$A,Cataratorii!$B70,Data!$C:$C,Cataratorii!M$1)</f>
        <v>63</v>
      </c>
      <c r="N70" s="68">
        <f>SUMIFS(Data!$H:$H,Data!$A:$A,Cataratorii!$B70,Data!$C:$C,Cataratorii!N$1)</f>
        <v>0</v>
      </c>
      <c r="O70" s="68">
        <f>SUMIFS(Data!$H:$H,Data!$A:$A,Cataratorii!$B70,Data!$C:$C,Cataratorii!O$1)</f>
        <v>84</v>
      </c>
      <c r="P70" s="68">
        <f>SUMIFS(Data!$H:$H,Data!$A:$A,Cataratorii!$B70,Data!$C:$C,Cataratorii!P$1)</f>
        <v>0</v>
      </c>
      <c r="Q70" s="68">
        <f>SUMIFS(Data!$H:$H,Data!$A:$A,Cataratorii!$B70,Data!$C:$C,Cataratorii!Q$1)</f>
        <v>100</v>
      </c>
      <c r="R70" s="68">
        <f>SUM(C70:Q70)</f>
        <v>514</v>
      </c>
      <c r="S70" s="31">
        <f>SUMIFS(Data!D:D,Data!A:A,Cataratorii!B70)</f>
        <v>145.96</v>
      </c>
      <c r="T70" s="1" t="str">
        <f>IF(VLOOKUP(B70,Participanti!A:D,4,0)=0," ","New")</f>
        <v>New</v>
      </c>
      <c r="U70" s="130">
        <f>R70/S70/1000</f>
        <v>3.5215127432173198E-3</v>
      </c>
    </row>
    <row r="71" spans="1:21" ht="13" x14ac:dyDescent="0.3">
      <c r="A71" s="79">
        <v>70</v>
      </c>
      <c r="B71" s="30" t="s">
        <v>293</v>
      </c>
      <c r="C71" s="68">
        <f>SUMIFS(Data!$H:$H,Data!$A:$A,Cataratorii!$B71,Data!$C:$C,Cataratorii!C$1)</f>
        <v>0</v>
      </c>
      <c r="D71" s="68">
        <f>SUMIFS(Data!$H:$H,Data!$A:$A,Cataratorii!$B71,Data!$C:$C,Cataratorii!D$1)</f>
        <v>63</v>
      </c>
      <c r="E71" s="68">
        <f>SUMIFS(Data!$H:$H,Data!$A:$A,Cataratorii!$B71,Data!$C:$C,Cataratorii!E$1)</f>
        <v>127</v>
      </c>
      <c r="F71" s="68">
        <f>SUMIFS(Data!$H:$H,Data!$A:$A,Cataratorii!$B71,Data!$C:$C,Cataratorii!F$1)</f>
        <v>132</v>
      </c>
      <c r="G71" s="68">
        <f>SUMIFS(Data!$H:$H,Data!$A:$A,Cataratorii!$B71,Data!$C:$C,Cataratorii!G$1)</f>
        <v>56</v>
      </c>
      <c r="H71" s="68">
        <f>SUMIFS(Data!$H:$H,Data!$A:$A,Cataratorii!$B71,Data!$C:$C,Cataratorii!H$1)</f>
        <v>0</v>
      </c>
      <c r="I71" s="68">
        <f>SUMIFS(Data!$H:$H,Data!$A:$A,Cataratorii!$B71,Data!$C:$C,Cataratorii!I$1)</f>
        <v>0</v>
      </c>
      <c r="J71" s="68">
        <f>SUMIFS(Data!$H:$H,Data!$A:$A,Cataratorii!$B71,Data!$C:$C,Cataratorii!J$1)</f>
        <v>0</v>
      </c>
      <c r="K71" s="68">
        <f>SUMIFS(Data!$H:$H,Data!$A:$A,Cataratorii!$B71,Data!$C:$C,Cataratorii!K$1)</f>
        <v>0</v>
      </c>
      <c r="L71" s="68">
        <f>SUMIFS(Data!$H:$H,Data!$A:$A,Cataratorii!$B71,Data!$C:$C,Cataratorii!L$1)</f>
        <v>0</v>
      </c>
      <c r="M71" s="68">
        <f>SUMIFS(Data!$H:$H,Data!$A:$A,Cataratorii!$B71,Data!$C:$C,Cataratorii!M$1)</f>
        <v>0</v>
      </c>
      <c r="N71" s="68">
        <f>SUMIFS(Data!$H:$H,Data!$A:$A,Cataratorii!$B71,Data!$C:$C,Cataratorii!N$1)</f>
        <v>0</v>
      </c>
      <c r="O71" s="68">
        <f>SUMIFS(Data!$H:$H,Data!$A:$A,Cataratorii!$B71,Data!$C:$C,Cataratorii!O$1)</f>
        <v>0</v>
      </c>
      <c r="P71" s="68">
        <f>SUMIFS(Data!$H:$H,Data!$A:$A,Cataratorii!$B71,Data!$C:$C,Cataratorii!P$1)</f>
        <v>0</v>
      </c>
      <c r="Q71" s="68">
        <f>SUMIFS(Data!$H:$H,Data!$A:$A,Cataratorii!$B71,Data!$C:$C,Cataratorii!Q$1)</f>
        <v>0</v>
      </c>
      <c r="R71" s="68">
        <f>SUM(C71:Q71)</f>
        <v>378</v>
      </c>
      <c r="S71" s="31">
        <f>SUMIFS(Data!D:D,Data!A:A,Cataratorii!B76)</f>
        <v>98.67</v>
      </c>
      <c r="T71" s="1" t="str">
        <f>IF(VLOOKUP(B71,Participanti!A:D,4,0)=0," ","New")</f>
        <v xml:space="preserve"> </v>
      </c>
      <c r="U71" s="130">
        <f>R71/S71/1000</f>
        <v>3.8309516570386136E-3</v>
      </c>
    </row>
    <row r="72" spans="1:21" ht="13" x14ac:dyDescent="0.3">
      <c r="A72" s="79">
        <v>71</v>
      </c>
      <c r="B72" s="30" t="s">
        <v>63</v>
      </c>
      <c r="C72" s="68">
        <f>SUMIFS(Data!$H:$H,Data!$A:$A,Cataratorii!$B72,Data!$C:$C,Cataratorii!C$1)</f>
        <v>0</v>
      </c>
      <c r="D72" s="68">
        <f>SUMIFS(Data!$H:$H,Data!$A:$A,Cataratorii!$B72,Data!$C:$C,Cataratorii!D$1)</f>
        <v>341</v>
      </c>
      <c r="E72" s="68">
        <f>SUMIFS(Data!$H:$H,Data!$A:$A,Cataratorii!$B72,Data!$C:$C,Cataratorii!E$1)</f>
        <v>0</v>
      </c>
      <c r="F72" s="68">
        <f>SUMIFS(Data!$H:$H,Data!$A:$A,Cataratorii!$B72,Data!$C:$C,Cataratorii!F$1)</f>
        <v>0</v>
      </c>
      <c r="G72" s="68">
        <f>SUMIFS(Data!$H:$H,Data!$A:$A,Cataratorii!$B72,Data!$C:$C,Cataratorii!G$1)</f>
        <v>0</v>
      </c>
      <c r="H72" s="68">
        <f>SUMIFS(Data!$H:$H,Data!$A:$A,Cataratorii!$B72,Data!$C:$C,Cataratorii!H$1)</f>
        <v>0</v>
      </c>
      <c r="I72" s="68">
        <f>SUMIFS(Data!$H:$H,Data!$A:$A,Cataratorii!$B72,Data!$C:$C,Cataratorii!I$1)</f>
        <v>0</v>
      </c>
      <c r="J72" s="68">
        <f>SUMIFS(Data!$H:$H,Data!$A:$A,Cataratorii!$B72,Data!$C:$C,Cataratorii!J$1)</f>
        <v>0</v>
      </c>
      <c r="K72" s="68">
        <f>SUMIFS(Data!$H:$H,Data!$A:$A,Cataratorii!$B72,Data!$C:$C,Cataratorii!K$1)</f>
        <v>0</v>
      </c>
      <c r="L72" s="68">
        <f>SUMIFS(Data!$H:$H,Data!$A:$A,Cataratorii!$B72,Data!$C:$C,Cataratorii!L$1)</f>
        <v>0</v>
      </c>
      <c r="M72" s="68">
        <f>SUMIFS(Data!$H:$H,Data!$A:$A,Cataratorii!$B72,Data!$C:$C,Cataratorii!M$1)</f>
        <v>0</v>
      </c>
      <c r="N72" s="68">
        <f>SUMIFS(Data!$H:$H,Data!$A:$A,Cataratorii!$B72,Data!$C:$C,Cataratorii!N$1)</f>
        <v>0</v>
      </c>
      <c r="O72" s="68">
        <f>SUMIFS(Data!$H:$H,Data!$A:$A,Cataratorii!$B72,Data!$C:$C,Cataratorii!O$1)</f>
        <v>1557</v>
      </c>
      <c r="P72" s="68">
        <f>SUMIFS(Data!$H:$H,Data!$A:$A,Cataratorii!$B72,Data!$C:$C,Cataratorii!P$1)</f>
        <v>0</v>
      </c>
      <c r="Q72" s="68">
        <f>SUMIFS(Data!$H:$H,Data!$A:$A,Cataratorii!$B72,Data!$C:$C,Cataratorii!Q$1)</f>
        <v>1740</v>
      </c>
      <c r="R72" s="68">
        <f>SUM(C72:Q72)</f>
        <v>3638</v>
      </c>
      <c r="S72" s="31">
        <f>SUMIFS(Data!D:D,Data!A:A,Cataratorii!B22)</f>
        <v>246.10999999999996</v>
      </c>
      <c r="T72" s="1" t="str">
        <f>IF(VLOOKUP(B72,Participanti!A:D,4,0)=0," ","New")</f>
        <v xml:space="preserve"> </v>
      </c>
      <c r="U72" s="130">
        <f>R72/S72/1000</f>
        <v>1.4782008045183051E-2</v>
      </c>
    </row>
    <row r="73" spans="1:21" ht="13" x14ac:dyDescent="0.3">
      <c r="A73" s="79">
        <v>72</v>
      </c>
      <c r="B73" s="30" t="s">
        <v>120</v>
      </c>
      <c r="C73" s="68">
        <f>SUMIFS(Data!$H:$H,Data!$A:$A,Cataratorii!$B73,Data!$C:$C,Cataratorii!C$1)</f>
        <v>0</v>
      </c>
      <c r="D73" s="68">
        <f>SUMIFS(Data!$H:$H,Data!$A:$A,Cataratorii!$B73,Data!$C:$C,Cataratorii!D$1)</f>
        <v>62</v>
      </c>
      <c r="E73" s="68">
        <f>SUMIFS(Data!$H:$H,Data!$A:$A,Cataratorii!$B73,Data!$C:$C,Cataratorii!E$1)</f>
        <v>110</v>
      </c>
      <c r="F73" s="68">
        <f>SUMIFS(Data!$H:$H,Data!$A:$A,Cataratorii!$B73,Data!$C:$C,Cataratorii!F$1)</f>
        <v>87</v>
      </c>
      <c r="G73" s="68">
        <f>SUMIFS(Data!$H:$H,Data!$A:$A,Cataratorii!$B73,Data!$C:$C,Cataratorii!G$1)</f>
        <v>0</v>
      </c>
      <c r="H73" s="68">
        <f>SUMIFS(Data!$H:$H,Data!$A:$A,Cataratorii!$B73,Data!$C:$C,Cataratorii!H$1)</f>
        <v>81</v>
      </c>
      <c r="I73" s="68">
        <f>SUMIFS(Data!$H:$H,Data!$A:$A,Cataratorii!$B73,Data!$C:$C,Cataratorii!I$1)</f>
        <v>0</v>
      </c>
      <c r="J73" s="68">
        <f>SUMIFS(Data!$H:$H,Data!$A:$A,Cataratorii!$B73,Data!$C:$C,Cataratorii!J$1)</f>
        <v>0</v>
      </c>
      <c r="K73" s="68">
        <f>SUMIFS(Data!$H:$H,Data!$A:$A,Cataratorii!$B73,Data!$C:$C,Cataratorii!K$1)</f>
        <v>0</v>
      </c>
      <c r="L73" s="68">
        <f>SUMIFS(Data!$H:$H,Data!$A:$A,Cataratorii!$B73,Data!$C:$C,Cataratorii!L$1)</f>
        <v>0</v>
      </c>
      <c r="M73" s="68">
        <f>SUMIFS(Data!$H:$H,Data!$A:$A,Cataratorii!$B73,Data!$C:$C,Cataratorii!M$1)</f>
        <v>0</v>
      </c>
      <c r="N73" s="68">
        <f>SUMIFS(Data!$H:$H,Data!$A:$A,Cataratorii!$B73,Data!$C:$C,Cataratorii!N$1)</f>
        <v>0</v>
      </c>
      <c r="O73" s="68">
        <f>SUMIFS(Data!$H:$H,Data!$A:$A,Cataratorii!$B73,Data!$C:$C,Cataratorii!O$1)</f>
        <v>0</v>
      </c>
      <c r="P73" s="68">
        <f>SUMIFS(Data!$H:$H,Data!$A:$A,Cataratorii!$B73,Data!$C:$C,Cataratorii!P$1)</f>
        <v>0</v>
      </c>
      <c r="Q73" s="68">
        <f>SUMIFS(Data!$H:$H,Data!$A:$A,Cataratorii!$B73,Data!$C:$C,Cataratorii!Q$1)</f>
        <v>0</v>
      </c>
      <c r="R73" s="68">
        <f>SUM(C73:Q73)</f>
        <v>340</v>
      </c>
      <c r="S73" s="31">
        <f>SUMIFS(Data!D:D,Data!A:A,Cataratorii!B77)</f>
        <v>138.38</v>
      </c>
      <c r="T73" s="1" t="str">
        <f>IF(VLOOKUP(B73,Participanti!A:D,4,0)=0," ","New")</f>
        <v xml:space="preserve"> </v>
      </c>
      <c r="U73" s="130">
        <f>R73/S73/1000</f>
        <v>2.4570024570024569E-3</v>
      </c>
    </row>
    <row r="74" spans="1:21" ht="13" x14ac:dyDescent="0.3">
      <c r="A74" s="79">
        <v>73</v>
      </c>
      <c r="B74" s="30" t="s">
        <v>340</v>
      </c>
      <c r="C74" s="68">
        <f>SUMIFS(Data!$H:$H,Data!$A:$A,Cataratorii!$B74,Data!$C:$C,Cataratorii!C$1)</f>
        <v>36</v>
      </c>
      <c r="D74" s="68">
        <f>SUMIFS(Data!$H:$H,Data!$A:$A,Cataratorii!$B74,Data!$C:$C,Cataratorii!D$1)</f>
        <v>0</v>
      </c>
      <c r="E74" s="68">
        <f>SUMIFS(Data!$H:$H,Data!$A:$A,Cataratorii!$B74,Data!$C:$C,Cataratorii!E$1)</f>
        <v>43</v>
      </c>
      <c r="F74" s="68">
        <f>SUMIFS(Data!$H:$H,Data!$A:$A,Cataratorii!$B74,Data!$C:$C,Cataratorii!F$1)</f>
        <v>0</v>
      </c>
      <c r="G74" s="68">
        <f>SUMIFS(Data!$H:$H,Data!$A:$A,Cataratorii!$B74,Data!$C:$C,Cataratorii!G$1)</f>
        <v>250</v>
      </c>
      <c r="H74" s="68">
        <f>SUMIFS(Data!$H:$H,Data!$A:$A,Cataratorii!$B74,Data!$C:$C,Cataratorii!H$1)</f>
        <v>0</v>
      </c>
      <c r="I74" s="68">
        <f>SUMIFS(Data!$H:$H,Data!$A:$A,Cataratorii!$B74,Data!$C:$C,Cataratorii!I$1)</f>
        <v>0</v>
      </c>
      <c r="J74" s="68">
        <f>SUMIFS(Data!$H:$H,Data!$A:$A,Cataratorii!$B74,Data!$C:$C,Cataratorii!J$1)</f>
        <v>0</v>
      </c>
      <c r="K74" s="68">
        <f>SUMIFS(Data!$H:$H,Data!$A:$A,Cataratorii!$B74,Data!$C:$C,Cataratorii!K$1)</f>
        <v>0</v>
      </c>
      <c r="L74" s="68">
        <f>SUMIFS(Data!$H:$H,Data!$A:$A,Cataratorii!$B74,Data!$C:$C,Cataratorii!L$1)</f>
        <v>0</v>
      </c>
      <c r="M74" s="68">
        <f>SUMIFS(Data!$H:$H,Data!$A:$A,Cataratorii!$B74,Data!$C:$C,Cataratorii!M$1)</f>
        <v>0</v>
      </c>
      <c r="N74" s="68">
        <f>SUMIFS(Data!$H:$H,Data!$A:$A,Cataratorii!$B74,Data!$C:$C,Cataratorii!N$1)</f>
        <v>0</v>
      </c>
      <c r="O74" s="68">
        <f>SUMIFS(Data!$H:$H,Data!$A:$A,Cataratorii!$B74,Data!$C:$C,Cataratorii!O$1)</f>
        <v>0</v>
      </c>
      <c r="P74" s="68">
        <f>SUMIFS(Data!$H:$H,Data!$A:$A,Cataratorii!$B74,Data!$C:$C,Cataratorii!P$1)</f>
        <v>0</v>
      </c>
      <c r="Q74" s="68">
        <f>SUMIFS(Data!$H:$H,Data!$A:$A,Cataratorii!$B74,Data!$C:$C,Cataratorii!Q$1)</f>
        <v>0</v>
      </c>
      <c r="R74" s="68">
        <f>SUM(C74:Q74)</f>
        <v>329</v>
      </c>
      <c r="S74" s="31">
        <f>SUMIFS(Data!D:D,Data!A:A,Cataratorii!B79)</f>
        <v>175</v>
      </c>
      <c r="T74" s="1" t="str">
        <f>IF(VLOOKUP(B74,Participanti!A:D,4,0)=0," ","New")</f>
        <v>New</v>
      </c>
      <c r="U74" s="130">
        <f>R74/S74/1000</f>
        <v>1.8799999999999999E-3</v>
      </c>
    </row>
    <row r="75" spans="1:21" ht="13" x14ac:dyDescent="0.3">
      <c r="A75" s="79">
        <v>74</v>
      </c>
      <c r="B75" s="30" t="s">
        <v>125</v>
      </c>
      <c r="C75" s="68">
        <f>SUMIFS(Data!$H:$H,Data!$A:$A,Cataratorii!$B83,Data!$C:$C,Cataratorii!C$1)</f>
        <v>0</v>
      </c>
      <c r="D75" s="68">
        <f>SUMIFS(Data!$H:$H,Data!$A:$A,Cataratorii!$B83,Data!$C:$C,Cataratorii!D$1)</f>
        <v>0</v>
      </c>
      <c r="E75" s="68">
        <f>SUMIFS(Data!$H:$H,Data!$A:$A,Cataratorii!$B83,Data!$C:$C,Cataratorii!E$1)</f>
        <v>0</v>
      </c>
      <c r="F75" s="68">
        <f>SUMIFS(Data!$H:$H,Data!$A:$A,Cataratorii!$B83,Data!$C:$C,Cataratorii!F$1)</f>
        <v>0</v>
      </c>
      <c r="G75" s="68">
        <f>SUMIFS(Data!$H:$H,Data!$A:$A,Cataratorii!$B83,Data!$C:$C,Cataratorii!G$1)</f>
        <v>0</v>
      </c>
      <c r="H75" s="68">
        <f>SUMIFS(Data!$H:$H,Data!$A:$A,Cataratorii!$B83,Data!$C:$C,Cataratorii!H$1)</f>
        <v>0</v>
      </c>
      <c r="I75" s="68">
        <f>SUMIFS(Data!$H:$H,Data!$A:$A,Cataratorii!$B83,Data!$C:$C,Cataratorii!I$1)</f>
        <v>179</v>
      </c>
      <c r="J75" s="68">
        <f>SUMIFS(Data!$H:$H,Data!$A:$A,Cataratorii!$B83,Data!$C:$C,Cataratorii!J$1)</f>
        <v>0</v>
      </c>
      <c r="K75" s="68">
        <f>SUMIFS(Data!$H:$H,Data!$A:$A,Cataratorii!$B83,Data!$C:$C,Cataratorii!K$1)</f>
        <v>0</v>
      </c>
      <c r="L75" s="68">
        <f>SUMIFS(Data!$H:$H,Data!$A:$A,Cataratorii!$B83,Data!$C:$C,Cataratorii!L$1)</f>
        <v>141</v>
      </c>
      <c r="M75" s="68">
        <f>SUMIFS(Data!$H:$H,Data!$A:$A,Cataratorii!$B83,Data!$C:$C,Cataratorii!M$1)</f>
        <v>0</v>
      </c>
      <c r="N75" s="68">
        <f>SUMIFS(Data!$H:$H,Data!$A:$A,Cataratorii!$B83,Data!$C:$C,Cataratorii!N$1)</f>
        <v>0</v>
      </c>
      <c r="O75" s="68">
        <f>SUMIFS(Data!$H:$H,Data!$A:$A,Cataratorii!$B83,Data!$C:$C,Cataratorii!O$1)</f>
        <v>0</v>
      </c>
      <c r="P75" s="68">
        <f>SUMIFS(Data!$H:$H,Data!$A:$A,Cataratorii!$B83,Data!$C:$C,Cataratorii!P$1)</f>
        <v>0</v>
      </c>
      <c r="Q75" s="68">
        <f>SUMIFS(Data!$H:$H,Data!$A:$A,Cataratorii!$B83,Data!$C:$C,Cataratorii!Q$1)</f>
        <v>88</v>
      </c>
      <c r="R75" s="68">
        <f>SUM(C75:Q75)</f>
        <v>408</v>
      </c>
      <c r="S75" s="31">
        <f>SUMIFS(Data!D:D,Data!A:A,Cataratorii!B85)</f>
        <v>183.00000000000003</v>
      </c>
      <c r="T75" s="1" t="str">
        <f>IF(VLOOKUP(B75,Participanti!A:D,4,0)=0," ","New")</f>
        <v xml:space="preserve"> </v>
      </c>
      <c r="U75" s="130">
        <f>R75/S75/1000</f>
        <v>2.2295081967213114E-3</v>
      </c>
    </row>
    <row r="76" spans="1:21" ht="13" x14ac:dyDescent="0.3">
      <c r="A76" s="79">
        <v>75</v>
      </c>
      <c r="B76" s="30" t="s">
        <v>364</v>
      </c>
      <c r="C76" s="68">
        <f>SUMIFS(Data!$H:$H,Data!$A:$A,Cataratorii!$B76,Data!$C:$C,Cataratorii!C$1)</f>
        <v>0</v>
      </c>
      <c r="D76" s="68">
        <f>SUMIFS(Data!$H:$H,Data!$A:$A,Cataratorii!$B76,Data!$C:$C,Cataratorii!D$1)</f>
        <v>233</v>
      </c>
      <c r="E76" s="68">
        <f>SUMIFS(Data!$H:$H,Data!$A:$A,Cataratorii!$B76,Data!$C:$C,Cataratorii!E$1)</f>
        <v>0</v>
      </c>
      <c r="F76" s="68">
        <f>SUMIFS(Data!$H:$H,Data!$A:$A,Cataratorii!$B76,Data!$C:$C,Cataratorii!F$1)</f>
        <v>0</v>
      </c>
      <c r="G76" s="68">
        <f>SUMIFS(Data!$H:$H,Data!$A:$A,Cataratorii!$B76,Data!$C:$C,Cataratorii!G$1)</f>
        <v>0</v>
      </c>
      <c r="H76" s="68">
        <f>SUMIFS(Data!$H:$H,Data!$A:$A,Cataratorii!$B76,Data!$C:$C,Cataratorii!H$1)</f>
        <v>85</v>
      </c>
      <c r="I76" s="68">
        <f>SUMIFS(Data!$H:$H,Data!$A:$A,Cataratorii!$B76,Data!$C:$C,Cataratorii!I$1)</f>
        <v>0</v>
      </c>
      <c r="J76" s="68">
        <f>SUMIFS(Data!$H:$H,Data!$A:$A,Cataratorii!$B76,Data!$C:$C,Cataratorii!J$1)</f>
        <v>0</v>
      </c>
      <c r="K76" s="68">
        <f>SUMIFS(Data!$H:$H,Data!$A:$A,Cataratorii!$B76,Data!$C:$C,Cataratorii!K$1)</f>
        <v>0</v>
      </c>
      <c r="L76" s="68">
        <f>SUMIFS(Data!$H:$H,Data!$A:$A,Cataratorii!$B76,Data!$C:$C,Cataratorii!L$1)</f>
        <v>0</v>
      </c>
      <c r="M76" s="68">
        <f>SUMIFS(Data!$H:$H,Data!$A:$A,Cataratorii!$B76,Data!$C:$C,Cataratorii!M$1)</f>
        <v>0</v>
      </c>
      <c r="N76" s="68">
        <f>SUMIFS(Data!$H:$H,Data!$A:$A,Cataratorii!$B76,Data!$C:$C,Cataratorii!N$1)</f>
        <v>0</v>
      </c>
      <c r="O76" s="68">
        <f>SUMIFS(Data!$H:$H,Data!$A:$A,Cataratorii!$B76,Data!$C:$C,Cataratorii!O$1)</f>
        <v>0</v>
      </c>
      <c r="P76" s="68">
        <f>SUMIFS(Data!$H:$H,Data!$A:$A,Cataratorii!$B76,Data!$C:$C,Cataratorii!P$1)</f>
        <v>0</v>
      </c>
      <c r="Q76" s="68">
        <f>SUMIFS(Data!$H:$H,Data!$A:$A,Cataratorii!$B76,Data!$C:$C,Cataratorii!Q$1)</f>
        <v>0</v>
      </c>
      <c r="R76" s="68">
        <f>SUM(C76:Q76)</f>
        <v>318</v>
      </c>
      <c r="S76" s="31">
        <f>SUMIFS(Data!D:D,Data!A:A,Cataratorii!B80)</f>
        <v>399.73999999999995</v>
      </c>
      <c r="T76" s="1" t="str">
        <f>IF(VLOOKUP(B76,Participanti!A:D,4,0)=0," ","New")</f>
        <v>New</v>
      </c>
      <c r="U76" s="130">
        <f>R76/S76/1000</f>
        <v>7.9551708610596896E-4</v>
      </c>
    </row>
    <row r="77" spans="1:21" ht="13" x14ac:dyDescent="0.3">
      <c r="A77" s="79">
        <v>76</v>
      </c>
      <c r="B77" s="30" t="s">
        <v>288</v>
      </c>
      <c r="C77" s="68">
        <f>SUMIFS(Data!$H:$H,Data!$A:$A,Cataratorii!$B77,Data!$C:$C,Cataratorii!C$1)</f>
        <v>0</v>
      </c>
      <c r="D77" s="68">
        <f>SUMIFS(Data!$H:$H,Data!$A:$A,Cataratorii!$B77,Data!$C:$C,Cataratorii!D$1)</f>
        <v>0</v>
      </c>
      <c r="E77" s="68">
        <f>SUMIFS(Data!$H:$H,Data!$A:$A,Cataratorii!$B77,Data!$C:$C,Cataratorii!E$1)</f>
        <v>47</v>
      </c>
      <c r="F77" s="68">
        <f>SUMIFS(Data!$H:$H,Data!$A:$A,Cataratorii!$B77,Data!$C:$C,Cataratorii!F$1)</f>
        <v>0</v>
      </c>
      <c r="G77" s="68">
        <f>SUMIFS(Data!$H:$H,Data!$A:$A,Cataratorii!$B77,Data!$C:$C,Cataratorii!G$1)</f>
        <v>133</v>
      </c>
      <c r="H77" s="68">
        <f>SUMIFS(Data!$H:$H,Data!$A:$A,Cataratorii!$B77,Data!$C:$C,Cataratorii!H$1)</f>
        <v>0</v>
      </c>
      <c r="I77" s="68">
        <f>SUMIFS(Data!$H:$H,Data!$A:$A,Cataratorii!$B77,Data!$C:$C,Cataratorii!I$1)</f>
        <v>0</v>
      </c>
      <c r="J77" s="68">
        <f>SUMIFS(Data!$H:$H,Data!$A:$A,Cataratorii!$B77,Data!$C:$C,Cataratorii!J$1)</f>
        <v>50</v>
      </c>
      <c r="K77" s="68">
        <f>SUMIFS(Data!$H:$H,Data!$A:$A,Cataratorii!$B77,Data!$C:$C,Cataratorii!K$1)</f>
        <v>63</v>
      </c>
      <c r="L77" s="68">
        <f>SUMIFS(Data!$H:$H,Data!$A:$A,Cataratorii!$B77,Data!$C:$C,Cataratorii!L$1)</f>
        <v>0</v>
      </c>
      <c r="M77" s="68">
        <f>SUMIFS(Data!$H:$H,Data!$A:$A,Cataratorii!$B77,Data!$C:$C,Cataratorii!M$1)</f>
        <v>0</v>
      </c>
      <c r="N77" s="68">
        <f>SUMIFS(Data!$H:$H,Data!$A:$A,Cataratorii!$B77,Data!$C:$C,Cataratorii!N$1)</f>
        <v>0</v>
      </c>
      <c r="O77" s="68">
        <f>SUMIFS(Data!$H:$H,Data!$A:$A,Cataratorii!$B77,Data!$C:$C,Cataratorii!O$1)</f>
        <v>0</v>
      </c>
      <c r="P77" s="68">
        <f>SUMIFS(Data!$H:$H,Data!$A:$A,Cataratorii!$B77,Data!$C:$C,Cataratorii!P$1)</f>
        <v>0</v>
      </c>
      <c r="Q77" s="68">
        <f>SUMIFS(Data!$H:$H,Data!$A:$A,Cataratorii!$B77,Data!$C:$C,Cataratorii!Q$1)</f>
        <v>118</v>
      </c>
      <c r="R77" s="68">
        <f>SUM(C77:Q77)</f>
        <v>411</v>
      </c>
      <c r="S77" s="31">
        <f>SUMIFS(Data!D:D,Data!A:A,Cataratorii!B73)</f>
        <v>250.99</v>
      </c>
      <c r="T77" s="1" t="str">
        <f>IF(VLOOKUP(B77,Participanti!A:D,4,0)=0," ","New")</f>
        <v xml:space="preserve"> </v>
      </c>
      <c r="U77" s="130">
        <f>R77/S77/1000</f>
        <v>1.6375154388621061E-3</v>
      </c>
    </row>
    <row r="78" spans="1:21" ht="13" x14ac:dyDescent="0.3">
      <c r="A78" s="79">
        <v>77</v>
      </c>
      <c r="B78" s="30" t="s">
        <v>433</v>
      </c>
      <c r="C78" s="68">
        <f>SUMIFS(Data!$H:$H,Data!$A:$A,Cataratorii!$B78,Data!$C:$C,Cataratorii!C$1)</f>
        <v>0</v>
      </c>
      <c r="D78" s="68">
        <f>SUMIFS(Data!$H:$H,Data!$A:$A,Cataratorii!$B78,Data!$C:$C,Cataratorii!D$1)</f>
        <v>0</v>
      </c>
      <c r="E78" s="68">
        <f>SUMIFS(Data!$H:$H,Data!$A:$A,Cataratorii!$B78,Data!$C:$C,Cataratorii!E$1)</f>
        <v>0</v>
      </c>
      <c r="F78" s="68">
        <f>SUMIFS(Data!$H:$H,Data!$A:$A,Cataratorii!$B78,Data!$C:$C,Cataratorii!F$1)</f>
        <v>0</v>
      </c>
      <c r="G78" s="68">
        <f>SUMIFS(Data!$H:$H,Data!$A:$A,Cataratorii!$B78,Data!$C:$C,Cataratorii!G$1)</f>
        <v>0</v>
      </c>
      <c r="H78" s="68">
        <f>SUMIFS(Data!$H:$H,Data!$A:$A,Cataratorii!$B78,Data!$C:$C,Cataratorii!H$1)</f>
        <v>78</v>
      </c>
      <c r="I78" s="68">
        <f>SUMIFS(Data!$H:$H,Data!$A:$A,Cataratorii!$B78,Data!$C:$C,Cataratorii!I$1)</f>
        <v>64</v>
      </c>
      <c r="J78" s="68">
        <f>SUMIFS(Data!$H:$H,Data!$A:$A,Cataratorii!$B78,Data!$C:$C,Cataratorii!J$1)</f>
        <v>124</v>
      </c>
      <c r="K78" s="68">
        <f>SUMIFS(Data!$H:$H,Data!$A:$A,Cataratorii!$B78,Data!$C:$C,Cataratorii!K$1)</f>
        <v>0</v>
      </c>
      <c r="L78" s="68">
        <f>SUMIFS(Data!$H:$H,Data!$A:$A,Cataratorii!$B78,Data!$C:$C,Cataratorii!L$1)</f>
        <v>0</v>
      </c>
      <c r="M78" s="68">
        <f>SUMIFS(Data!$H:$H,Data!$A:$A,Cataratorii!$B78,Data!$C:$C,Cataratorii!M$1)</f>
        <v>0</v>
      </c>
      <c r="N78" s="68">
        <f>SUMIFS(Data!$H:$H,Data!$A:$A,Cataratorii!$B78,Data!$C:$C,Cataratorii!N$1)</f>
        <v>0</v>
      </c>
      <c r="O78" s="68">
        <f>SUMIFS(Data!$H:$H,Data!$A:$A,Cataratorii!$B78,Data!$C:$C,Cataratorii!O$1)</f>
        <v>0</v>
      </c>
      <c r="P78" s="68">
        <f>SUMIFS(Data!$H:$H,Data!$A:$A,Cataratorii!$B78,Data!$C:$C,Cataratorii!P$1)</f>
        <v>0</v>
      </c>
      <c r="Q78" s="68">
        <f>SUMIFS(Data!$H:$H,Data!$A:$A,Cataratorii!$B78,Data!$C:$C,Cataratorii!Q$1)</f>
        <v>0</v>
      </c>
      <c r="R78" s="68">
        <f>SUM(C78:Q78)</f>
        <v>266</v>
      </c>
      <c r="S78" s="31">
        <f>SUMIFS(Data!D:D,Data!A:A,Cataratorii!B82)</f>
        <v>58.150000000000006</v>
      </c>
      <c r="T78" s="1" t="str">
        <f>IF(VLOOKUP(B78,Participanti!A:D,4,0)=0," ","New")</f>
        <v>New</v>
      </c>
      <c r="U78" s="130">
        <f>R78/S78/1000</f>
        <v>4.5743766122098017E-3</v>
      </c>
    </row>
    <row r="79" spans="1:21" ht="13" x14ac:dyDescent="0.3">
      <c r="A79" s="79">
        <v>78</v>
      </c>
      <c r="B79" s="30" t="s">
        <v>387</v>
      </c>
      <c r="C79" s="68">
        <f>SUMIFS(Data!$H:$H,Data!$A:$A,Cataratorii!$B79,Data!$C:$C,Cataratorii!C$1)</f>
        <v>0</v>
      </c>
      <c r="D79" s="68">
        <f>SUMIFS(Data!$H:$H,Data!$A:$A,Cataratorii!$B79,Data!$C:$C,Cataratorii!D$1)</f>
        <v>0</v>
      </c>
      <c r="E79" s="68">
        <f>SUMIFS(Data!$H:$H,Data!$A:$A,Cataratorii!$B79,Data!$C:$C,Cataratorii!E$1)</f>
        <v>189</v>
      </c>
      <c r="F79" s="68">
        <f>SUMIFS(Data!$H:$H,Data!$A:$A,Cataratorii!$B79,Data!$C:$C,Cataratorii!F$1)</f>
        <v>0</v>
      </c>
      <c r="G79" s="68">
        <f>SUMIFS(Data!$H:$H,Data!$A:$A,Cataratorii!$B79,Data!$C:$C,Cataratorii!G$1)</f>
        <v>0</v>
      </c>
      <c r="H79" s="68">
        <f>SUMIFS(Data!$H:$H,Data!$A:$A,Cataratorii!$B79,Data!$C:$C,Cataratorii!H$1)</f>
        <v>0</v>
      </c>
      <c r="I79" s="68">
        <f>SUMIFS(Data!$H:$H,Data!$A:$A,Cataratorii!$B79,Data!$C:$C,Cataratorii!I$1)</f>
        <v>63</v>
      </c>
      <c r="J79" s="68">
        <f>SUMIFS(Data!$H:$H,Data!$A:$A,Cataratorii!$B79,Data!$C:$C,Cataratorii!J$1)</f>
        <v>0</v>
      </c>
      <c r="K79" s="68">
        <f>SUMIFS(Data!$H:$H,Data!$A:$A,Cataratorii!$B79,Data!$C:$C,Cataratorii!K$1)</f>
        <v>0</v>
      </c>
      <c r="L79" s="68">
        <f>SUMIFS(Data!$H:$H,Data!$A:$A,Cataratorii!$B79,Data!$C:$C,Cataratorii!L$1)</f>
        <v>0</v>
      </c>
      <c r="M79" s="68">
        <f>SUMIFS(Data!$H:$H,Data!$A:$A,Cataratorii!$B79,Data!$C:$C,Cataratorii!M$1)</f>
        <v>0</v>
      </c>
      <c r="N79" s="68">
        <f>SUMIFS(Data!$H:$H,Data!$A:$A,Cataratorii!$B79,Data!$C:$C,Cataratorii!N$1)</f>
        <v>0</v>
      </c>
      <c r="O79" s="68">
        <f>SUMIFS(Data!$H:$H,Data!$A:$A,Cataratorii!$B79,Data!$C:$C,Cataratorii!O$1)</f>
        <v>0</v>
      </c>
      <c r="P79" s="68">
        <f>SUMIFS(Data!$H:$H,Data!$A:$A,Cataratorii!$B79,Data!$C:$C,Cataratorii!P$1)</f>
        <v>0</v>
      </c>
      <c r="Q79" s="68">
        <f>SUMIFS(Data!$H:$H,Data!$A:$A,Cataratorii!$B79,Data!$C:$C,Cataratorii!Q$1)</f>
        <v>0</v>
      </c>
      <c r="R79" s="68">
        <f>SUM(C79:Q79)</f>
        <v>252</v>
      </c>
      <c r="S79" s="31">
        <f>SUMIFS(Data!D:D,Data!A:A,Cataratorii!B75)</f>
        <v>128.36000000000001</v>
      </c>
      <c r="T79" s="1" t="str">
        <f>IF(VLOOKUP(B79,Participanti!A:D,4,0)=0," ","New")</f>
        <v>New</v>
      </c>
      <c r="U79" s="130">
        <f>R79/S79/1000</f>
        <v>1.9632284200685572E-3</v>
      </c>
    </row>
    <row r="80" spans="1:21" ht="13" x14ac:dyDescent="0.3">
      <c r="A80" s="79">
        <v>79</v>
      </c>
      <c r="B80" s="30" t="s">
        <v>353</v>
      </c>
      <c r="C80" s="68">
        <f>SUMIFS(Data!$H:$H,Data!$A:$A,Cataratorii!$B80,Data!$C:$C,Cataratorii!C$1)</f>
        <v>0</v>
      </c>
      <c r="D80" s="68">
        <f>SUMIFS(Data!$H:$H,Data!$A:$A,Cataratorii!$B80,Data!$C:$C,Cataratorii!D$1)</f>
        <v>21</v>
      </c>
      <c r="E80" s="68">
        <f>SUMIFS(Data!$H:$H,Data!$A:$A,Cataratorii!$B80,Data!$C:$C,Cataratorii!E$1)</f>
        <v>0</v>
      </c>
      <c r="F80" s="68">
        <f>SUMIFS(Data!$H:$H,Data!$A:$A,Cataratorii!$B80,Data!$C:$C,Cataratorii!F$1)</f>
        <v>0</v>
      </c>
      <c r="G80" s="68">
        <f>SUMIFS(Data!$H:$H,Data!$A:$A,Cataratorii!$B80,Data!$C:$C,Cataratorii!G$1)</f>
        <v>0</v>
      </c>
      <c r="H80" s="68">
        <f>SUMIFS(Data!$H:$H,Data!$A:$A,Cataratorii!$B80,Data!$C:$C,Cataratorii!H$1)</f>
        <v>0</v>
      </c>
      <c r="I80" s="68">
        <f>SUMIFS(Data!$H:$H,Data!$A:$A,Cataratorii!$B80,Data!$C:$C,Cataratorii!I$1)</f>
        <v>106</v>
      </c>
      <c r="J80" s="68">
        <f>SUMIFS(Data!$H:$H,Data!$A:$A,Cataratorii!$B80,Data!$C:$C,Cataratorii!J$1)</f>
        <v>0</v>
      </c>
      <c r="K80" s="68">
        <f>SUMIFS(Data!$H:$H,Data!$A:$A,Cataratorii!$B80,Data!$C:$C,Cataratorii!K$1)</f>
        <v>58</v>
      </c>
      <c r="L80" s="68">
        <f>SUMIFS(Data!$H:$H,Data!$A:$A,Cataratorii!$B80,Data!$C:$C,Cataratorii!L$1)</f>
        <v>1</v>
      </c>
      <c r="M80" s="68">
        <f>SUMIFS(Data!$H:$H,Data!$A:$A,Cataratorii!$B80,Data!$C:$C,Cataratorii!M$1)</f>
        <v>0</v>
      </c>
      <c r="N80" s="68">
        <f>SUMIFS(Data!$H:$H,Data!$A:$A,Cataratorii!$B80,Data!$C:$C,Cataratorii!N$1)</f>
        <v>59</v>
      </c>
      <c r="O80" s="68">
        <f>SUMIFS(Data!$H:$H,Data!$A:$A,Cataratorii!$B80,Data!$C:$C,Cataratorii!O$1)</f>
        <v>0</v>
      </c>
      <c r="P80" s="68">
        <f>SUMIFS(Data!$H:$H,Data!$A:$A,Cataratorii!$B80,Data!$C:$C,Cataratorii!P$1)</f>
        <v>21</v>
      </c>
      <c r="Q80" s="68">
        <f>SUMIFS(Data!$H:$H,Data!$A:$A,Cataratorii!$B80,Data!$C:$C,Cataratorii!Q$1)</f>
        <v>133</v>
      </c>
      <c r="R80" s="68">
        <f>SUM(C80:Q80)</f>
        <v>399</v>
      </c>
      <c r="S80" s="31">
        <f>SUMIFS(Data!D:D,Data!A:A,Cataratorii!B83)</f>
        <v>247.43999999999997</v>
      </c>
      <c r="T80" s="1" t="str">
        <f>IF(VLOOKUP(B80,Participanti!A:D,4,0)=0," ","New")</f>
        <v>New</v>
      </c>
      <c r="U80" s="130">
        <f>R80/S80/1000</f>
        <v>1.6125121241513096E-3</v>
      </c>
    </row>
    <row r="81" spans="1:21" ht="13" x14ac:dyDescent="0.3">
      <c r="A81" s="79">
        <v>80</v>
      </c>
      <c r="B81" s="30" t="s">
        <v>41</v>
      </c>
      <c r="C81" s="68">
        <f>SUMIFS(Data!$H:$H,Data!$A:$A,Cataratorii!$B81,Data!$C:$C,Cataratorii!C$1)</f>
        <v>55</v>
      </c>
      <c r="D81" s="68">
        <f>SUMIFS(Data!$H:$H,Data!$A:$A,Cataratorii!$B81,Data!$C:$C,Cataratorii!D$1)</f>
        <v>0</v>
      </c>
      <c r="E81" s="68">
        <f>SUMIFS(Data!$H:$H,Data!$A:$A,Cataratorii!$B81,Data!$C:$C,Cataratorii!E$1)</f>
        <v>51</v>
      </c>
      <c r="F81" s="68">
        <f>SUMIFS(Data!$H:$H,Data!$A:$A,Cataratorii!$B81,Data!$C:$C,Cataratorii!F$1)</f>
        <v>0</v>
      </c>
      <c r="G81" s="68">
        <f>SUMIFS(Data!$H:$H,Data!$A:$A,Cataratorii!$B81,Data!$C:$C,Cataratorii!G$1)</f>
        <v>0</v>
      </c>
      <c r="H81" s="68">
        <f>SUMIFS(Data!$H:$H,Data!$A:$A,Cataratorii!$B81,Data!$C:$C,Cataratorii!H$1)</f>
        <v>0</v>
      </c>
      <c r="I81" s="68">
        <f>SUMIFS(Data!$H:$H,Data!$A:$A,Cataratorii!$B81,Data!$C:$C,Cataratorii!I$1)</f>
        <v>91</v>
      </c>
      <c r="J81" s="68">
        <f>SUMIFS(Data!$H:$H,Data!$A:$A,Cataratorii!$B81,Data!$C:$C,Cataratorii!J$1)</f>
        <v>0</v>
      </c>
      <c r="K81" s="68">
        <f>SUMIFS(Data!$H:$H,Data!$A:$A,Cataratorii!$B81,Data!$C:$C,Cataratorii!K$1)</f>
        <v>0</v>
      </c>
      <c r="L81" s="68">
        <f>SUMIFS(Data!$H:$H,Data!$A:$A,Cataratorii!$B81,Data!$C:$C,Cataratorii!L$1)</f>
        <v>0</v>
      </c>
      <c r="M81" s="68">
        <f>SUMIFS(Data!$H:$H,Data!$A:$A,Cataratorii!$B81,Data!$C:$C,Cataratorii!M$1)</f>
        <v>0</v>
      </c>
      <c r="N81" s="68">
        <f>SUMIFS(Data!$H:$H,Data!$A:$A,Cataratorii!$B81,Data!$C:$C,Cataratorii!N$1)</f>
        <v>0</v>
      </c>
      <c r="O81" s="68">
        <f>SUMIFS(Data!$H:$H,Data!$A:$A,Cataratorii!$B81,Data!$C:$C,Cataratorii!O$1)</f>
        <v>0</v>
      </c>
      <c r="P81" s="68">
        <f>SUMIFS(Data!$H:$H,Data!$A:$A,Cataratorii!$B81,Data!$C:$C,Cataratorii!P$1)</f>
        <v>0</v>
      </c>
      <c r="Q81" s="68">
        <f>SUMIFS(Data!$H:$H,Data!$A:$A,Cataratorii!$B81,Data!$C:$C,Cataratorii!Q$1)</f>
        <v>0</v>
      </c>
      <c r="R81" s="68">
        <f>SUM(C81:Q81)</f>
        <v>197</v>
      </c>
      <c r="S81" s="31">
        <f>SUMIFS(Data!D:D,Data!A:A,Cataratorii!B84)</f>
        <v>102.18999999999998</v>
      </c>
      <c r="T81" s="1" t="str">
        <f>IF(VLOOKUP(B81,Participanti!A:D,4,0)=0," ","New")</f>
        <v xml:space="preserve"> </v>
      </c>
      <c r="U81" s="130">
        <f>R81/S81/1000</f>
        <v>1.9277815833251789E-3</v>
      </c>
    </row>
    <row r="82" spans="1:21" ht="13" x14ac:dyDescent="0.3">
      <c r="A82" s="79">
        <v>81</v>
      </c>
      <c r="B82" s="30" t="s">
        <v>469</v>
      </c>
      <c r="C82" s="68">
        <f>SUMIFS(Data!$H:$H,Data!$A:$A,Cataratorii!$B82,Data!$C:$C,Cataratorii!C$1)</f>
        <v>0</v>
      </c>
      <c r="D82" s="68">
        <f>SUMIFS(Data!$H:$H,Data!$A:$A,Cataratorii!$B82,Data!$C:$C,Cataratorii!D$1)</f>
        <v>0</v>
      </c>
      <c r="E82" s="68">
        <f>SUMIFS(Data!$H:$H,Data!$A:$A,Cataratorii!$B82,Data!$C:$C,Cataratorii!E$1)</f>
        <v>0</v>
      </c>
      <c r="F82" s="68">
        <f>SUMIFS(Data!$H:$H,Data!$A:$A,Cataratorii!$B82,Data!$C:$C,Cataratorii!F$1)</f>
        <v>0</v>
      </c>
      <c r="G82" s="68">
        <f>SUMIFS(Data!$H:$H,Data!$A:$A,Cataratorii!$B82,Data!$C:$C,Cataratorii!G$1)</f>
        <v>0</v>
      </c>
      <c r="H82" s="68">
        <f>SUMIFS(Data!$H:$H,Data!$A:$A,Cataratorii!$B82,Data!$C:$C,Cataratorii!H$1)</f>
        <v>0</v>
      </c>
      <c r="I82" s="68">
        <f>SUMIFS(Data!$H:$H,Data!$A:$A,Cataratorii!$B82,Data!$C:$C,Cataratorii!I$1)</f>
        <v>0</v>
      </c>
      <c r="J82" s="68">
        <f>SUMIFS(Data!$H:$H,Data!$A:$A,Cataratorii!$B82,Data!$C:$C,Cataratorii!J$1)</f>
        <v>115</v>
      </c>
      <c r="K82" s="68">
        <f>SUMIFS(Data!$H:$H,Data!$A:$A,Cataratorii!$B82,Data!$C:$C,Cataratorii!K$1)</f>
        <v>0</v>
      </c>
      <c r="L82" s="68">
        <f>SUMIFS(Data!$H:$H,Data!$A:$A,Cataratorii!$B82,Data!$C:$C,Cataratorii!L$1)</f>
        <v>77</v>
      </c>
      <c r="M82" s="68">
        <f>SUMIFS(Data!$H:$H,Data!$A:$A,Cataratorii!$B82,Data!$C:$C,Cataratorii!M$1)</f>
        <v>0</v>
      </c>
      <c r="N82" s="68">
        <f>SUMIFS(Data!$H:$H,Data!$A:$A,Cataratorii!$B82,Data!$C:$C,Cataratorii!N$1)</f>
        <v>0</v>
      </c>
      <c r="O82" s="68">
        <f>SUMIFS(Data!$H:$H,Data!$A:$A,Cataratorii!$B82,Data!$C:$C,Cataratorii!O$1)</f>
        <v>0</v>
      </c>
      <c r="P82" s="68">
        <f>SUMIFS(Data!$H:$H,Data!$A:$A,Cataratorii!$B82,Data!$C:$C,Cataratorii!P$1)</f>
        <v>0</v>
      </c>
      <c r="Q82" s="68">
        <f>SUMIFS(Data!$H:$H,Data!$A:$A,Cataratorii!$B82,Data!$C:$C,Cataratorii!Q$1)</f>
        <v>87</v>
      </c>
      <c r="R82" s="68">
        <f>SUM(C82:Q82)</f>
        <v>279</v>
      </c>
      <c r="S82" s="31">
        <f>SUMIFS(Data!D:D,Data!A:A,Cataratorii!B81)</f>
        <v>146.99</v>
      </c>
      <c r="T82" s="1" t="str">
        <f>IF(VLOOKUP(B82,Participanti!A:D,4,0)=0," ","New")</f>
        <v>New</v>
      </c>
      <c r="U82" s="130">
        <f>R82/S82/1000</f>
        <v>1.8980883053268929E-3</v>
      </c>
    </row>
    <row r="83" spans="1:21" ht="13" x14ac:dyDescent="0.3">
      <c r="A83" s="79">
        <v>82</v>
      </c>
      <c r="B83" s="30" t="s">
        <v>448</v>
      </c>
      <c r="C83" s="68">
        <f>SUMIFS(Data!$H:$H,Data!$A:$A,Cataratorii!$B75,Data!$C:$C,Cataratorii!C$1)</f>
        <v>0</v>
      </c>
      <c r="D83" s="68">
        <f>SUMIFS(Data!$H:$H,Data!$A:$A,Cataratorii!$B75,Data!$C:$C,Cataratorii!D$1)</f>
        <v>0</v>
      </c>
      <c r="E83" s="68">
        <f>SUMIFS(Data!$H:$H,Data!$A:$A,Cataratorii!$B75,Data!$C:$C,Cataratorii!E$1)</f>
        <v>0</v>
      </c>
      <c r="F83" s="68">
        <f>SUMIFS(Data!$H:$H,Data!$A:$A,Cataratorii!$B75,Data!$C:$C,Cataratorii!F$1)</f>
        <v>45</v>
      </c>
      <c r="G83" s="68">
        <f>SUMIFS(Data!$H:$H,Data!$A:$A,Cataratorii!$B75,Data!$C:$C,Cataratorii!G$1)</f>
        <v>0</v>
      </c>
      <c r="H83" s="68">
        <f>SUMIFS(Data!$H:$H,Data!$A:$A,Cataratorii!$B75,Data!$C:$C,Cataratorii!H$1)</f>
        <v>57</v>
      </c>
      <c r="I83" s="68">
        <f>SUMIFS(Data!$H:$H,Data!$A:$A,Cataratorii!$B75,Data!$C:$C,Cataratorii!I$1)</f>
        <v>88</v>
      </c>
      <c r="J83" s="68">
        <f>SUMIFS(Data!$H:$H,Data!$A:$A,Cataratorii!$B75,Data!$C:$C,Cataratorii!J$1)</f>
        <v>0</v>
      </c>
      <c r="K83" s="68">
        <f>SUMIFS(Data!$H:$H,Data!$A:$A,Cataratorii!$B75,Data!$C:$C,Cataratorii!K$1)</f>
        <v>0</v>
      </c>
      <c r="L83" s="68">
        <f>SUMIFS(Data!$H:$H,Data!$A:$A,Cataratorii!$B75,Data!$C:$C,Cataratorii!L$1)</f>
        <v>0</v>
      </c>
      <c r="M83" s="68">
        <f>SUMIFS(Data!$H:$H,Data!$A:$A,Cataratorii!$B75,Data!$C:$C,Cataratorii!M$1)</f>
        <v>0</v>
      </c>
      <c r="N83" s="68">
        <f>SUMIFS(Data!$H:$H,Data!$A:$A,Cataratorii!$B75,Data!$C:$C,Cataratorii!N$1)</f>
        <v>0</v>
      </c>
      <c r="O83" s="68">
        <f>SUMIFS(Data!$H:$H,Data!$A:$A,Cataratorii!$B75,Data!$C:$C,Cataratorii!O$1)</f>
        <v>0</v>
      </c>
      <c r="P83" s="68">
        <f>SUMIFS(Data!$H:$H,Data!$A:$A,Cataratorii!$B75,Data!$C:$C,Cataratorii!P$1)</f>
        <v>0</v>
      </c>
      <c r="Q83" s="68">
        <f>SUMIFS(Data!$H:$H,Data!$A:$A,Cataratorii!$B75,Data!$C:$C,Cataratorii!Q$1)</f>
        <v>0</v>
      </c>
      <c r="R83" s="68">
        <f>SUM(C83:Q83)</f>
        <v>190</v>
      </c>
      <c r="S83" s="31">
        <f>SUMIFS(Data!D:D,Data!A:A,Cataratorii!B74)</f>
        <v>56.35</v>
      </c>
      <c r="T83" s="1" t="str">
        <f>IF(VLOOKUP(B83,Participanti!A:D,4,0)=0," ","New")</f>
        <v>New</v>
      </c>
      <c r="U83" s="130">
        <f>R83/S83/1000</f>
        <v>3.3717834960070984E-3</v>
      </c>
    </row>
    <row r="84" spans="1:21" ht="13" x14ac:dyDescent="0.3">
      <c r="A84" s="79">
        <v>83</v>
      </c>
      <c r="B84" s="30" t="s">
        <v>396</v>
      </c>
      <c r="C84" s="68">
        <f>SUMIFS(Data!$H:$H,Data!$A:$A,Cataratorii!$B84,Data!$C:$C,Cataratorii!C$1)</f>
        <v>0</v>
      </c>
      <c r="D84" s="68">
        <f>SUMIFS(Data!$H:$H,Data!$A:$A,Cataratorii!$B84,Data!$C:$C,Cataratorii!D$1)</f>
        <v>0</v>
      </c>
      <c r="E84" s="68">
        <f>SUMIFS(Data!$H:$H,Data!$A:$A,Cataratorii!$B84,Data!$C:$C,Cataratorii!E$1)</f>
        <v>0</v>
      </c>
      <c r="F84" s="68">
        <f>SUMIFS(Data!$H:$H,Data!$A:$A,Cataratorii!$B84,Data!$C:$C,Cataratorii!F$1)</f>
        <v>91</v>
      </c>
      <c r="G84" s="68">
        <f>SUMIFS(Data!$H:$H,Data!$A:$A,Cataratorii!$B84,Data!$C:$C,Cataratorii!G$1)</f>
        <v>57</v>
      </c>
      <c r="H84" s="68">
        <f>SUMIFS(Data!$H:$H,Data!$A:$A,Cataratorii!$B84,Data!$C:$C,Cataratorii!H$1)</f>
        <v>0</v>
      </c>
      <c r="I84" s="68">
        <f>SUMIFS(Data!$H:$H,Data!$A:$A,Cataratorii!$B84,Data!$C:$C,Cataratorii!I$1)</f>
        <v>0</v>
      </c>
      <c r="J84" s="68">
        <f>SUMIFS(Data!$H:$H,Data!$A:$A,Cataratorii!$B84,Data!$C:$C,Cataratorii!J$1)</f>
        <v>0</v>
      </c>
      <c r="K84" s="68">
        <f>SUMIFS(Data!$H:$H,Data!$A:$A,Cataratorii!$B84,Data!$C:$C,Cataratorii!K$1)</f>
        <v>0</v>
      </c>
      <c r="L84" s="68">
        <f>SUMIFS(Data!$H:$H,Data!$A:$A,Cataratorii!$B84,Data!$C:$C,Cataratorii!L$1)</f>
        <v>0</v>
      </c>
      <c r="M84" s="68">
        <f>SUMIFS(Data!$H:$H,Data!$A:$A,Cataratorii!$B84,Data!$C:$C,Cataratorii!M$1)</f>
        <v>0</v>
      </c>
      <c r="N84" s="68">
        <f>SUMIFS(Data!$H:$H,Data!$A:$A,Cataratorii!$B84,Data!$C:$C,Cataratorii!N$1)</f>
        <v>0</v>
      </c>
      <c r="O84" s="68">
        <f>SUMIFS(Data!$H:$H,Data!$A:$A,Cataratorii!$B84,Data!$C:$C,Cataratorii!O$1)</f>
        <v>0</v>
      </c>
      <c r="P84" s="68">
        <f>SUMIFS(Data!$H:$H,Data!$A:$A,Cataratorii!$B84,Data!$C:$C,Cataratorii!P$1)</f>
        <v>0</v>
      </c>
      <c r="Q84" s="68">
        <f>SUMIFS(Data!$H:$H,Data!$A:$A,Cataratorii!$B84,Data!$C:$C,Cataratorii!Q$1)</f>
        <v>0</v>
      </c>
      <c r="R84" s="68">
        <f>SUM(C84:Q84)</f>
        <v>148</v>
      </c>
      <c r="S84" s="31">
        <f>SUMIFS(Data!D:D,Data!A:A,Cataratorii!B87)</f>
        <v>38.46</v>
      </c>
      <c r="T84" s="1" t="str">
        <f>IF(VLOOKUP(B84,Participanti!A:D,4,0)=0," ","New")</f>
        <v>New</v>
      </c>
      <c r="U84" s="130">
        <f>R84/S84/1000</f>
        <v>3.848153926157046E-3</v>
      </c>
    </row>
    <row r="85" spans="1:21" ht="13" x14ac:dyDescent="0.3">
      <c r="A85" s="79">
        <v>84</v>
      </c>
      <c r="B85" s="30" t="s">
        <v>170</v>
      </c>
      <c r="C85" s="68">
        <f>SUMIFS(Data!$H:$H,Data!$A:$A,Cataratorii!$B85,Data!$C:$C,Cataratorii!C$1)</f>
        <v>0</v>
      </c>
      <c r="D85" s="68">
        <f>SUMIFS(Data!$H:$H,Data!$A:$A,Cataratorii!$B85,Data!$C:$C,Cataratorii!D$1)</f>
        <v>0</v>
      </c>
      <c r="E85" s="68">
        <f>SUMIFS(Data!$H:$H,Data!$A:$A,Cataratorii!$B85,Data!$C:$C,Cataratorii!E$1)</f>
        <v>0</v>
      </c>
      <c r="F85" s="68">
        <f>SUMIFS(Data!$H:$H,Data!$A:$A,Cataratorii!$B85,Data!$C:$C,Cataratorii!F$1)</f>
        <v>0</v>
      </c>
      <c r="G85" s="68">
        <f>SUMIFS(Data!$H:$H,Data!$A:$A,Cataratorii!$B85,Data!$C:$C,Cataratorii!G$1)</f>
        <v>0</v>
      </c>
      <c r="H85" s="68">
        <f>SUMIFS(Data!$H:$H,Data!$A:$A,Cataratorii!$B85,Data!$C:$C,Cataratorii!H$1)</f>
        <v>0</v>
      </c>
      <c r="I85" s="68">
        <f>SUMIFS(Data!$H:$H,Data!$A:$A,Cataratorii!$B85,Data!$C:$C,Cataratorii!I$1)</f>
        <v>0</v>
      </c>
      <c r="J85" s="68">
        <f>SUMIFS(Data!$H:$H,Data!$A:$A,Cataratorii!$B85,Data!$C:$C,Cataratorii!J$1)</f>
        <v>92</v>
      </c>
      <c r="K85" s="68">
        <f>SUMIFS(Data!$H:$H,Data!$A:$A,Cataratorii!$B85,Data!$C:$C,Cataratorii!K$1)</f>
        <v>0</v>
      </c>
      <c r="L85" s="68">
        <f>SUMIFS(Data!$H:$H,Data!$A:$A,Cataratorii!$B85,Data!$C:$C,Cataratorii!L$1)</f>
        <v>0</v>
      </c>
      <c r="M85" s="68">
        <f>SUMIFS(Data!$H:$H,Data!$A:$A,Cataratorii!$B85,Data!$C:$C,Cataratorii!M$1)</f>
        <v>0</v>
      </c>
      <c r="N85" s="68">
        <f>SUMIFS(Data!$H:$H,Data!$A:$A,Cataratorii!$B85,Data!$C:$C,Cataratorii!N$1)</f>
        <v>52</v>
      </c>
      <c r="O85" s="68">
        <f>SUMIFS(Data!$H:$H,Data!$A:$A,Cataratorii!$B85,Data!$C:$C,Cataratorii!O$1)</f>
        <v>0</v>
      </c>
      <c r="P85" s="68">
        <f>SUMIFS(Data!$H:$H,Data!$A:$A,Cataratorii!$B85,Data!$C:$C,Cataratorii!P$1)</f>
        <v>0</v>
      </c>
      <c r="Q85" s="68">
        <f>SUMIFS(Data!$H:$H,Data!$A:$A,Cataratorii!$B85,Data!$C:$C,Cataratorii!Q$1)</f>
        <v>0</v>
      </c>
      <c r="R85" s="68">
        <f>SUM(C85:Q85)</f>
        <v>144</v>
      </c>
      <c r="S85" s="31">
        <f>SUMIFS(Data!D:D,Data!A:A,Cataratorii!B88)</f>
        <v>118.7</v>
      </c>
      <c r="T85" s="1" t="str">
        <f>IF(VLOOKUP(B85,Participanti!A:D,4,0)=0," ","New")</f>
        <v xml:space="preserve"> </v>
      </c>
      <c r="U85" s="130">
        <f>R85/S85/1000</f>
        <v>1.2131423757371525E-3</v>
      </c>
    </row>
    <row r="86" spans="1:21" ht="13" x14ac:dyDescent="0.3">
      <c r="A86" s="79">
        <v>85</v>
      </c>
      <c r="B86" s="30" t="s">
        <v>45</v>
      </c>
      <c r="C86" s="68">
        <f>SUMIFS(Data!$H:$H,Data!$A:$A,Cataratorii!$B86,Data!$C:$C,Cataratorii!C$1)</f>
        <v>0</v>
      </c>
      <c r="D86" s="68">
        <f>SUMIFS(Data!$H:$H,Data!$A:$A,Cataratorii!$B86,Data!$C:$C,Cataratorii!D$1)</f>
        <v>82</v>
      </c>
      <c r="E86" s="68">
        <f>SUMIFS(Data!$H:$H,Data!$A:$A,Cataratorii!$B86,Data!$C:$C,Cataratorii!E$1)</f>
        <v>59</v>
      </c>
      <c r="F86" s="68">
        <f>SUMIFS(Data!$H:$H,Data!$A:$A,Cataratorii!$B86,Data!$C:$C,Cataratorii!F$1)</f>
        <v>0</v>
      </c>
      <c r="G86" s="68">
        <f>SUMIFS(Data!$H:$H,Data!$A:$A,Cataratorii!$B86,Data!$C:$C,Cataratorii!G$1)</f>
        <v>0</v>
      </c>
      <c r="H86" s="68">
        <f>SUMIFS(Data!$H:$H,Data!$A:$A,Cataratorii!$B86,Data!$C:$C,Cataratorii!H$1)</f>
        <v>0</v>
      </c>
      <c r="I86" s="68">
        <f>SUMIFS(Data!$H:$H,Data!$A:$A,Cataratorii!$B86,Data!$C:$C,Cataratorii!I$1)</f>
        <v>0</v>
      </c>
      <c r="J86" s="68">
        <f>SUMIFS(Data!$H:$H,Data!$A:$A,Cataratorii!$B86,Data!$C:$C,Cataratorii!J$1)</f>
        <v>0</v>
      </c>
      <c r="K86" s="68">
        <f>SUMIFS(Data!$H:$H,Data!$A:$A,Cataratorii!$B86,Data!$C:$C,Cataratorii!K$1)</f>
        <v>0</v>
      </c>
      <c r="L86" s="68">
        <f>SUMIFS(Data!$H:$H,Data!$A:$A,Cataratorii!$B86,Data!$C:$C,Cataratorii!L$1)</f>
        <v>0</v>
      </c>
      <c r="M86" s="68">
        <f>SUMIFS(Data!$H:$H,Data!$A:$A,Cataratorii!$B86,Data!$C:$C,Cataratorii!M$1)</f>
        <v>0</v>
      </c>
      <c r="N86" s="68">
        <f>SUMIFS(Data!$H:$H,Data!$A:$A,Cataratorii!$B86,Data!$C:$C,Cataratorii!N$1)</f>
        <v>0</v>
      </c>
      <c r="O86" s="68">
        <f>SUMIFS(Data!$H:$H,Data!$A:$A,Cataratorii!$B86,Data!$C:$C,Cataratorii!O$1)</f>
        <v>0</v>
      </c>
      <c r="P86" s="68">
        <f>SUMIFS(Data!$H:$H,Data!$A:$A,Cataratorii!$B86,Data!$C:$C,Cataratorii!P$1)</f>
        <v>36</v>
      </c>
      <c r="Q86" s="68">
        <f>SUMIFS(Data!$H:$H,Data!$A:$A,Cataratorii!$B86,Data!$C:$C,Cataratorii!Q$1)</f>
        <v>0</v>
      </c>
      <c r="R86" s="68">
        <f>SUM(C86:Q86)</f>
        <v>177</v>
      </c>
      <c r="S86" s="31">
        <f>SUMIFS(Data!D:D,Data!A:A,Cataratorii!B86)</f>
        <v>124.5</v>
      </c>
      <c r="T86" s="1" t="str">
        <f>IF(VLOOKUP(B86,Participanti!A:D,4,0)=0," ","New")</f>
        <v xml:space="preserve"> </v>
      </c>
      <c r="U86" s="130">
        <f>R86/S86/1000</f>
        <v>1.4216867469879517E-3</v>
      </c>
    </row>
    <row r="87" spans="1:21" ht="13" x14ac:dyDescent="0.3">
      <c r="A87" s="79">
        <v>86</v>
      </c>
      <c r="B87" s="30" t="s">
        <v>53</v>
      </c>
      <c r="C87" s="68">
        <f>SUMIFS(Data!$H:$H,Data!$A:$A,Cataratorii!$B87,Data!$C:$C,Cataratorii!C$1)</f>
        <v>58</v>
      </c>
      <c r="D87" s="68">
        <f>SUMIFS(Data!$H:$H,Data!$A:$A,Cataratorii!$B87,Data!$C:$C,Cataratorii!D$1)</f>
        <v>57</v>
      </c>
      <c r="E87" s="68">
        <f>SUMIFS(Data!$H:$H,Data!$A:$A,Cataratorii!$B87,Data!$C:$C,Cataratorii!E$1)</f>
        <v>0</v>
      </c>
      <c r="F87" s="68">
        <f>SUMIFS(Data!$H:$H,Data!$A:$A,Cataratorii!$B87,Data!$C:$C,Cataratorii!F$1)</f>
        <v>0</v>
      </c>
      <c r="G87" s="68">
        <f>SUMIFS(Data!$H:$H,Data!$A:$A,Cataratorii!$B87,Data!$C:$C,Cataratorii!G$1)</f>
        <v>0</v>
      </c>
      <c r="H87" s="68">
        <f>SUMIFS(Data!$H:$H,Data!$A:$A,Cataratorii!$B87,Data!$C:$C,Cataratorii!H$1)</f>
        <v>0</v>
      </c>
      <c r="I87" s="68">
        <f>SUMIFS(Data!$H:$H,Data!$A:$A,Cataratorii!$B87,Data!$C:$C,Cataratorii!I$1)</f>
        <v>0</v>
      </c>
      <c r="J87" s="68">
        <f>SUMIFS(Data!$H:$H,Data!$A:$A,Cataratorii!$B87,Data!$C:$C,Cataratorii!J$1)</f>
        <v>0</v>
      </c>
      <c r="K87" s="68">
        <f>SUMIFS(Data!$H:$H,Data!$A:$A,Cataratorii!$B87,Data!$C:$C,Cataratorii!K$1)</f>
        <v>0</v>
      </c>
      <c r="L87" s="68">
        <f>SUMIFS(Data!$H:$H,Data!$A:$A,Cataratorii!$B87,Data!$C:$C,Cataratorii!L$1)</f>
        <v>0</v>
      </c>
      <c r="M87" s="68">
        <f>SUMIFS(Data!$H:$H,Data!$A:$A,Cataratorii!$B87,Data!$C:$C,Cataratorii!M$1)</f>
        <v>0</v>
      </c>
      <c r="N87" s="68">
        <f>SUMIFS(Data!$H:$H,Data!$A:$A,Cataratorii!$B87,Data!$C:$C,Cataratorii!N$1)</f>
        <v>0</v>
      </c>
      <c r="O87" s="68">
        <f>SUMIFS(Data!$H:$H,Data!$A:$A,Cataratorii!$B87,Data!$C:$C,Cataratorii!O$1)</f>
        <v>0</v>
      </c>
      <c r="P87" s="68">
        <f>SUMIFS(Data!$H:$H,Data!$A:$A,Cataratorii!$B87,Data!$C:$C,Cataratorii!P$1)</f>
        <v>0</v>
      </c>
      <c r="Q87" s="68">
        <f>SUMIFS(Data!$H:$H,Data!$A:$A,Cataratorii!$B87,Data!$C:$C,Cataratorii!Q$1)</f>
        <v>0</v>
      </c>
      <c r="R87" s="68">
        <f>SUM(C87:Q87)</f>
        <v>115</v>
      </c>
      <c r="S87" s="31">
        <f>SUMIFS(Data!D:D,Data!A:A,Cataratorii!B90)</f>
        <v>125.74</v>
      </c>
      <c r="T87" s="1" t="str">
        <f>IF(VLOOKUP(B87,Participanti!A:D,4,0)=0," ","New")</f>
        <v xml:space="preserve"> </v>
      </c>
      <c r="U87" s="130">
        <f>R87/S87/1000</f>
        <v>9.1458565293462703E-4</v>
      </c>
    </row>
    <row r="88" spans="1:21" ht="13" x14ac:dyDescent="0.3">
      <c r="A88" s="79">
        <v>87</v>
      </c>
      <c r="B88" s="30" t="s">
        <v>355</v>
      </c>
      <c r="C88" s="68">
        <f>SUMIFS(Data!$H:$H,Data!$A:$A,Cataratorii!$B88,Data!$C:$C,Cataratorii!C$1)</f>
        <v>0</v>
      </c>
      <c r="D88" s="68">
        <f>SUMIFS(Data!$H:$H,Data!$A:$A,Cataratorii!$B88,Data!$C:$C,Cataratorii!D$1)</f>
        <v>0</v>
      </c>
      <c r="E88" s="68">
        <f>SUMIFS(Data!$H:$H,Data!$A:$A,Cataratorii!$B88,Data!$C:$C,Cataratorii!E$1)</f>
        <v>0</v>
      </c>
      <c r="F88" s="68">
        <f>SUMIFS(Data!$H:$H,Data!$A:$A,Cataratorii!$B88,Data!$C:$C,Cataratorii!F$1)</f>
        <v>0</v>
      </c>
      <c r="G88" s="68">
        <f>SUMIFS(Data!$H:$H,Data!$A:$A,Cataratorii!$B88,Data!$C:$C,Cataratorii!G$1)</f>
        <v>0</v>
      </c>
      <c r="H88" s="68">
        <f>SUMIFS(Data!$H:$H,Data!$A:$A,Cataratorii!$B88,Data!$C:$C,Cataratorii!H$1)</f>
        <v>0</v>
      </c>
      <c r="I88" s="68">
        <f>SUMIFS(Data!$H:$H,Data!$A:$A,Cataratorii!$B88,Data!$C:$C,Cataratorii!I$1)</f>
        <v>0</v>
      </c>
      <c r="J88" s="68">
        <f>SUMIFS(Data!$H:$H,Data!$A:$A,Cataratorii!$B88,Data!$C:$C,Cataratorii!J$1)</f>
        <v>0</v>
      </c>
      <c r="K88" s="68">
        <f>SUMIFS(Data!$H:$H,Data!$A:$A,Cataratorii!$B88,Data!$C:$C,Cataratorii!K$1)</f>
        <v>0</v>
      </c>
      <c r="L88" s="68">
        <f>SUMIFS(Data!$H:$H,Data!$A:$A,Cataratorii!$B88,Data!$C:$C,Cataratorii!L$1)</f>
        <v>102</v>
      </c>
      <c r="M88" s="68">
        <f>SUMIFS(Data!$H:$H,Data!$A:$A,Cataratorii!$B88,Data!$C:$C,Cataratorii!M$1)</f>
        <v>0</v>
      </c>
      <c r="N88" s="68">
        <f>SUMIFS(Data!$H:$H,Data!$A:$A,Cataratorii!$B88,Data!$C:$C,Cataratorii!N$1)</f>
        <v>0</v>
      </c>
      <c r="O88" s="68">
        <f>SUMIFS(Data!$H:$H,Data!$A:$A,Cataratorii!$B88,Data!$C:$C,Cataratorii!O$1)</f>
        <v>0</v>
      </c>
      <c r="P88" s="68">
        <f>SUMIFS(Data!$H:$H,Data!$A:$A,Cataratorii!$B88,Data!$C:$C,Cataratorii!P$1)</f>
        <v>13</v>
      </c>
      <c r="Q88" s="68">
        <f>SUMIFS(Data!$H:$H,Data!$A:$A,Cataratorii!$B88,Data!$C:$C,Cataratorii!Q$1)</f>
        <v>0</v>
      </c>
      <c r="R88" s="68">
        <f>SUM(C88:Q88)</f>
        <v>115</v>
      </c>
      <c r="S88" s="31">
        <f>SUMIFS(Data!D:D,Data!A:A,Cataratorii!B91)</f>
        <v>138.20000000000002</v>
      </c>
      <c r="T88" s="1" t="str">
        <f>IF(VLOOKUP(B88,Participanti!A:D,4,0)=0," ","New")</f>
        <v>New</v>
      </c>
      <c r="U88" s="130">
        <f>R88/S88/1000</f>
        <v>8.3212735166425457E-4</v>
      </c>
    </row>
    <row r="89" spans="1:21" ht="13" x14ac:dyDescent="0.3">
      <c r="A89" s="79">
        <v>88</v>
      </c>
      <c r="B89" s="30" t="s">
        <v>363</v>
      </c>
      <c r="C89" s="68">
        <f>SUMIFS(Data!$H:$H,Data!$A:$A,Cataratorii!$B105,Data!$C:$C,Cataratorii!C$1)</f>
        <v>0</v>
      </c>
      <c r="D89" s="68">
        <f>SUMIFS(Data!$H:$H,Data!$A:$A,Cataratorii!$B105,Data!$C:$C,Cataratorii!D$1)</f>
        <v>0</v>
      </c>
      <c r="E89" s="68">
        <f>SUMIFS(Data!$H:$H,Data!$A:$A,Cataratorii!$B105,Data!$C:$C,Cataratorii!E$1)</f>
        <v>0</v>
      </c>
      <c r="F89" s="68">
        <f>SUMIFS(Data!$H:$H,Data!$A:$A,Cataratorii!$B105,Data!$C:$C,Cataratorii!F$1)</f>
        <v>0</v>
      </c>
      <c r="G89" s="68">
        <f>SUMIFS(Data!$H:$H,Data!$A:$A,Cataratorii!$B105,Data!$C:$C,Cataratorii!G$1)</f>
        <v>0</v>
      </c>
      <c r="H89" s="68">
        <f>SUMIFS(Data!$H:$H,Data!$A:$A,Cataratorii!$B105,Data!$C:$C,Cataratorii!H$1)</f>
        <v>0</v>
      </c>
      <c r="I89" s="68">
        <f>SUMIFS(Data!$H:$H,Data!$A:$A,Cataratorii!$B105,Data!$C:$C,Cataratorii!I$1)</f>
        <v>0</v>
      </c>
      <c r="J89" s="68">
        <f>SUMIFS(Data!$H:$H,Data!$A:$A,Cataratorii!$B105,Data!$C:$C,Cataratorii!J$1)</f>
        <v>0</v>
      </c>
      <c r="K89" s="68">
        <f>SUMIFS(Data!$H:$H,Data!$A:$A,Cataratorii!$B105,Data!$C:$C,Cataratorii!K$1)</f>
        <v>0</v>
      </c>
      <c r="L89" s="68">
        <f>SUMIFS(Data!$H:$H,Data!$A:$A,Cataratorii!$B105,Data!$C:$C,Cataratorii!L$1)</f>
        <v>0</v>
      </c>
      <c r="M89" s="68">
        <f>SUMIFS(Data!$H:$H,Data!$A:$A,Cataratorii!$B105,Data!$C:$C,Cataratorii!M$1)</f>
        <v>0</v>
      </c>
      <c r="N89" s="68">
        <f>SUMIFS(Data!$H:$H,Data!$A:$A,Cataratorii!$B105,Data!$C:$C,Cataratorii!N$1)</f>
        <v>0</v>
      </c>
      <c r="O89" s="68">
        <f>SUMIFS(Data!$H:$H,Data!$A:$A,Cataratorii!$B105,Data!$C:$C,Cataratorii!O$1)</f>
        <v>0</v>
      </c>
      <c r="P89" s="68">
        <f>SUMIFS(Data!$H:$H,Data!$A:$A,Cataratorii!$B105,Data!$C:$C,Cataratorii!P$1)</f>
        <v>0</v>
      </c>
      <c r="Q89" s="68">
        <f>SUMIFS(Data!$H:$H,Data!$A:$A,Cataratorii!$B105,Data!$C:$C,Cataratorii!Q$1)</f>
        <v>0</v>
      </c>
      <c r="R89" s="68">
        <f>SUM(C89:Q89)</f>
        <v>0</v>
      </c>
      <c r="S89" s="31">
        <f>SUMIFS(Data!D:D,Data!A:A,Cataratorii!B59)</f>
        <v>5</v>
      </c>
      <c r="T89" s="1" t="str">
        <f>IF(VLOOKUP(B89,Participanti!A:D,4,0)=0," ","New")</f>
        <v>New</v>
      </c>
      <c r="U89" s="130">
        <f>R89/S89/1000</f>
        <v>0</v>
      </c>
    </row>
    <row r="90" spans="1:21" ht="13" x14ac:dyDescent="0.3">
      <c r="A90" s="79">
        <v>89</v>
      </c>
      <c r="B90" s="30" t="s">
        <v>100</v>
      </c>
      <c r="C90" s="68">
        <f>SUMIFS(Data!$H:$H,Data!$A:$A,Cataratorii!$B90,Data!$C:$C,Cataratorii!C$1)</f>
        <v>0</v>
      </c>
      <c r="D90" s="68">
        <f>SUMIFS(Data!$H:$H,Data!$A:$A,Cataratorii!$B90,Data!$C:$C,Cataratorii!D$1)</f>
        <v>0</v>
      </c>
      <c r="E90" s="68">
        <f>SUMIFS(Data!$H:$H,Data!$A:$A,Cataratorii!$B90,Data!$C:$C,Cataratorii!E$1)</f>
        <v>0</v>
      </c>
      <c r="F90" s="68">
        <f>SUMIFS(Data!$H:$H,Data!$A:$A,Cataratorii!$B90,Data!$C:$C,Cataratorii!F$1)</f>
        <v>0</v>
      </c>
      <c r="G90" s="68">
        <f>SUMIFS(Data!$H:$H,Data!$A:$A,Cataratorii!$B90,Data!$C:$C,Cataratorii!G$1)</f>
        <v>0</v>
      </c>
      <c r="H90" s="68">
        <f>SUMIFS(Data!$H:$H,Data!$A:$A,Cataratorii!$B90,Data!$C:$C,Cataratorii!H$1)</f>
        <v>0</v>
      </c>
      <c r="I90" s="68">
        <f>SUMIFS(Data!$H:$H,Data!$A:$A,Cataratorii!$B90,Data!$C:$C,Cataratorii!I$1)</f>
        <v>74</v>
      </c>
      <c r="J90" s="68">
        <f>SUMIFS(Data!$H:$H,Data!$A:$A,Cataratorii!$B90,Data!$C:$C,Cataratorii!J$1)</f>
        <v>0</v>
      </c>
      <c r="K90" s="68">
        <f>SUMIFS(Data!$H:$H,Data!$A:$A,Cataratorii!$B90,Data!$C:$C,Cataratorii!K$1)</f>
        <v>0</v>
      </c>
      <c r="L90" s="68">
        <f>SUMIFS(Data!$H:$H,Data!$A:$A,Cataratorii!$B90,Data!$C:$C,Cataratorii!L$1)</f>
        <v>0</v>
      </c>
      <c r="M90" s="68">
        <f>SUMIFS(Data!$H:$H,Data!$A:$A,Cataratorii!$B90,Data!$C:$C,Cataratorii!M$1)</f>
        <v>0</v>
      </c>
      <c r="N90" s="68">
        <f>SUMIFS(Data!$H:$H,Data!$A:$A,Cataratorii!$B90,Data!$C:$C,Cataratorii!N$1)</f>
        <v>0</v>
      </c>
      <c r="O90" s="68">
        <f>SUMIFS(Data!$H:$H,Data!$A:$A,Cataratorii!$B90,Data!$C:$C,Cataratorii!O$1)</f>
        <v>0</v>
      </c>
      <c r="P90" s="68">
        <f>SUMIFS(Data!$H:$H,Data!$A:$A,Cataratorii!$B90,Data!$C:$C,Cataratorii!P$1)</f>
        <v>0</v>
      </c>
      <c r="Q90" s="68">
        <f>SUMIFS(Data!$H:$H,Data!$A:$A,Cataratorii!$B90,Data!$C:$C,Cataratorii!Q$1)</f>
        <v>0</v>
      </c>
      <c r="R90" s="68">
        <f>SUM(C90:Q90)</f>
        <v>74</v>
      </c>
      <c r="S90" s="31">
        <f>SUMIFS(Data!D:D,Data!A:A,Cataratorii!B93)</f>
        <v>198.39000000000001</v>
      </c>
      <c r="T90" s="1" t="str">
        <f>IF(VLOOKUP(B90,Participanti!A:D,4,0)=0," ","New")</f>
        <v xml:space="preserve"> </v>
      </c>
      <c r="U90" s="130">
        <f>R90/S90/1000</f>
        <v>3.730026715056202E-4</v>
      </c>
    </row>
    <row r="91" spans="1:21" ht="13" x14ac:dyDescent="0.3">
      <c r="A91" s="79">
        <v>90</v>
      </c>
      <c r="B91" s="30" t="s">
        <v>383</v>
      </c>
      <c r="C91" s="68">
        <f>SUMIFS(Data!$H:$H,Data!$A:$A,Cataratorii!$B91,Data!$C:$C,Cataratorii!C$1)</f>
        <v>0</v>
      </c>
      <c r="D91" s="68">
        <f>SUMIFS(Data!$H:$H,Data!$A:$A,Cataratorii!$B91,Data!$C:$C,Cataratorii!D$1)</f>
        <v>0</v>
      </c>
      <c r="E91" s="68">
        <f>SUMIFS(Data!$H:$H,Data!$A:$A,Cataratorii!$B91,Data!$C:$C,Cataratorii!E$1)</f>
        <v>0</v>
      </c>
      <c r="F91" s="68">
        <f>SUMIFS(Data!$H:$H,Data!$A:$A,Cataratorii!$B91,Data!$C:$C,Cataratorii!F$1)</f>
        <v>0</v>
      </c>
      <c r="G91" s="68">
        <f>SUMIFS(Data!$H:$H,Data!$A:$A,Cataratorii!$B91,Data!$C:$C,Cataratorii!G$1)</f>
        <v>0</v>
      </c>
      <c r="H91" s="68">
        <f>SUMIFS(Data!$H:$H,Data!$A:$A,Cataratorii!$B91,Data!$C:$C,Cataratorii!H$1)</f>
        <v>0</v>
      </c>
      <c r="I91" s="68">
        <f>SUMIFS(Data!$H:$H,Data!$A:$A,Cataratorii!$B91,Data!$C:$C,Cataratorii!I$1)</f>
        <v>0</v>
      </c>
      <c r="J91" s="68">
        <f>SUMIFS(Data!$H:$H,Data!$A:$A,Cataratorii!$B91,Data!$C:$C,Cataratorii!J$1)</f>
        <v>0</v>
      </c>
      <c r="K91" s="68">
        <f>SUMIFS(Data!$H:$H,Data!$A:$A,Cataratorii!$B91,Data!$C:$C,Cataratorii!K$1)</f>
        <v>0</v>
      </c>
      <c r="L91" s="68">
        <f>SUMIFS(Data!$H:$H,Data!$A:$A,Cataratorii!$B91,Data!$C:$C,Cataratorii!L$1)</f>
        <v>54</v>
      </c>
      <c r="M91" s="68">
        <f>SUMIFS(Data!$H:$H,Data!$A:$A,Cataratorii!$B91,Data!$C:$C,Cataratorii!M$1)</f>
        <v>0</v>
      </c>
      <c r="N91" s="68">
        <f>SUMIFS(Data!$H:$H,Data!$A:$A,Cataratorii!$B91,Data!$C:$C,Cataratorii!N$1)</f>
        <v>0</v>
      </c>
      <c r="O91" s="68">
        <f>SUMIFS(Data!$H:$H,Data!$A:$A,Cataratorii!$B91,Data!$C:$C,Cataratorii!O$1)</f>
        <v>0</v>
      </c>
      <c r="P91" s="68">
        <f>SUMIFS(Data!$H:$H,Data!$A:$A,Cataratorii!$B91,Data!$C:$C,Cataratorii!P$1)</f>
        <v>0</v>
      </c>
      <c r="Q91" s="68">
        <f>SUMIFS(Data!$H:$H,Data!$A:$A,Cataratorii!$B91,Data!$C:$C,Cataratorii!Q$1)</f>
        <v>0</v>
      </c>
      <c r="R91" s="68">
        <f>SUM(C91:Q91)</f>
        <v>54</v>
      </c>
      <c r="S91" s="31">
        <f>SUMIFS(Data!D:D,Data!A:A,Cataratorii!B94)</f>
        <v>26.77</v>
      </c>
      <c r="T91" s="1" t="str">
        <f>IF(VLOOKUP(B91,Participanti!A:D,4,0)=0," ","New")</f>
        <v>New</v>
      </c>
      <c r="U91" s="130">
        <f>R91/S91/1000</f>
        <v>2.017183414269705E-3</v>
      </c>
    </row>
    <row r="92" spans="1:21" ht="13" x14ac:dyDescent="0.3">
      <c r="A92" s="79">
        <v>91</v>
      </c>
      <c r="B92" s="30" t="s">
        <v>381</v>
      </c>
      <c r="C92" s="68">
        <f>SUMIFS(Data!$H:$H,Data!$A:$A,Cataratorii!$B92,Data!$C:$C,Cataratorii!C$1)</f>
        <v>0</v>
      </c>
      <c r="D92" s="68">
        <f>SUMIFS(Data!$H:$H,Data!$A:$A,Cataratorii!$B92,Data!$C:$C,Cataratorii!D$1)</f>
        <v>52</v>
      </c>
      <c r="E92" s="68">
        <f>SUMIFS(Data!$H:$H,Data!$A:$A,Cataratorii!$B92,Data!$C:$C,Cataratorii!E$1)</f>
        <v>0</v>
      </c>
      <c r="F92" s="68">
        <f>SUMIFS(Data!$H:$H,Data!$A:$A,Cataratorii!$B92,Data!$C:$C,Cataratorii!F$1)</f>
        <v>0</v>
      </c>
      <c r="G92" s="68">
        <f>SUMIFS(Data!$H:$H,Data!$A:$A,Cataratorii!$B92,Data!$C:$C,Cataratorii!G$1)</f>
        <v>0</v>
      </c>
      <c r="H92" s="68">
        <f>SUMIFS(Data!$H:$H,Data!$A:$A,Cataratorii!$B92,Data!$C:$C,Cataratorii!H$1)</f>
        <v>0</v>
      </c>
      <c r="I92" s="68">
        <f>SUMIFS(Data!$H:$H,Data!$A:$A,Cataratorii!$B92,Data!$C:$C,Cataratorii!I$1)</f>
        <v>0</v>
      </c>
      <c r="J92" s="68">
        <f>SUMIFS(Data!$H:$H,Data!$A:$A,Cataratorii!$B92,Data!$C:$C,Cataratorii!J$1)</f>
        <v>0</v>
      </c>
      <c r="K92" s="68">
        <f>SUMIFS(Data!$H:$H,Data!$A:$A,Cataratorii!$B92,Data!$C:$C,Cataratorii!K$1)</f>
        <v>0</v>
      </c>
      <c r="L92" s="68">
        <f>SUMIFS(Data!$H:$H,Data!$A:$A,Cataratorii!$B92,Data!$C:$C,Cataratorii!L$1)</f>
        <v>0</v>
      </c>
      <c r="M92" s="68">
        <f>SUMIFS(Data!$H:$H,Data!$A:$A,Cataratorii!$B92,Data!$C:$C,Cataratorii!M$1)</f>
        <v>0</v>
      </c>
      <c r="N92" s="68">
        <f>SUMIFS(Data!$H:$H,Data!$A:$A,Cataratorii!$B92,Data!$C:$C,Cataratorii!N$1)</f>
        <v>0</v>
      </c>
      <c r="O92" s="68">
        <f>SUMIFS(Data!$H:$H,Data!$A:$A,Cataratorii!$B92,Data!$C:$C,Cataratorii!O$1)</f>
        <v>0</v>
      </c>
      <c r="P92" s="68">
        <f>SUMIFS(Data!$H:$H,Data!$A:$A,Cataratorii!$B92,Data!$C:$C,Cataratorii!P$1)</f>
        <v>0</v>
      </c>
      <c r="Q92" s="68">
        <f>SUMIFS(Data!$H:$H,Data!$A:$A,Cataratorii!$B92,Data!$C:$C,Cataratorii!Q$1)</f>
        <v>0</v>
      </c>
      <c r="R92" s="68">
        <f>SUM(C92:Q92)</f>
        <v>52</v>
      </c>
      <c r="S92" s="31">
        <f>SUMIFS(Data!D:D,Data!A:A,Cataratorii!B95)</f>
        <v>24.25</v>
      </c>
      <c r="T92" s="1" t="str">
        <f>IF(VLOOKUP(B92,Participanti!A:D,4,0)=0," ","New")</f>
        <v>New</v>
      </c>
      <c r="U92" s="130">
        <f>R92/S92/1000</f>
        <v>2.1443298969072164E-3</v>
      </c>
    </row>
    <row r="93" spans="1:21" ht="13" x14ac:dyDescent="0.3">
      <c r="A93" s="79">
        <v>92</v>
      </c>
      <c r="B93" s="30" t="s">
        <v>351</v>
      </c>
      <c r="C93" s="68">
        <f>SUMIFS(Data!$H:$H,Data!$A:$A,Cataratorii!$B93,Data!$C:$C,Cataratorii!C$1)</f>
        <v>0</v>
      </c>
      <c r="D93" s="68">
        <f>SUMIFS(Data!$H:$H,Data!$A:$A,Cataratorii!$B93,Data!$C:$C,Cataratorii!D$1)</f>
        <v>0</v>
      </c>
      <c r="E93" s="68">
        <f>SUMIFS(Data!$H:$H,Data!$A:$A,Cataratorii!$B93,Data!$C:$C,Cataratorii!E$1)</f>
        <v>0</v>
      </c>
      <c r="F93" s="68">
        <f>SUMIFS(Data!$H:$H,Data!$A:$A,Cataratorii!$B93,Data!$C:$C,Cataratorii!F$1)</f>
        <v>0</v>
      </c>
      <c r="G93" s="68">
        <f>SUMIFS(Data!$H:$H,Data!$A:$A,Cataratorii!$B93,Data!$C:$C,Cataratorii!G$1)</f>
        <v>0</v>
      </c>
      <c r="H93" s="68">
        <f>SUMIFS(Data!$H:$H,Data!$A:$A,Cataratorii!$B93,Data!$C:$C,Cataratorii!H$1)</f>
        <v>0</v>
      </c>
      <c r="I93" s="68">
        <f>SUMIFS(Data!$H:$H,Data!$A:$A,Cataratorii!$B93,Data!$C:$C,Cataratorii!I$1)</f>
        <v>0</v>
      </c>
      <c r="J93" s="68">
        <f>SUMIFS(Data!$H:$H,Data!$A:$A,Cataratorii!$B93,Data!$C:$C,Cataratorii!J$1)</f>
        <v>0</v>
      </c>
      <c r="K93" s="68">
        <f>SUMIFS(Data!$H:$H,Data!$A:$A,Cataratorii!$B93,Data!$C:$C,Cataratorii!K$1)</f>
        <v>0</v>
      </c>
      <c r="L93" s="68">
        <f>SUMIFS(Data!$H:$H,Data!$A:$A,Cataratorii!$B93,Data!$C:$C,Cataratorii!L$1)</f>
        <v>50</v>
      </c>
      <c r="M93" s="68">
        <f>SUMIFS(Data!$H:$H,Data!$A:$A,Cataratorii!$B93,Data!$C:$C,Cataratorii!M$1)</f>
        <v>0</v>
      </c>
      <c r="N93" s="68">
        <f>SUMIFS(Data!$H:$H,Data!$A:$A,Cataratorii!$B93,Data!$C:$C,Cataratorii!N$1)</f>
        <v>0</v>
      </c>
      <c r="O93" s="68">
        <f>SUMIFS(Data!$H:$H,Data!$A:$A,Cataratorii!$B93,Data!$C:$C,Cataratorii!O$1)</f>
        <v>0</v>
      </c>
      <c r="P93" s="68">
        <f>SUMIFS(Data!$H:$H,Data!$A:$A,Cataratorii!$B93,Data!$C:$C,Cataratorii!P$1)</f>
        <v>282</v>
      </c>
      <c r="Q93" s="68">
        <f>SUMIFS(Data!$H:$H,Data!$A:$A,Cataratorii!$B93,Data!$C:$C,Cataratorii!Q$1)</f>
        <v>0</v>
      </c>
      <c r="R93" s="68">
        <f>SUM(C93:Q93)</f>
        <v>332</v>
      </c>
      <c r="S93" s="31">
        <f>SUMIFS(Data!D:D,Data!A:A,Cataratorii!B78)</f>
        <v>57.51</v>
      </c>
      <c r="T93" s="1" t="str">
        <f>IF(VLOOKUP(B93,Participanti!A:D,4,0)=0," ","New")</f>
        <v>New</v>
      </c>
      <c r="U93" s="130">
        <f>R93/S93/1000</f>
        <v>5.7729090592940355E-3</v>
      </c>
    </row>
    <row r="94" spans="1:21" ht="13" x14ac:dyDescent="0.3">
      <c r="A94" s="79">
        <v>93</v>
      </c>
      <c r="B94" s="30" t="s">
        <v>337</v>
      </c>
      <c r="C94" s="68">
        <f>SUMIFS(Data!$H:$H,Data!$A:$A,Cataratorii!$B94,Data!$C:$C,Cataratorii!C$1)</f>
        <v>27</v>
      </c>
      <c r="D94" s="68">
        <f>SUMIFS(Data!$H:$H,Data!$A:$A,Cataratorii!$B94,Data!$C:$C,Cataratorii!D$1)</f>
        <v>0</v>
      </c>
      <c r="E94" s="68">
        <f>SUMIFS(Data!$H:$H,Data!$A:$A,Cataratorii!$B94,Data!$C:$C,Cataratorii!E$1)</f>
        <v>0</v>
      </c>
      <c r="F94" s="68">
        <f>SUMIFS(Data!$H:$H,Data!$A:$A,Cataratorii!$B94,Data!$C:$C,Cataratorii!F$1)</f>
        <v>0</v>
      </c>
      <c r="G94" s="68">
        <f>SUMIFS(Data!$H:$H,Data!$A:$A,Cataratorii!$B94,Data!$C:$C,Cataratorii!G$1)</f>
        <v>0</v>
      </c>
      <c r="H94" s="68">
        <f>SUMIFS(Data!$H:$H,Data!$A:$A,Cataratorii!$B94,Data!$C:$C,Cataratorii!H$1)</f>
        <v>0</v>
      </c>
      <c r="I94" s="68">
        <f>SUMIFS(Data!$H:$H,Data!$A:$A,Cataratorii!$B94,Data!$C:$C,Cataratorii!I$1)</f>
        <v>0</v>
      </c>
      <c r="J94" s="68">
        <f>SUMIFS(Data!$H:$H,Data!$A:$A,Cataratorii!$B94,Data!$C:$C,Cataratorii!J$1)</f>
        <v>0</v>
      </c>
      <c r="K94" s="68">
        <f>SUMIFS(Data!$H:$H,Data!$A:$A,Cataratorii!$B94,Data!$C:$C,Cataratorii!K$1)</f>
        <v>0</v>
      </c>
      <c r="L94" s="68">
        <f>SUMIFS(Data!$H:$H,Data!$A:$A,Cataratorii!$B94,Data!$C:$C,Cataratorii!L$1)</f>
        <v>0</v>
      </c>
      <c r="M94" s="68">
        <f>SUMIFS(Data!$H:$H,Data!$A:$A,Cataratorii!$B94,Data!$C:$C,Cataratorii!M$1)</f>
        <v>0</v>
      </c>
      <c r="N94" s="68">
        <f>SUMIFS(Data!$H:$H,Data!$A:$A,Cataratorii!$B94,Data!$C:$C,Cataratorii!N$1)</f>
        <v>0</v>
      </c>
      <c r="O94" s="68">
        <f>SUMIFS(Data!$H:$H,Data!$A:$A,Cataratorii!$B94,Data!$C:$C,Cataratorii!O$1)</f>
        <v>0</v>
      </c>
      <c r="P94" s="68">
        <f>SUMIFS(Data!$H:$H,Data!$A:$A,Cataratorii!$B94,Data!$C:$C,Cataratorii!P$1)</f>
        <v>0</v>
      </c>
      <c r="Q94" s="68">
        <f>SUMIFS(Data!$H:$H,Data!$A:$A,Cataratorii!$B94,Data!$C:$C,Cataratorii!Q$1)</f>
        <v>0</v>
      </c>
      <c r="R94" s="68">
        <f>SUM(C94:Q94)</f>
        <v>27</v>
      </c>
      <c r="S94" s="31">
        <f>SUMIFS(Data!D:D,Data!A:A,Cataratorii!B96)</f>
        <v>22.080000000000002</v>
      </c>
      <c r="T94" s="1" t="str">
        <f>IF(VLOOKUP(B94,Participanti!A:D,4,0)=0," ","New")</f>
        <v>New</v>
      </c>
      <c r="U94" s="130">
        <f>R94/S94/1000</f>
        <v>1.2228260869565218E-3</v>
      </c>
    </row>
    <row r="95" spans="1:21" ht="13" x14ac:dyDescent="0.3">
      <c r="A95" s="79">
        <v>94</v>
      </c>
      <c r="B95" s="30" t="s">
        <v>304</v>
      </c>
      <c r="C95" s="68">
        <f>SUMIFS(Data!$H:$H,Data!$A:$A,Cataratorii!$B95,Data!$C:$C,Cataratorii!C$1)</f>
        <v>0</v>
      </c>
      <c r="D95" s="68">
        <f>SUMIFS(Data!$H:$H,Data!$A:$A,Cataratorii!$B95,Data!$C:$C,Cataratorii!D$1)</f>
        <v>0</v>
      </c>
      <c r="E95" s="68">
        <f>SUMIFS(Data!$H:$H,Data!$A:$A,Cataratorii!$B95,Data!$C:$C,Cataratorii!E$1)</f>
        <v>23</v>
      </c>
      <c r="F95" s="68">
        <f>SUMIFS(Data!$H:$H,Data!$A:$A,Cataratorii!$B95,Data!$C:$C,Cataratorii!F$1)</f>
        <v>0</v>
      </c>
      <c r="G95" s="68">
        <f>SUMIFS(Data!$H:$H,Data!$A:$A,Cataratorii!$B95,Data!$C:$C,Cataratorii!G$1)</f>
        <v>0</v>
      </c>
      <c r="H95" s="68">
        <f>SUMIFS(Data!$H:$H,Data!$A:$A,Cataratorii!$B95,Data!$C:$C,Cataratorii!H$1)</f>
        <v>0</v>
      </c>
      <c r="I95" s="68">
        <f>SUMIFS(Data!$H:$H,Data!$A:$A,Cataratorii!$B95,Data!$C:$C,Cataratorii!I$1)</f>
        <v>0</v>
      </c>
      <c r="J95" s="68">
        <f>SUMIFS(Data!$H:$H,Data!$A:$A,Cataratorii!$B95,Data!$C:$C,Cataratorii!J$1)</f>
        <v>0</v>
      </c>
      <c r="K95" s="68">
        <f>SUMIFS(Data!$H:$H,Data!$A:$A,Cataratorii!$B95,Data!$C:$C,Cataratorii!K$1)</f>
        <v>0</v>
      </c>
      <c r="L95" s="68">
        <f>SUMIFS(Data!$H:$H,Data!$A:$A,Cataratorii!$B95,Data!$C:$C,Cataratorii!L$1)</f>
        <v>0</v>
      </c>
      <c r="M95" s="68">
        <f>SUMIFS(Data!$H:$H,Data!$A:$A,Cataratorii!$B95,Data!$C:$C,Cataratorii!M$1)</f>
        <v>0</v>
      </c>
      <c r="N95" s="68">
        <f>SUMIFS(Data!$H:$H,Data!$A:$A,Cataratorii!$B95,Data!$C:$C,Cataratorii!N$1)</f>
        <v>0</v>
      </c>
      <c r="O95" s="68">
        <f>SUMIFS(Data!$H:$H,Data!$A:$A,Cataratorii!$B95,Data!$C:$C,Cataratorii!O$1)</f>
        <v>0</v>
      </c>
      <c r="P95" s="68">
        <f>SUMIFS(Data!$H:$H,Data!$A:$A,Cataratorii!$B95,Data!$C:$C,Cataratorii!P$1)</f>
        <v>0</v>
      </c>
      <c r="Q95" s="68">
        <f>SUMIFS(Data!$H:$H,Data!$A:$A,Cataratorii!$B95,Data!$C:$C,Cataratorii!Q$1)</f>
        <v>0</v>
      </c>
      <c r="R95" s="68">
        <f>SUM(C95:Q95)</f>
        <v>23</v>
      </c>
      <c r="S95" s="31">
        <f>SUMIFS(Data!D:D,Data!A:A,Cataratorii!B97)</f>
        <v>5.04</v>
      </c>
      <c r="T95" s="1" t="str">
        <f>IF(VLOOKUP(B95,Participanti!A:D,4,0)=0," ","New")</f>
        <v xml:space="preserve"> </v>
      </c>
      <c r="U95" s="130">
        <f>R95/S95/1000</f>
        <v>4.5634920634920629E-3</v>
      </c>
    </row>
    <row r="96" spans="1:21" ht="13" x14ac:dyDescent="0.3">
      <c r="A96" s="79">
        <v>95</v>
      </c>
      <c r="B96" s="30" t="s">
        <v>373</v>
      </c>
      <c r="C96" s="68">
        <f>SUMIFS(Data!$H:$H,Data!$A:$A,Cataratorii!$B96,Data!$C:$C,Cataratorii!C$1)</f>
        <v>21</v>
      </c>
      <c r="D96" s="68">
        <f>SUMIFS(Data!$H:$H,Data!$A:$A,Cataratorii!$B96,Data!$C:$C,Cataratorii!D$1)</f>
        <v>0</v>
      </c>
      <c r="E96" s="68">
        <f>SUMIFS(Data!$H:$H,Data!$A:$A,Cataratorii!$B96,Data!$C:$C,Cataratorii!E$1)</f>
        <v>0</v>
      </c>
      <c r="F96" s="68">
        <f>SUMIFS(Data!$H:$H,Data!$A:$A,Cataratorii!$B96,Data!$C:$C,Cataratorii!F$1)</f>
        <v>0</v>
      </c>
      <c r="G96" s="68">
        <f>SUMIFS(Data!$H:$H,Data!$A:$A,Cataratorii!$B96,Data!$C:$C,Cataratorii!G$1)</f>
        <v>0</v>
      </c>
      <c r="H96" s="68">
        <f>SUMIFS(Data!$H:$H,Data!$A:$A,Cataratorii!$B96,Data!$C:$C,Cataratorii!H$1)</f>
        <v>0</v>
      </c>
      <c r="I96" s="68">
        <f>SUMIFS(Data!$H:$H,Data!$A:$A,Cataratorii!$B96,Data!$C:$C,Cataratorii!I$1)</f>
        <v>0</v>
      </c>
      <c r="J96" s="68">
        <f>SUMIFS(Data!$H:$H,Data!$A:$A,Cataratorii!$B96,Data!$C:$C,Cataratorii!J$1)</f>
        <v>0</v>
      </c>
      <c r="K96" s="68">
        <f>SUMIFS(Data!$H:$H,Data!$A:$A,Cataratorii!$B96,Data!$C:$C,Cataratorii!K$1)</f>
        <v>0</v>
      </c>
      <c r="L96" s="68">
        <f>SUMIFS(Data!$H:$H,Data!$A:$A,Cataratorii!$B96,Data!$C:$C,Cataratorii!L$1)</f>
        <v>0</v>
      </c>
      <c r="M96" s="68">
        <f>SUMIFS(Data!$H:$H,Data!$A:$A,Cataratorii!$B96,Data!$C:$C,Cataratorii!M$1)</f>
        <v>0</v>
      </c>
      <c r="N96" s="68">
        <f>SUMIFS(Data!$H:$H,Data!$A:$A,Cataratorii!$B96,Data!$C:$C,Cataratorii!N$1)</f>
        <v>0</v>
      </c>
      <c r="O96" s="68">
        <f>SUMIFS(Data!$H:$H,Data!$A:$A,Cataratorii!$B96,Data!$C:$C,Cataratorii!O$1)</f>
        <v>0</v>
      </c>
      <c r="P96" s="68">
        <f>SUMIFS(Data!$H:$H,Data!$A:$A,Cataratorii!$B96,Data!$C:$C,Cataratorii!P$1)</f>
        <v>0</v>
      </c>
      <c r="Q96" s="68">
        <f>SUMIFS(Data!$H:$H,Data!$A:$A,Cataratorii!$B96,Data!$C:$C,Cataratorii!Q$1)</f>
        <v>0</v>
      </c>
      <c r="R96" s="68">
        <f>SUM(C96:Q96)</f>
        <v>21</v>
      </c>
      <c r="S96" s="31">
        <f>SUMIFS(Data!D:D,Data!A:A,Cataratorii!B98)</f>
        <v>217.53000000000003</v>
      </c>
      <c r="T96" s="1" t="str">
        <f>IF(VLOOKUP(B96,Participanti!A:D,4,0)=0," ","New")</f>
        <v>New</v>
      </c>
      <c r="U96" s="130">
        <f>R96/S96/1000</f>
        <v>9.6538408495379941E-5</v>
      </c>
    </row>
    <row r="97" spans="1:21" ht="13" x14ac:dyDescent="0.3">
      <c r="A97" s="79">
        <v>96</v>
      </c>
      <c r="B97" s="30" t="s">
        <v>342</v>
      </c>
      <c r="C97" s="68">
        <f>SUMIFS(Data!$H:$H,Data!$A:$A,Cataratorii!$B97,Data!$C:$C,Cataratorii!C$1)</f>
        <v>3</v>
      </c>
      <c r="D97" s="68">
        <f>SUMIFS(Data!$H:$H,Data!$A:$A,Cataratorii!$B97,Data!$C:$C,Cataratorii!D$1)</f>
        <v>0</v>
      </c>
      <c r="E97" s="68">
        <f>SUMIFS(Data!$H:$H,Data!$A:$A,Cataratorii!$B97,Data!$C:$C,Cataratorii!E$1)</f>
        <v>0</v>
      </c>
      <c r="F97" s="68">
        <f>SUMIFS(Data!$H:$H,Data!$A:$A,Cataratorii!$B97,Data!$C:$C,Cataratorii!F$1)</f>
        <v>0</v>
      </c>
      <c r="G97" s="68">
        <f>SUMIFS(Data!$H:$H,Data!$A:$A,Cataratorii!$B97,Data!$C:$C,Cataratorii!G$1)</f>
        <v>0</v>
      </c>
      <c r="H97" s="68">
        <f>SUMIFS(Data!$H:$H,Data!$A:$A,Cataratorii!$B97,Data!$C:$C,Cataratorii!H$1)</f>
        <v>0</v>
      </c>
      <c r="I97" s="68">
        <f>SUMIFS(Data!$H:$H,Data!$A:$A,Cataratorii!$B97,Data!$C:$C,Cataratorii!I$1)</f>
        <v>0</v>
      </c>
      <c r="J97" s="68">
        <f>SUMIFS(Data!$H:$H,Data!$A:$A,Cataratorii!$B97,Data!$C:$C,Cataratorii!J$1)</f>
        <v>0</v>
      </c>
      <c r="K97" s="68">
        <f>SUMIFS(Data!$H:$H,Data!$A:$A,Cataratorii!$B97,Data!$C:$C,Cataratorii!K$1)</f>
        <v>0</v>
      </c>
      <c r="L97" s="68">
        <f>SUMIFS(Data!$H:$H,Data!$A:$A,Cataratorii!$B97,Data!$C:$C,Cataratorii!L$1)</f>
        <v>0</v>
      </c>
      <c r="M97" s="68">
        <f>SUMIFS(Data!$H:$H,Data!$A:$A,Cataratorii!$B97,Data!$C:$C,Cataratorii!M$1)</f>
        <v>0</v>
      </c>
      <c r="N97" s="68">
        <f>SUMIFS(Data!$H:$H,Data!$A:$A,Cataratorii!$B97,Data!$C:$C,Cataratorii!N$1)</f>
        <v>0</v>
      </c>
      <c r="O97" s="68">
        <f>SUMIFS(Data!$H:$H,Data!$A:$A,Cataratorii!$B97,Data!$C:$C,Cataratorii!O$1)</f>
        <v>0</v>
      </c>
      <c r="P97" s="68">
        <f>SUMIFS(Data!$H:$H,Data!$A:$A,Cataratorii!$B97,Data!$C:$C,Cataratorii!P$1)</f>
        <v>0</v>
      </c>
      <c r="Q97" s="68">
        <f>SUMIFS(Data!$H:$H,Data!$A:$A,Cataratorii!$B97,Data!$C:$C,Cataratorii!Q$1)</f>
        <v>0</v>
      </c>
      <c r="R97" s="68">
        <f>SUM(C97:Q97)</f>
        <v>3</v>
      </c>
      <c r="S97" s="31">
        <f>SUMIFS(Data!D:D,Data!A:A,Cataratorii!B100)</f>
        <v>149.85999999999999</v>
      </c>
      <c r="T97" s="1" t="str">
        <f>IF(VLOOKUP(B97,Participanti!A:D,4,0)=0," ","New")</f>
        <v>New</v>
      </c>
      <c r="U97" s="130">
        <f>R97/S97/1000</f>
        <v>2.0018684105164824E-5</v>
      </c>
    </row>
    <row r="98" spans="1:21" ht="13" x14ac:dyDescent="0.3">
      <c r="A98" s="79">
        <v>97</v>
      </c>
      <c r="B98" s="30" t="s">
        <v>333</v>
      </c>
      <c r="C98" s="68">
        <f>SUMIFS(Data!$H:$H,Data!$A:$A,Cataratorii!$B98,Data!$C:$C,Cataratorii!C$1)</f>
        <v>0</v>
      </c>
      <c r="D98" s="68">
        <f>SUMIFS(Data!$H:$H,Data!$A:$A,Cataratorii!$B98,Data!$C:$C,Cataratorii!D$1)</f>
        <v>0</v>
      </c>
      <c r="E98" s="68">
        <f>SUMIFS(Data!$H:$H,Data!$A:$A,Cataratorii!$B98,Data!$C:$C,Cataratorii!E$1)</f>
        <v>0</v>
      </c>
      <c r="F98" s="68">
        <f>SUMIFS(Data!$H:$H,Data!$A:$A,Cataratorii!$B98,Data!$C:$C,Cataratorii!F$1)</f>
        <v>0</v>
      </c>
      <c r="G98" s="68">
        <f>SUMIFS(Data!$H:$H,Data!$A:$A,Cataratorii!$B98,Data!$C:$C,Cataratorii!G$1)</f>
        <v>0</v>
      </c>
      <c r="H98" s="68">
        <f>SUMIFS(Data!$H:$H,Data!$A:$A,Cataratorii!$B98,Data!$C:$C,Cataratorii!H$1)</f>
        <v>0</v>
      </c>
      <c r="I98" s="68">
        <f>SUMIFS(Data!$H:$H,Data!$A:$A,Cataratorii!$B98,Data!$C:$C,Cataratorii!I$1)</f>
        <v>0</v>
      </c>
      <c r="J98" s="68">
        <f>SUMIFS(Data!$H:$H,Data!$A:$A,Cataratorii!$B98,Data!$C:$C,Cataratorii!J$1)</f>
        <v>0</v>
      </c>
      <c r="K98" s="68">
        <f>SUMIFS(Data!$H:$H,Data!$A:$A,Cataratorii!$B98,Data!$C:$C,Cataratorii!K$1)</f>
        <v>0</v>
      </c>
      <c r="L98" s="68">
        <f>SUMIFS(Data!$H:$H,Data!$A:$A,Cataratorii!$B98,Data!$C:$C,Cataratorii!L$1)</f>
        <v>0</v>
      </c>
      <c r="M98" s="68">
        <f>SUMIFS(Data!$H:$H,Data!$A:$A,Cataratorii!$B98,Data!$C:$C,Cataratorii!M$1)</f>
        <v>0</v>
      </c>
      <c r="N98" s="68">
        <f>SUMIFS(Data!$H:$H,Data!$A:$A,Cataratorii!$B98,Data!$C:$C,Cataratorii!N$1)</f>
        <v>0</v>
      </c>
      <c r="O98" s="68">
        <f>SUMIFS(Data!$H:$H,Data!$A:$A,Cataratorii!$B98,Data!$C:$C,Cataratorii!O$1)</f>
        <v>0</v>
      </c>
      <c r="P98" s="68">
        <f>SUMIFS(Data!$H:$H,Data!$A:$A,Cataratorii!$B98,Data!$C:$C,Cataratorii!P$1)</f>
        <v>0</v>
      </c>
      <c r="Q98" s="68">
        <f>SUMIFS(Data!$H:$H,Data!$A:$A,Cataratorii!$B98,Data!$C:$C,Cataratorii!Q$1)</f>
        <v>0</v>
      </c>
      <c r="R98" s="68">
        <f>SUM(C98:Q98)</f>
        <v>0</v>
      </c>
      <c r="S98" s="31">
        <f>SUMIFS(Data!D:D,Data!A:A,Cataratorii!B101)</f>
        <v>67.760000000000005</v>
      </c>
      <c r="T98" s="1" t="str">
        <f>IF(VLOOKUP(B98,Participanti!A:D,4,0)=0," ","New")</f>
        <v>New</v>
      </c>
      <c r="U98" s="130">
        <f>R98/S98/1000</f>
        <v>0</v>
      </c>
    </row>
    <row r="99" spans="1:21" ht="13" x14ac:dyDescent="0.3">
      <c r="A99" s="79">
        <v>98</v>
      </c>
      <c r="B99" s="30" t="s">
        <v>177</v>
      </c>
      <c r="C99" s="68">
        <f>SUMIFS(Data!$H:$H,Data!$A:$A,Cataratorii!$B110,Data!$C:$C,Cataratorii!C$1)</f>
        <v>0</v>
      </c>
      <c r="D99" s="68">
        <f>SUMIFS(Data!$H:$H,Data!$A:$A,Cataratorii!$B110,Data!$C:$C,Cataratorii!D$1)</f>
        <v>0</v>
      </c>
      <c r="E99" s="68">
        <f>SUMIFS(Data!$H:$H,Data!$A:$A,Cataratorii!$B110,Data!$C:$C,Cataratorii!E$1)</f>
        <v>0</v>
      </c>
      <c r="F99" s="68">
        <f>SUMIFS(Data!$H:$H,Data!$A:$A,Cataratorii!$B110,Data!$C:$C,Cataratorii!F$1)</f>
        <v>0</v>
      </c>
      <c r="G99" s="68">
        <f>SUMIFS(Data!$H:$H,Data!$A:$A,Cataratorii!$B110,Data!$C:$C,Cataratorii!G$1)</f>
        <v>0</v>
      </c>
      <c r="H99" s="68">
        <f>SUMIFS(Data!$H:$H,Data!$A:$A,Cataratorii!$B110,Data!$C:$C,Cataratorii!H$1)</f>
        <v>0</v>
      </c>
      <c r="I99" s="68">
        <f>SUMIFS(Data!$H:$H,Data!$A:$A,Cataratorii!$B110,Data!$C:$C,Cataratorii!I$1)</f>
        <v>0</v>
      </c>
      <c r="J99" s="68">
        <f>SUMIFS(Data!$H:$H,Data!$A:$A,Cataratorii!$B110,Data!$C:$C,Cataratorii!J$1)</f>
        <v>0</v>
      </c>
      <c r="K99" s="68">
        <f>SUMIFS(Data!$H:$H,Data!$A:$A,Cataratorii!$B110,Data!$C:$C,Cataratorii!K$1)</f>
        <v>0</v>
      </c>
      <c r="L99" s="68">
        <f>SUMIFS(Data!$H:$H,Data!$A:$A,Cataratorii!$B110,Data!$C:$C,Cataratorii!L$1)</f>
        <v>0</v>
      </c>
      <c r="M99" s="68">
        <f>SUMIFS(Data!$H:$H,Data!$A:$A,Cataratorii!$B110,Data!$C:$C,Cataratorii!M$1)</f>
        <v>0</v>
      </c>
      <c r="N99" s="68">
        <f>SUMIFS(Data!$H:$H,Data!$A:$A,Cataratorii!$B110,Data!$C:$C,Cataratorii!N$1)</f>
        <v>0</v>
      </c>
      <c r="O99" s="68">
        <f>SUMIFS(Data!$H:$H,Data!$A:$A,Cataratorii!$B110,Data!$C:$C,Cataratorii!O$1)</f>
        <v>0</v>
      </c>
      <c r="P99" s="68">
        <f>SUMIFS(Data!$H:$H,Data!$A:$A,Cataratorii!$B110,Data!$C:$C,Cataratorii!P$1)</f>
        <v>0</v>
      </c>
      <c r="Q99" s="68">
        <f>SUMIFS(Data!$H:$H,Data!$A:$A,Cataratorii!$B110,Data!$C:$C,Cataratorii!Q$1)</f>
        <v>0</v>
      </c>
      <c r="R99" s="68">
        <f>SUM(C99:Q99)</f>
        <v>0</v>
      </c>
      <c r="S99" s="31">
        <f>SUMIFS(Data!D:D,Data!A:A,Cataratorii!B112)</f>
        <v>122.88999999999999</v>
      </c>
      <c r="T99" s="1" t="str">
        <f>IF(VLOOKUP(B99,Participanti!A:D,4,0)=0," ","New")</f>
        <v xml:space="preserve"> </v>
      </c>
      <c r="U99" s="130">
        <f>R99/S99/1000</f>
        <v>0</v>
      </c>
    </row>
    <row r="100" spans="1:21" ht="13" x14ac:dyDescent="0.3">
      <c r="A100" s="79">
        <v>99</v>
      </c>
      <c r="B100" s="30" t="s">
        <v>204</v>
      </c>
      <c r="C100" s="68">
        <f>SUMIFS(Data!$H:$H,Data!$A:$A,Cataratorii!$B100,Data!$C:$C,Cataratorii!C$1)</f>
        <v>0</v>
      </c>
      <c r="D100" s="68">
        <f>SUMIFS(Data!$H:$H,Data!$A:$A,Cataratorii!$B100,Data!$C:$C,Cataratorii!D$1)</f>
        <v>0</v>
      </c>
      <c r="E100" s="68">
        <f>SUMIFS(Data!$H:$H,Data!$A:$A,Cataratorii!$B100,Data!$C:$C,Cataratorii!E$1)</f>
        <v>0</v>
      </c>
      <c r="F100" s="68">
        <f>SUMIFS(Data!$H:$H,Data!$A:$A,Cataratorii!$B100,Data!$C:$C,Cataratorii!F$1)</f>
        <v>0</v>
      </c>
      <c r="G100" s="68">
        <f>SUMIFS(Data!$H:$H,Data!$A:$A,Cataratorii!$B100,Data!$C:$C,Cataratorii!G$1)</f>
        <v>0</v>
      </c>
      <c r="H100" s="68">
        <f>SUMIFS(Data!$H:$H,Data!$A:$A,Cataratorii!$B100,Data!$C:$C,Cataratorii!H$1)</f>
        <v>0</v>
      </c>
      <c r="I100" s="68">
        <f>SUMIFS(Data!$H:$H,Data!$A:$A,Cataratorii!$B100,Data!$C:$C,Cataratorii!I$1)</f>
        <v>0</v>
      </c>
      <c r="J100" s="68">
        <f>SUMIFS(Data!$H:$H,Data!$A:$A,Cataratorii!$B100,Data!$C:$C,Cataratorii!J$1)</f>
        <v>0</v>
      </c>
      <c r="K100" s="68">
        <f>SUMIFS(Data!$H:$H,Data!$A:$A,Cataratorii!$B100,Data!$C:$C,Cataratorii!K$1)</f>
        <v>0</v>
      </c>
      <c r="L100" s="68">
        <f>SUMIFS(Data!$H:$H,Data!$A:$A,Cataratorii!$B100,Data!$C:$C,Cataratorii!L$1)</f>
        <v>0</v>
      </c>
      <c r="M100" s="68">
        <f>SUMIFS(Data!$H:$H,Data!$A:$A,Cataratorii!$B100,Data!$C:$C,Cataratorii!M$1)</f>
        <v>0</v>
      </c>
      <c r="N100" s="68">
        <f>SUMIFS(Data!$H:$H,Data!$A:$A,Cataratorii!$B100,Data!$C:$C,Cataratorii!N$1)</f>
        <v>0</v>
      </c>
      <c r="O100" s="68">
        <f>SUMIFS(Data!$H:$H,Data!$A:$A,Cataratorii!$B100,Data!$C:$C,Cataratorii!O$1)</f>
        <v>0</v>
      </c>
      <c r="P100" s="68">
        <f>SUMIFS(Data!$H:$H,Data!$A:$A,Cataratorii!$B100,Data!$C:$C,Cataratorii!P$1)</f>
        <v>0</v>
      </c>
      <c r="Q100" s="68">
        <f>SUMIFS(Data!$H:$H,Data!$A:$A,Cataratorii!$B100,Data!$C:$C,Cataratorii!Q$1)</f>
        <v>0</v>
      </c>
      <c r="R100" s="68">
        <f>SUM(C100:Q100)</f>
        <v>0</v>
      </c>
      <c r="S100" s="31">
        <f>SUMIFS(Data!D:D,Data!A:A,Cataratorii!B106)</f>
        <v>122.39999999999999</v>
      </c>
      <c r="T100" s="1" t="str">
        <f>IF(VLOOKUP(B100,Participanti!A:D,4,0)=0," ","New")</f>
        <v xml:space="preserve"> </v>
      </c>
      <c r="U100" s="130">
        <f>R100/S100/1000</f>
        <v>0</v>
      </c>
    </row>
    <row r="101" spans="1:21" ht="13" x14ac:dyDescent="0.3">
      <c r="A101" s="79">
        <v>100</v>
      </c>
      <c r="B101" s="30" t="s">
        <v>241</v>
      </c>
      <c r="C101" s="68">
        <f>SUMIFS(Data!$H:$H,Data!$A:$A,Cataratorii!$B59,Data!$C:$C,Cataratorii!C$1)</f>
        <v>0</v>
      </c>
      <c r="D101" s="68">
        <f>SUMIFS(Data!$H:$H,Data!$A:$A,Cataratorii!$B59,Data!$C:$C,Cataratorii!D$1)</f>
        <v>0</v>
      </c>
      <c r="E101" s="68">
        <f>SUMIFS(Data!$H:$H,Data!$A:$A,Cataratorii!$B59,Data!$C:$C,Cataratorii!E$1)</f>
        <v>0</v>
      </c>
      <c r="F101" s="68">
        <f>SUMIFS(Data!$H:$H,Data!$A:$A,Cataratorii!$B59,Data!$C:$C,Cataratorii!F$1)</f>
        <v>0</v>
      </c>
      <c r="G101" s="68">
        <f>SUMIFS(Data!$H:$H,Data!$A:$A,Cataratorii!$B59,Data!$C:$C,Cataratorii!G$1)</f>
        <v>0</v>
      </c>
      <c r="H101" s="68">
        <f>SUMIFS(Data!$H:$H,Data!$A:$A,Cataratorii!$B59,Data!$C:$C,Cataratorii!H$1)</f>
        <v>0</v>
      </c>
      <c r="I101" s="68">
        <f>SUMIFS(Data!$H:$H,Data!$A:$A,Cataratorii!$B59,Data!$C:$C,Cataratorii!I$1)</f>
        <v>0</v>
      </c>
      <c r="J101" s="68">
        <f>SUMIFS(Data!$H:$H,Data!$A:$A,Cataratorii!$B59,Data!$C:$C,Cataratorii!J$1)</f>
        <v>0</v>
      </c>
      <c r="K101" s="68">
        <f>SUMIFS(Data!$H:$H,Data!$A:$A,Cataratorii!$B59,Data!$C:$C,Cataratorii!K$1)</f>
        <v>0</v>
      </c>
      <c r="L101" s="68">
        <f>SUMIFS(Data!$H:$H,Data!$A:$A,Cataratorii!$B59,Data!$C:$C,Cataratorii!L$1)</f>
        <v>0</v>
      </c>
      <c r="M101" s="68">
        <f>SUMIFS(Data!$H:$H,Data!$A:$A,Cataratorii!$B59,Data!$C:$C,Cataratorii!M$1)</f>
        <v>0</v>
      </c>
      <c r="N101" s="68">
        <f>SUMIFS(Data!$H:$H,Data!$A:$A,Cataratorii!$B59,Data!$C:$C,Cataratorii!N$1)</f>
        <v>0</v>
      </c>
      <c r="O101" s="68">
        <f>SUMIFS(Data!$H:$H,Data!$A:$A,Cataratorii!$B59,Data!$C:$C,Cataratorii!O$1)</f>
        <v>0</v>
      </c>
      <c r="P101" s="68">
        <f>SUMIFS(Data!$H:$H,Data!$A:$A,Cataratorii!$B59,Data!$C:$C,Cataratorii!P$1)</f>
        <v>0</v>
      </c>
      <c r="Q101" s="68">
        <f>SUMIFS(Data!$H:$H,Data!$A:$A,Cataratorii!$B59,Data!$C:$C,Cataratorii!Q$1)</f>
        <v>0</v>
      </c>
      <c r="R101" s="68">
        <f>SUM(C101:Q101)</f>
        <v>0</v>
      </c>
      <c r="S101" s="31">
        <f>SUMIFS(Data!D:D,Data!A:A,Cataratorii!B62)</f>
        <v>393.19999999999993</v>
      </c>
      <c r="T101" s="1" t="str">
        <f>IF(VLOOKUP(B101,Participanti!A:D,4,0)=0," ","New")</f>
        <v xml:space="preserve"> </v>
      </c>
      <c r="U101" s="130">
        <f>R101/S101/1000</f>
        <v>0</v>
      </c>
    </row>
    <row r="102" spans="1:21" ht="13" x14ac:dyDescent="0.3">
      <c r="A102" s="79">
        <v>101</v>
      </c>
      <c r="B102" s="30" t="s">
        <v>352</v>
      </c>
      <c r="C102" s="68">
        <f>SUMIFS(Data!$H:$H,Data!$A:$A,Cataratorii!$B102,Data!$C:$C,Cataratorii!C$1)</f>
        <v>0</v>
      </c>
      <c r="D102" s="68">
        <f>SUMIFS(Data!$H:$H,Data!$A:$A,Cataratorii!$B102,Data!$C:$C,Cataratorii!D$1)</f>
        <v>0</v>
      </c>
      <c r="E102" s="68">
        <f>SUMIFS(Data!$H:$H,Data!$A:$A,Cataratorii!$B102,Data!$C:$C,Cataratorii!E$1)</f>
        <v>0</v>
      </c>
      <c r="F102" s="68">
        <f>SUMIFS(Data!$H:$H,Data!$A:$A,Cataratorii!$B102,Data!$C:$C,Cataratorii!F$1)</f>
        <v>0</v>
      </c>
      <c r="G102" s="68">
        <f>SUMIFS(Data!$H:$H,Data!$A:$A,Cataratorii!$B102,Data!$C:$C,Cataratorii!G$1)</f>
        <v>0</v>
      </c>
      <c r="H102" s="68">
        <f>SUMIFS(Data!$H:$H,Data!$A:$A,Cataratorii!$B102,Data!$C:$C,Cataratorii!H$1)</f>
        <v>0</v>
      </c>
      <c r="I102" s="68">
        <f>SUMIFS(Data!$H:$H,Data!$A:$A,Cataratorii!$B102,Data!$C:$C,Cataratorii!I$1)</f>
        <v>0</v>
      </c>
      <c r="J102" s="68">
        <f>SUMIFS(Data!$H:$H,Data!$A:$A,Cataratorii!$B102,Data!$C:$C,Cataratorii!J$1)</f>
        <v>0</v>
      </c>
      <c r="K102" s="68">
        <f>SUMIFS(Data!$H:$H,Data!$A:$A,Cataratorii!$B102,Data!$C:$C,Cataratorii!K$1)</f>
        <v>0</v>
      </c>
      <c r="L102" s="68">
        <f>SUMIFS(Data!$H:$H,Data!$A:$A,Cataratorii!$B102,Data!$C:$C,Cataratorii!L$1)</f>
        <v>0</v>
      </c>
      <c r="M102" s="68">
        <f>SUMIFS(Data!$H:$H,Data!$A:$A,Cataratorii!$B102,Data!$C:$C,Cataratorii!M$1)</f>
        <v>0</v>
      </c>
      <c r="N102" s="68">
        <f>SUMIFS(Data!$H:$H,Data!$A:$A,Cataratorii!$B102,Data!$C:$C,Cataratorii!N$1)</f>
        <v>0</v>
      </c>
      <c r="O102" s="68">
        <f>SUMIFS(Data!$H:$H,Data!$A:$A,Cataratorii!$B102,Data!$C:$C,Cataratorii!O$1)</f>
        <v>0</v>
      </c>
      <c r="P102" s="68">
        <f>SUMIFS(Data!$H:$H,Data!$A:$A,Cataratorii!$B102,Data!$C:$C,Cataratorii!P$1)</f>
        <v>0</v>
      </c>
      <c r="Q102" s="68">
        <f>SUMIFS(Data!$H:$H,Data!$A:$A,Cataratorii!$B102,Data!$C:$C,Cataratorii!Q$1)</f>
        <v>0</v>
      </c>
      <c r="R102" s="68">
        <f>SUM(C102:Q102)</f>
        <v>0</v>
      </c>
      <c r="S102" s="31">
        <f>SUMIFS(Data!D:D,Data!A:A,Cataratorii!B89)</f>
        <v>29.62</v>
      </c>
      <c r="T102" s="1" t="str">
        <f>IF(VLOOKUP(B102,Participanti!A:D,4,0)=0," ","New")</f>
        <v>New</v>
      </c>
      <c r="U102" s="130">
        <f>R102/S102/1000</f>
        <v>0</v>
      </c>
    </row>
    <row r="103" spans="1:21" ht="13" x14ac:dyDescent="0.3">
      <c r="A103" s="79">
        <v>102</v>
      </c>
      <c r="B103" s="30" t="s">
        <v>398</v>
      </c>
      <c r="C103" s="68">
        <f>SUMIFS(Data!$H:$H,Data!$A:$A,Cataratorii!$B89,Data!$C:$C,Cataratorii!C$1)</f>
        <v>0</v>
      </c>
      <c r="D103" s="68">
        <f>SUMIFS(Data!$H:$H,Data!$A:$A,Cataratorii!$B89,Data!$C:$C,Cataratorii!D$1)</f>
        <v>0</v>
      </c>
      <c r="E103" s="68">
        <f>SUMIFS(Data!$H:$H,Data!$A:$A,Cataratorii!$B89,Data!$C:$C,Cataratorii!E$1)</f>
        <v>0</v>
      </c>
      <c r="F103" s="68">
        <f>SUMIFS(Data!$H:$H,Data!$A:$A,Cataratorii!$B89,Data!$C:$C,Cataratorii!F$1)</f>
        <v>0</v>
      </c>
      <c r="G103" s="68">
        <f>SUMIFS(Data!$H:$H,Data!$A:$A,Cataratorii!$B89,Data!$C:$C,Cataratorii!G$1)</f>
        <v>0</v>
      </c>
      <c r="H103" s="68">
        <f>SUMIFS(Data!$H:$H,Data!$A:$A,Cataratorii!$B89,Data!$C:$C,Cataratorii!H$1)</f>
        <v>0</v>
      </c>
      <c r="I103" s="68">
        <f>SUMIFS(Data!$H:$H,Data!$A:$A,Cataratorii!$B89,Data!$C:$C,Cataratorii!I$1)</f>
        <v>0</v>
      </c>
      <c r="J103" s="68">
        <f>SUMIFS(Data!$H:$H,Data!$A:$A,Cataratorii!$B89,Data!$C:$C,Cataratorii!J$1)</f>
        <v>0</v>
      </c>
      <c r="K103" s="68">
        <f>SUMIFS(Data!$H:$H,Data!$A:$A,Cataratorii!$B89,Data!$C:$C,Cataratorii!K$1)</f>
        <v>0</v>
      </c>
      <c r="L103" s="68">
        <f>SUMIFS(Data!$H:$H,Data!$A:$A,Cataratorii!$B89,Data!$C:$C,Cataratorii!L$1)</f>
        <v>0</v>
      </c>
      <c r="M103" s="68">
        <f>SUMIFS(Data!$H:$H,Data!$A:$A,Cataratorii!$B89,Data!$C:$C,Cataratorii!M$1)</f>
        <v>0</v>
      </c>
      <c r="N103" s="68">
        <f>SUMIFS(Data!$H:$H,Data!$A:$A,Cataratorii!$B89,Data!$C:$C,Cataratorii!N$1)</f>
        <v>0</v>
      </c>
      <c r="O103" s="68">
        <f>SUMIFS(Data!$H:$H,Data!$A:$A,Cataratorii!$B89,Data!$C:$C,Cataratorii!O$1)</f>
        <v>0</v>
      </c>
      <c r="P103" s="68">
        <f>SUMIFS(Data!$H:$H,Data!$A:$A,Cataratorii!$B89,Data!$C:$C,Cataratorii!P$1)</f>
        <v>0</v>
      </c>
      <c r="Q103" s="68">
        <f>SUMIFS(Data!$H:$H,Data!$A:$A,Cataratorii!$B89,Data!$C:$C,Cataratorii!Q$1)</f>
        <v>0</v>
      </c>
      <c r="R103" s="68">
        <f>SUM(C103:Q103)</f>
        <v>0</v>
      </c>
      <c r="S103" s="31">
        <f>SUMIFS(Data!D:D,Data!A:A,Cataratorii!B92)</f>
        <v>19.309999999999999</v>
      </c>
      <c r="T103" s="1" t="str">
        <f>IF(VLOOKUP(B103,Participanti!A:D,4,0)=0," ","New")</f>
        <v>New</v>
      </c>
      <c r="U103" s="130">
        <f>R103/S103/1000</f>
        <v>0</v>
      </c>
    </row>
    <row r="104" spans="1:21" ht="13" x14ac:dyDescent="0.3">
      <c r="A104" s="79">
        <v>103</v>
      </c>
      <c r="B104" s="30" t="s">
        <v>371</v>
      </c>
      <c r="C104" s="68">
        <f>SUMIFS(Data!$H:$H,Data!$A:$A,Cataratorii!$B109,Data!$C:$C,Cataratorii!C$1)</f>
        <v>0</v>
      </c>
      <c r="D104" s="68">
        <f>SUMIFS(Data!$H:$H,Data!$A:$A,Cataratorii!$B109,Data!$C:$C,Cataratorii!D$1)</f>
        <v>0</v>
      </c>
      <c r="E104" s="68">
        <f>SUMIFS(Data!$H:$H,Data!$A:$A,Cataratorii!$B109,Data!$C:$C,Cataratorii!E$1)</f>
        <v>0</v>
      </c>
      <c r="F104" s="68">
        <f>SUMIFS(Data!$H:$H,Data!$A:$A,Cataratorii!$B109,Data!$C:$C,Cataratorii!F$1)</f>
        <v>0</v>
      </c>
      <c r="G104" s="68">
        <f>SUMIFS(Data!$H:$H,Data!$A:$A,Cataratorii!$B109,Data!$C:$C,Cataratorii!G$1)</f>
        <v>0</v>
      </c>
      <c r="H104" s="68">
        <f>SUMIFS(Data!$H:$H,Data!$A:$A,Cataratorii!$B109,Data!$C:$C,Cataratorii!H$1)</f>
        <v>0</v>
      </c>
      <c r="I104" s="68">
        <f>SUMIFS(Data!$H:$H,Data!$A:$A,Cataratorii!$B109,Data!$C:$C,Cataratorii!I$1)</f>
        <v>0</v>
      </c>
      <c r="J104" s="68">
        <f>SUMIFS(Data!$H:$H,Data!$A:$A,Cataratorii!$B109,Data!$C:$C,Cataratorii!J$1)</f>
        <v>0</v>
      </c>
      <c r="K104" s="68">
        <f>SUMIFS(Data!$H:$H,Data!$A:$A,Cataratorii!$B109,Data!$C:$C,Cataratorii!K$1)</f>
        <v>0</v>
      </c>
      <c r="L104" s="68">
        <f>SUMIFS(Data!$H:$H,Data!$A:$A,Cataratorii!$B109,Data!$C:$C,Cataratorii!L$1)</f>
        <v>0</v>
      </c>
      <c r="M104" s="68">
        <f>SUMIFS(Data!$H:$H,Data!$A:$A,Cataratorii!$B109,Data!$C:$C,Cataratorii!M$1)</f>
        <v>0</v>
      </c>
      <c r="N104" s="68">
        <f>SUMIFS(Data!$H:$H,Data!$A:$A,Cataratorii!$B109,Data!$C:$C,Cataratorii!N$1)</f>
        <v>0</v>
      </c>
      <c r="O104" s="68">
        <f>SUMIFS(Data!$H:$H,Data!$A:$A,Cataratorii!$B109,Data!$C:$C,Cataratorii!O$1)</f>
        <v>0</v>
      </c>
      <c r="P104" s="68">
        <f>SUMIFS(Data!$H:$H,Data!$A:$A,Cataratorii!$B109,Data!$C:$C,Cataratorii!P$1)</f>
        <v>0</v>
      </c>
      <c r="Q104" s="68">
        <f>SUMIFS(Data!$H:$H,Data!$A:$A,Cataratorii!$B109,Data!$C:$C,Cataratorii!Q$1)</f>
        <v>972</v>
      </c>
      <c r="R104" s="68">
        <f>SUM(C104:Q104)</f>
        <v>972</v>
      </c>
      <c r="S104" s="31">
        <f>SUMIFS(Data!D:D,Data!A:A,Cataratorii!B99)</f>
        <v>143.67000000000002</v>
      </c>
      <c r="T104" s="1" t="str">
        <f>IF(VLOOKUP(B104,Participanti!A:D,4,0)=0," ","New")</f>
        <v>New</v>
      </c>
      <c r="U104" s="130">
        <f>R104/S104/1000</f>
        <v>6.7655042806431401E-3</v>
      </c>
    </row>
    <row r="105" spans="1:21" ht="13" x14ac:dyDescent="0.3">
      <c r="A105" s="79">
        <v>104</v>
      </c>
      <c r="B105" s="30" t="s">
        <v>336</v>
      </c>
      <c r="C105" s="68">
        <f>SUMIFS(Data!$H:$H,Data!$A:$A,Cataratorii!$B99,Data!$C:$C,Cataratorii!C$1)</f>
        <v>0</v>
      </c>
      <c r="D105" s="68">
        <f>SUMIFS(Data!$H:$H,Data!$A:$A,Cataratorii!$B99,Data!$C:$C,Cataratorii!D$1)</f>
        <v>0</v>
      </c>
      <c r="E105" s="68">
        <f>SUMIFS(Data!$H:$H,Data!$A:$A,Cataratorii!$B99,Data!$C:$C,Cataratorii!E$1)</f>
        <v>0</v>
      </c>
      <c r="F105" s="68">
        <f>SUMIFS(Data!$H:$H,Data!$A:$A,Cataratorii!$B99,Data!$C:$C,Cataratorii!F$1)</f>
        <v>0</v>
      </c>
      <c r="G105" s="68">
        <f>SUMIFS(Data!$H:$H,Data!$A:$A,Cataratorii!$B99,Data!$C:$C,Cataratorii!G$1)</f>
        <v>0</v>
      </c>
      <c r="H105" s="68">
        <f>SUMIFS(Data!$H:$H,Data!$A:$A,Cataratorii!$B99,Data!$C:$C,Cataratorii!H$1)</f>
        <v>0</v>
      </c>
      <c r="I105" s="68">
        <f>SUMIFS(Data!$H:$H,Data!$A:$A,Cataratorii!$B99,Data!$C:$C,Cataratorii!I$1)</f>
        <v>0</v>
      </c>
      <c r="J105" s="68">
        <f>SUMIFS(Data!$H:$H,Data!$A:$A,Cataratorii!$B99,Data!$C:$C,Cataratorii!J$1)</f>
        <v>0</v>
      </c>
      <c r="K105" s="68">
        <f>SUMIFS(Data!$H:$H,Data!$A:$A,Cataratorii!$B99,Data!$C:$C,Cataratorii!K$1)</f>
        <v>0</v>
      </c>
      <c r="L105" s="68">
        <f>SUMIFS(Data!$H:$H,Data!$A:$A,Cataratorii!$B99,Data!$C:$C,Cataratorii!L$1)</f>
        <v>0</v>
      </c>
      <c r="M105" s="68">
        <f>SUMIFS(Data!$H:$H,Data!$A:$A,Cataratorii!$B99,Data!$C:$C,Cataratorii!M$1)</f>
        <v>0</v>
      </c>
      <c r="N105" s="68">
        <f>SUMIFS(Data!$H:$H,Data!$A:$A,Cataratorii!$B99,Data!$C:$C,Cataratorii!N$1)</f>
        <v>0</v>
      </c>
      <c r="O105" s="68">
        <f>SUMIFS(Data!$H:$H,Data!$A:$A,Cataratorii!$B99,Data!$C:$C,Cataratorii!O$1)</f>
        <v>0</v>
      </c>
      <c r="P105" s="68">
        <f>SUMIFS(Data!$H:$H,Data!$A:$A,Cataratorii!$B99,Data!$C:$C,Cataratorii!P$1)</f>
        <v>0</v>
      </c>
      <c r="Q105" s="68">
        <f>SUMIFS(Data!$H:$H,Data!$A:$A,Cataratorii!$B99,Data!$C:$C,Cataratorii!Q$1)</f>
        <v>0</v>
      </c>
      <c r="R105" s="68">
        <f>SUM(C105:Q105)</f>
        <v>0</v>
      </c>
      <c r="S105" s="31">
        <f>SUMIFS(Data!D:D,Data!A:A,Cataratorii!B102)</f>
        <v>9.5400000000000009</v>
      </c>
      <c r="T105" s="1" t="str">
        <f>IF(VLOOKUP(B105,Participanti!A:D,4,0)=0," ","New")</f>
        <v>New</v>
      </c>
      <c r="U105" s="130">
        <f>R105/S105/1000</f>
        <v>0</v>
      </c>
    </row>
    <row r="106" spans="1:21" ht="13" x14ac:dyDescent="0.3">
      <c r="A106" s="79">
        <v>105</v>
      </c>
      <c r="B106" s="30" t="s">
        <v>64</v>
      </c>
      <c r="C106" s="68">
        <f>SUMIFS(Data!$H:$H,Data!$A:$A,Cataratorii!$B104,Data!$C:$C,Cataratorii!C$1)</f>
        <v>0</v>
      </c>
      <c r="D106" s="68">
        <f>SUMIFS(Data!$H:$H,Data!$A:$A,Cataratorii!$B104,Data!$C:$C,Cataratorii!D$1)</f>
        <v>0</v>
      </c>
      <c r="E106" s="68">
        <f>SUMIFS(Data!$H:$H,Data!$A:$A,Cataratorii!$B104,Data!$C:$C,Cataratorii!E$1)</f>
        <v>0</v>
      </c>
      <c r="F106" s="68">
        <f>SUMIFS(Data!$H:$H,Data!$A:$A,Cataratorii!$B104,Data!$C:$C,Cataratorii!F$1)</f>
        <v>0</v>
      </c>
      <c r="G106" s="68">
        <f>SUMIFS(Data!$H:$H,Data!$A:$A,Cataratorii!$B104,Data!$C:$C,Cataratorii!G$1)</f>
        <v>0</v>
      </c>
      <c r="H106" s="68">
        <f>SUMIFS(Data!$H:$H,Data!$A:$A,Cataratorii!$B104,Data!$C:$C,Cataratorii!H$1)</f>
        <v>0</v>
      </c>
      <c r="I106" s="68">
        <f>SUMIFS(Data!$H:$H,Data!$A:$A,Cataratorii!$B104,Data!$C:$C,Cataratorii!I$1)</f>
        <v>0</v>
      </c>
      <c r="J106" s="68">
        <f>SUMIFS(Data!$H:$H,Data!$A:$A,Cataratorii!$B104,Data!$C:$C,Cataratorii!J$1)</f>
        <v>0</v>
      </c>
      <c r="K106" s="68">
        <f>SUMIFS(Data!$H:$H,Data!$A:$A,Cataratorii!$B104,Data!$C:$C,Cataratorii!K$1)</f>
        <v>0</v>
      </c>
      <c r="L106" s="68">
        <f>SUMIFS(Data!$H:$H,Data!$A:$A,Cataratorii!$B104,Data!$C:$C,Cataratorii!L$1)</f>
        <v>0</v>
      </c>
      <c r="M106" s="68">
        <f>SUMIFS(Data!$H:$H,Data!$A:$A,Cataratorii!$B104,Data!$C:$C,Cataratorii!M$1)</f>
        <v>0</v>
      </c>
      <c r="N106" s="68">
        <f>SUMIFS(Data!$H:$H,Data!$A:$A,Cataratorii!$B104,Data!$C:$C,Cataratorii!N$1)</f>
        <v>0</v>
      </c>
      <c r="O106" s="68">
        <f>SUMIFS(Data!$H:$H,Data!$A:$A,Cataratorii!$B104,Data!$C:$C,Cataratorii!O$1)</f>
        <v>0</v>
      </c>
      <c r="P106" s="68">
        <f>SUMIFS(Data!$H:$H,Data!$A:$A,Cataratorii!$B104,Data!$C:$C,Cataratorii!P$1)</f>
        <v>0</v>
      </c>
      <c r="Q106" s="68">
        <f>SUMIFS(Data!$H:$H,Data!$A:$A,Cataratorii!$B104,Data!$C:$C,Cataratorii!Q$1)</f>
        <v>0</v>
      </c>
      <c r="R106" s="68">
        <f>SUM(C106:Q106)</f>
        <v>0</v>
      </c>
      <c r="S106" s="31">
        <f>SUMIFS(Data!D:D,Data!A:A,Cataratorii!B103)</f>
        <v>41.22</v>
      </c>
      <c r="T106" s="1" t="str">
        <f>IF(VLOOKUP(B106,Participanti!A:D,4,0)=0," ","New")</f>
        <v xml:space="preserve"> </v>
      </c>
      <c r="U106" s="130">
        <f>R106/S106/1000</f>
        <v>0</v>
      </c>
    </row>
    <row r="107" spans="1:21" ht="13" x14ac:dyDescent="0.3">
      <c r="A107" s="79">
        <v>106</v>
      </c>
      <c r="B107" s="30" t="s">
        <v>242</v>
      </c>
      <c r="C107" s="68">
        <f>SUMIFS(Data!$H:$H,Data!$A:$A,Cataratorii!$B101,Data!$C:$C,Cataratorii!C$1)</f>
        <v>0</v>
      </c>
      <c r="D107" s="68">
        <f>SUMIFS(Data!$H:$H,Data!$A:$A,Cataratorii!$B101,Data!$C:$C,Cataratorii!D$1)</f>
        <v>0</v>
      </c>
      <c r="E107" s="68">
        <f>SUMIFS(Data!$H:$H,Data!$A:$A,Cataratorii!$B101,Data!$C:$C,Cataratorii!E$1)</f>
        <v>53</v>
      </c>
      <c r="F107" s="68">
        <f>SUMIFS(Data!$H:$H,Data!$A:$A,Cataratorii!$B101,Data!$C:$C,Cataratorii!F$1)</f>
        <v>299</v>
      </c>
      <c r="G107" s="68">
        <f>SUMIFS(Data!$H:$H,Data!$A:$A,Cataratorii!$B101,Data!$C:$C,Cataratorii!G$1)</f>
        <v>0</v>
      </c>
      <c r="H107" s="68">
        <f>SUMIFS(Data!$H:$H,Data!$A:$A,Cataratorii!$B101,Data!$C:$C,Cataratorii!H$1)</f>
        <v>0</v>
      </c>
      <c r="I107" s="68">
        <f>SUMIFS(Data!$H:$H,Data!$A:$A,Cataratorii!$B101,Data!$C:$C,Cataratorii!I$1)</f>
        <v>0</v>
      </c>
      <c r="J107" s="68">
        <f>SUMIFS(Data!$H:$H,Data!$A:$A,Cataratorii!$B101,Data!$C:$C,Cataratorii!J$1)</f>
        <v>0</v>
      </c>
      <c r="K107" s="68">
        <f>SUMIFS(Data!$H:$H,Data!$A:$A,Cataratorii!$B101,Data!$C:$C,Cataratorii!K$1)</f>
        <v>0</v>
      </c>
      <c r="L107" s="68">
        <f>SUMIFS(Data!$H:$H,Data!$A:$A,Cataratorii!$B101,Data!$C:$C,Cataratorii!L$1)</f>
        <v>0</v>
      </c>
      <c r="M107" s="68">
        <f>SUMIFS(Data!$H:$H,Data!$A:$A,Cataratorii!$B101,Data!$C:$C,Cataratorii!M$1)</f>
        <v>0</v>
      </c>
      <c r="N107" s="68">
        <f>SUMIFS(Data!$H:$H,Data!$A:$A,Cataratorii!$B101,Data!$C:$C,Cataratorii!N$1)</f>
        <v>0</v>
      </c>
      <c r="O107" s="68">
        <f>SUMIFS(Data!$H:$H,Data!$A:$A,Cataratorii!$B101,Data!$C:$C,Cataratorii!O$1)</f>
        <v>434</v>
      </c>
      <c r="P107" s="68">
        <f>SUMIFS(Data!$H:$H,Data!$A:$A,Cataratorii!$B101,Data!$C:$C,Cataratorii!P$1)</f>
        <v>0</v>
      </c>
      <c r="Q107" s="68">
        <f>SUMIFS(Data!$H:$H,Data!$A:$A,Cataratorii!$B101,Data!$C:$C,Cataratorii!Q$1)</f>
        <v>62</v>
      </c>
      <c r="R107" s="68">
        <f>SUM(C107:Q107)</f>
        <v>848</v>
      </c>
      <c r="S107" s="31">
        <f>SUMIFS(Data!D:D,Data!A:A,Cataratorii!B104)</f>
        <v>10</v>
      </c>
      <c r="T107" s="1" t="str">
        <f>IF(VLOOKUP(B107,Participanti!A:D,4,0)=0," ","New")</f>
        <v xml:space="preserve"> </v>
      </c>
      <c r="U107" s="130">
        <f>R107/S107/1000</f>
        <v>8.48E-2</v>
      </c>
    </row>
    <row r="108" spans="1:21" ht="13" x14ac:dyDescent="0.3">
      <c r="A108" s="79">
        <v>107</v>
      </c>
      <c r="B108" s="30" t="s">
        <v>47</v>
      </c>
      <c r="C108" s="68">
        <f>SUMIFS(Data!$H:$H,Data!$A:$A,Cataratorii!$B103,Data!$C:$C,Cataratorii!C$1)</f>
        <v>0</v>
      </c>
      <c r="D108" s="68">
        <f>SUMIFS(Data!$H:$H,Data!$A:$A,Cataratorii!$B103,Data!$C:$C,Cataratorii!D$1)</f>
        <v>0</v>
      </c>
      <c r="E108" s="68">
        <f>SUMIFS(Data!$H:$H,Data!$A:$A,Cataratorii!$B103,Data!$C:$C,Cataratorii!E$1)</f>
        <v>87</v>
      </c>
      <c r="F108" s="68">
        <f>SUMIFS(Data!$H:$H,Data!$A:$A,Cataratorii!$B103,Data!$C:$C,Cataratorii!F$1)</f>
        <v>0</v>
      </c>
      <c r="G108" s="68">
        <f>SUMIFS(Data!$H:$H,Data!$A:$A,Cataratorii!$B103,Data!$C:$C,Cataratorii!G$1)</f>
        <v>0</v>
      </c>
      <c r="H108" s="68">
        <f>SUMIFS(Data!$H:$H,Data!$A:$A,Cataratorii!$B103,Data!$C:$C,Cataratorii!H$1)</f>
        <v>0</v>
      </c>
      <c r="I108" s="68">
        <f>SUMIFS(Data!$H:$H,Data!$A:$A,Cataratorii!$B103,Data!$C:$C,Cataratorii!I$1)</f>
        <v>0</v>
      </c>
      <c r="J108" s="68">
        <f>SUMIFS(Data!$H:$H,Data!$A:$A,Cataratorii!$B103,Data!$C:$C,Cataratorii!J$1)</f>
        <v>0</v>
      </c>
      <c r="K108" s="68">
        <f>SUMIFS(Data!$H:$H,Data!$A:$A,Cataratorii!$B103,Data!$C:$C,Cataratorii!K$1)</f>
        <v>0</v>
      </c>
      <c r="L108" s="68">
        <f>SUMIFS(Data!$H:$H,Data!$A:$A,Cataratorii!$B103,Data!$C:$C,Cataratorii!L$1)</f>
        <v>0</v>
      </c>
      <c r="M108" s="68">
        <f>SUMIFS(Data!$H:$H,Data!$A:$A,Cataratorii!$B103,Data!$C:$C,Cataratorii!M$1)</f>
        <v>0</v>
      </c>
      <c r="N108" s="68">
        <f>SUMIFS(Data!$H:$H,Data!$A:$A,Cataratorii!$B103,Data!$C:$C,Cataratorii!N$1)</f>
        <v>0</v>
      </c>
      <c r="O108" s="68">
        <f>SUMIFS(Data!$H:$H,Data!$A:$A,Cataratorii!$B103,Data!$C:$C,Cataratorii!O$1)</f>
        <v>0</v>
      </c>
      <c r="P108" s="68">
        <f>SUMIFS(Data!$H:$H,Data!$A:$A,Cataratorii!$B103,Data!$C:$C,Cataratorii!P$1)</f>
        <v>0</v>
      </c>
      <c r="Q108" s="68">
        <f>SUMIFS(Data!$H:$H,Data!$A:$A,Cataratorii!$B103,Data!$C:$C,Cataratorii!Q$1)</f>
        <v>0</v>
      </c>
      <c r="R108" s="68">
        <f>SUM(C108:Q108)</f>
        <v>87</v>
      </c>
      <c r="S108" s="31">
        <f>SUMIFS(Data!D:D,Data!A:A,Cataratorii!B105)</f>
        <v>354.73999999999995</v>
      </c>
      <c r="T108" s="1" t="str">
        <f>IF(VLOOKUP(B108,Participanti!A:D,4,0)=0," ","New")</f>
        <v xml:space="preserve"> </v>
      </c>
      <c r="U108" s="130">
        <f>R108/S108/1000</f>
        <v>2.4525004228449006E-4</v>
      </c>
    </row>
    <row r="109" spans="1:21" ht="13" x14ac:dyDescent="0.3">
      <c r="A109" s="79">
        <v>108</v>
      </c>
      <c r="B109" s="30" t="s">
        <v>58</v>
      </c>
      <c r="C109" s="68">
        <f>SUMIFS(Data!$H:$H,Data!$A:$A,Cataratorii!$B114,Data!$C:$C,Cataratorii!C$1)</f>
        <v>0</v>
      </c>
      <c r="D109" s="68">
        <f>SUMIFS(Data!$H:$H,Data!$A:$A,Cataratorii!$B114,Data!$C:$C,Cataratorii!D$1)</f>
        <v>0</v>
      </c>
      <c r="E109" s="68">
        <f>SUMIFS(Data!$H:$H,Data!$A:$A,Cataratorii!$B114,Data!$C:$C,Cataratorii!E$1)</f>
        <v>0</v>
      </c>
      <c r="F109" s="68">
        <f>SUMIFS(Data!$H:$H,Data!$A:$A,Cataratorii!$B114,Data!$C:$C,Cataratorii!F$1)</f>
        <v>0</v>
      </c>
      <c r="G109" s="68">
        <f>SUMIFS(Data!$H:$H,Data!$A:$A,Cataratorii!$B114,Data!$C:$C,Cataratorii!G$1)</f>
        <v>0</v>
      </c>
      <c r="H109" s="68">
        <f>SUMIFS(Data!$H:$H,Data!$A:$A,Cataratorii!$B114,Data!$C:$C,Cataratorii!H$1)</f>
        <v>0</v>
      </c>
      <c r="I109" s="68">
        <f>SUMIFS(Data!$H:$H,Data!$A:$A,Cataratorii!$B114,Data!$C:$C,Cataratorii!I$1)</f>
        <v>0</v>
      </c>
      <c r="J109" s="68">
        <f>SUMIFS(Data!$H:$H,Data!$A:$A,Cataratorii!$B114,Data!$C:$C,Cataratorii!J$1)</f>
        <v>0</v>
      </c>
      <c r="K109" s="68">
        <f>SUMIFS(Data!$H:$H,Data!$A:$A,Cataratorii!$B114,Data!$C:$C,Cataratorii!K$1)</f>
        <v>0</v>
      </c>
      <c r="L109" s="68">
        <f>SUMIFS(Data!$H:$H,Data!$A:$A,Cataratorii!$B114,Data!$C:$C,Cataratorii!L$1)</f>
        <v>0</v>
      </c>
      <c r="M109" s="68">
        <f>SUMIFS(Data!$H:$H,Data!$A:$A,Cataratorii!$B114,Data!$C:$C,Cataratorii!M$1)</f>
        <v>0</v>
      </c>
      <c r="N109" s="68">
        <f>SUMIFS(Data!$H:$H,Data!$A:$A,Cataratorii!$B114,Data!$C:$C,Cataratorii!N$1)</f>
        <v>0</v>
      </c>
      <c r="O109" s="68">
        <f>SUMIFS(Data!$H:$H,Data!$A:$A,Cataratorii!$B114,Data!$C:$C,Cataratorii!O$1)</f>
        <v>0</v>
      </c>
      <c r="P109" s="68">
        <f>SUMIFS(Data!$H:$H,Data!$A:$A,Cataratorii!$B114,Data!$C:$C,Cataratorii!P$1)</f>
        <v>0</v>
      </c>
      <c r="Q109" s="68">
        <f>SUMIFS(Data!$H:$H,Data!$A:$A,Cataratorii!$B114,Data!$C:$C,Cataratorii!Q$1)</f>
        <v>0</v>
      </c>
      <c r="R109" s="68">
        <f>SUM(C109:Q109)</f>
        <v>0</v>
      </c>
      <c r="S109" s="31">
        <f>SUMIFS(Data!D:D,Data!A:A,Cataratorii!B107)</f>
        <v>44.63</v>
      </c>
      <c r="T109" s="1" t="str">
        <f>IF(VLOOKUP(B109,Participanti!A:D,4,0)=0," ","New")</f>
        <v xml:space="preserve"> </v>
      </c>
      <c r="U109" s="130">
        <f>R109/S109/1000</f>
        <v>0</v>
      </c>
    </row>
    <row r="110" spans="1:21" ht="13" x14ac:dyDescent="0.3">
      <c r="A110" s="79">
        <v>109</v>
      </c>
      <c r="B110" s="30" t="s">
        <v>392</v>
      </c>
      <c r="C110" s="68">
        <f>SUMIFS(Data!$H:$H,Data!$A:$A,Cataratorii!$B116,Data!$C:$C,Cataratorii!C$1)</f>
        <v>0</v>
      </c>
      <c r="D110" s="68">
        <f>SUMIFS(Data!$H:$H,Data!$A:$A,Cataratorii!$B116,Data!$C:$C,Cataratorii!D$1)</f>
        <v>0</v>
      </c>
      <c r="E110" s="68">
        <f>SUMIFS(Data!$H:$H,Data!$A:$A,Cataratorii!$B116,Data!$C:$C,Cataratorii!E$1)</f>
        <v>0</v>
      </c>
      <c r="F110" s="68">
        <f>SUMIFS(Data!$H:$H,Data!$A:$A,Cataratorii!$B116,Data!$C:$C,Cataratorii!F$1)</f>
        <v>0</v>
      </c>
      <c r="G110" s="68">
        <f>SUMIFS(Data!$H:$H,Data!$A:$A,Cataratorii!$B116,Data!$C:$C,Cataratorii!G$1)</f>
        <v>0</v>
      </c>
      <c r="H110" s="68">
        <f>SUMIFS(Data!$H:$H,Data!$A:$A,Cataratorii!$B116,Data!$C:$C,Cataratorii!H$1)</f>
        <v>0</v>
      </c>
      <c r="I110" s="68">
        <f>SUMIFS(Data!$H:$H,Data!$A:$A,Cataratorii!$B116,Data!$C:$C,Cataratorii!I$1)</f>
        <v>0</v>
      </c>
      <c r="J110" s="68">
        <f>SUMIFS(Data!$H:$H,Data!$A:$A,Cataratorii!$B116,Data!$C:$C,Cataratorii!J$1)</f>
        <v>0</v>
      </c>
      <c r="K110" s="68">
        <f>SUMIFS(Data!$H:$H,Data!$A:$A,Cataratorii!$B116,Data!$C:$C,Cataratorii!K$1)</f>
        <v>0</v>
      </c>
      <c r="L110" s="68">
        <f>SUMIFS(Data!$H:$H,Data!$A:$A,Cataratorii!$B116,Data!$C:$C,Cataratorii!L$1)</f>
        <v>0</v>
      </c>
      <c r="M110" s="68">
        <f>SUMIFS(Data!$H:$H,Data!$A:$A,Cataratorii!$B116,Data!$C:$C,Cataratorii!M$1)</f>
        <v>0</v>
      </c>
      <c r="N110" s="68">
        <f>SUMIFS(Data!$H:$H,Data!$A:$A,Cataratorii!$B116,Data!$C:$C,Cataratorii!N$1)</f>
        <v>0</v>
      </c>
      <c r="O110" s="68">
        <f>SUMIFS(Data!$H:$H,Data!$A:$A,Cataratorii!$B116,Data!$C:$C,Cataratorii!O$1)</f>
        <v>0</v>
      </c>
      <c r="P110" s="68">
        <f>SUMIFS(Data!$H:$H,Data!$A:$A,Cataratorii!$B116,Data!$C:$C,Cataratorii!P$1)</f>
        <v>0</v>
      </c>
      <c r="Q110" s="68">
        <f>SUMIFS(Data!$H:$H,Data!$A:$A,Cataratorii!$B116,Data!$C:$C,Cataratorii!Q$1)</f>
        <v>0</v>
      </c>
      <c r="R110" s="68">
        <f>SUM(C110:Q110)</f>
        <v>0</v>
      </c>
      <c r="S110" s="31">
        <f>SUMIFS(Data!D:D,Data!A:A,Cataratorii!B108)</f>
        <v>178.07000000000002</v>
      </c>
      <c r="T110" s="1" t="str">
        <f>IF(VLOOKUP(B110,Participanti!A:D,4,0)=0," ","New")</f>
        <v>New</v>
      </c>
      <c r="U110" s="130">
        <f>R110/S110/1000</f>
        <v>0</v>
      </c>
    </row>
    <row r="111" spans="1:21" ht="13" x14ac:dyDescent="0.3">
      <c r="A111" s="79">
        <v>110</v>
      </c>
      <c r="B111" s="30" t="s">
        <v>385</v>
      </c>
      <c r="C111" s="68">
        <f>SUMIFS(Data!$H:$H,Data!$A:$A,Cataratorii!$B113,Data!$C:$C,Cataratorii!C$1)</f>
        <v>0</v>
      </c>
      <c r="D111" s="68">
        <f>SUMIFS(Data!$H:$H,Data!$A:$A,Cataratorii!$B113,Data!$C:$C,Cataratorii!D$1)</f>
        <v>0</v>
      </c>
      <c r="E111" s="68">
        <f>SUMIFS(Data!$H:$H,Data!$A:$A,Cataratorii!$B113,Data!$C:$C,Cataratorii!E$1)</f>
        <v>0</v>
      </c>
      <c r="F111" s="68">
        <f>SUMIFS(Data!$H:$H,Data!$A:$A,Cataratorii!$B113,Data!$C:$C,Cataratorii!F$1)</f>
        <v>0</v>
      </c>
      <c r="G111" s="68">
        <f>SUMIFS(Data!$H:$H,Data!$A:$A,Cataratorii!$B113,Data!$C:$C,Cataratorii!G$1)</f>
        <v>0</v>
      </c>
      <c r="H111" s="68">
        <f>SUMIFS(Data!$H:$H,Data!$A:$A,Cataratorii!$B113,Data!$C:$C,Cataratorii!H$1)</f>
        <v>0</v>
      </c>
      <c r="I111" s="68">
        <f>SUMIFS(Data!$H:$H,Data!$A:$A,Cataratorii!$B113,Data!$C:$C,Cataratorii!I$1)</f>
        <v>0</v>
      </c>
      <c r="J111" s="68">
        <f>SUMIFS(Data!$H:$H,Data!$A:$A,Cataratorii!$B113,Data!$C:$C,Cataratorii!J$1)</f>
        <v>0</v>
      </c>
      <c r="K111" s="68">
        <f>SUMIFS(Data!$H:$H,Data!$A:$A,Cataratorii!$B113,Data!$C:$C,Cataratorii!K$1)</f>
        <v>0</v>
      </c>
      <c r="L111" s="68">
        <f>SUMIFS(Data!$H:$H,Data!$A:$A,Cataratorii!$B113,Data!$C:$C,Cataratorii!L$1)</f>
        <v>0</v>
      </c>
      <c r="M111" s="68">
        <f>SUMIFS(Data!$H:$H,Data!$A:$A,Cataratorii!$B113,Data!$C:$C,Cataratorii!M$1)</f>
        <v>0</v>
      </c>
      <c r="N111" s="68">
        <f>SUMIFS(Data!$H:$H,Data!$A:$A,Cataratorii!$B113,Data!$C:$C,Cataratorii!N$1)</f>
        <v>0</v>
      </c>
      <c r="O111" s="68">
        <f>SUMIFS(Data!$H:$H,Data!$A:$A,Cataratorii!$B113,Data!$C:$C,Cataratorii!O$1)</f>
        <v>0</v>
      </c>
      <c r="P111" s="68">
        <f>SUMIFS(Data!$H:$H,Data!$A:$A,Cataratorii!$B113,Data!$C:$C,Cataratorii!P$1)</f>
        <v>0</v>
      </c>
      <c r="Q111" s="68">
        <f>SUMIFS(Data!$H:$H,Data!$A:$A,Cataratorii!$B113,Data!$C:$C,Cataratorii!Q$1)</f>
        <v>0</v>
      </c>
      <c r="R111" s="68">
        <f>SUM(C111:Q111)</f>
        <v>0</v>
      </c>
      <c r="S111" s="31">
        <f>SUMIFS(Data!D:D,Data!A:A,Cataratorii!B109)</f>
        <v>62.760000000000005</v>
      </c>
      <c r="T111" s="1" t="str">
        <f>IF(VLOOKUP(B111,Participanti!A:D,4,0)=0," ","New")</f>
        <v>New</v>
      </c>
      <c r="U111" s="130">
        <f>R111/S111/1000</f>
        <v>0</v>
      </c>
    </row>
    <row r="112" spans="1:21" ht="13" x14ac:dyDescent="0.3">
      <c r="A112" s="79">
        <v>111</v>
      </c>
      <c r="B112" s="30" t="s">
        <v>368</v>
      </c>
      <c r="C112" s="68">
        <f>SUMIFS(Data!$H:$H,Data!$A:$A,Cataratorii!$B108,Data!$C:$C,Cataratorii!C$1)</f>
        <v>0</v>
      </c>
      <c r="D112" s="68">
        <f>SUMIFS(Data!$H:$H,Data!$A:$A,Cataratorii!$B108,Data!$C:$C,Cataratorii!D$1)</f>
        <v>0</v>
      </c>
      <c r="E112" s="68">
        <f>SUMIFS(Data!$H:$H,Data!$A:$A,Cataratorii!$B108,Data!$C:$C,Cataratorii!E$1)</f>
        <v>0</v>
      </c>
      <c r="F112" s="68">
        <f>SUMIFS(Data!$H:$H,Data!$A:$A,Cataratorii!$B108,Data!$C:$C,Cataratorii!F$1)</f>
        <v>0</v>
      </c>
      <c r="G112" s="68">
        <f>SUMIFS(Data!$H:$H,Data!$A:$A,Cataratorii!$B108,Data!$C:$C,Cataratorii!G$1)</f>
        <v>0</v>
      </c>
      <c r="H112" s="68">
        <f>SUMIFS(Data!$H:$H,Data!$A:$A,Cataratorii!$B108,Data!$C:$C,Cataratorii!H$1)</f>
        <v>0</v>
      </c>
      <c r="I112" s="68">
        <f>SUMIFS(Data!$H:$H,Data!$A:$A,Cataratorii!$B108,Data!$C:$C,Cataratorii!I$1)</f>
        <v>0</v>
      </c>
      <c r="J112" s="68">
        <f>SUMIFS(Data!$H:$H,Data!$A:$A,Cataratorii!$B108,Data!$C:$C,Cataratorii!J$1)</f>
        <v>0</v>
      </c>
      <c r="K112" s="68">
        <f>SUMIFS(Data!$H:$H,Data!$A:$A,Cataratorii!$B108,Data!$C:$C,Cataratorii!K$1)</f>
        <v>0</v>
      </c>
      <c r="L112" s="68">
        <f>SUMIFS(Data!$H:$H,Data!$A:$A,Cataratorii!$B108,Data!$C:$C,Cataratorii!L$1)</f>
        <v>0</v>
      </c>
      <c r="M112" s="68">
        <f>SUMIFS(Data!$H:$H,Data!$A:$A,Cataratorii!$B108,Data!$C:$C,Cataratorii!M$1)</f>
        <v>0</v>
      </c>
      <c r="N112" s="68">
        <f>SUMIFS(Data!$H:$H,Data!$A:$A,Cataratorii!$B108,Data!$C:$C,Cataratorii!N$1)</f>
        <v>0</v>
      </c>
      <c r="O112" s="68">
        <f>SUMIFS(Data!$H:$H,Data!$A:$A,Cataratorii!$B108,Data!$C:$C,Cataratorii!O$1)</f>
        <v>0</v>
      </c>
      <c r="P112" s="68">
        <f>SUMIFS(Data!$H:$H,Data!$A:$A,Cataratorii!$B108,Data!$C:$C,Cataratorii!P$1)</f>
        <v>17</v>
      </c>
      <c r="Q112" s="68">
        <f>SUMIFS(Data!$H:$H,Data!$A:$A,Cataratorii!$B108,Data!$C:$C,Cataratorii!Q$1)</f>
        <v>115</v>
      </c>
      <c r="R112" s="68">
        <f>SUM(C112:Q112)</f>
        <v>132</v>
      </c>
      <c r="S112" s="31">
        <f>SUMIFS(Data!D:D,Data!A:A,Cataratorii!B110)</f>
        <v>67.3</v>
      </c>
      <c r="T112" s="1" t="str">
        <f>IF(VLOOKUP(B112,Participanti!A:D,4,0)=0," ","New")</f>
        <v>New</v>
      </c>
      <c r="U112" s="130">
        <f>R112/S112/1000</f>
        <v>1.9613670133729571E-3</v>
      </c>
    </row>
    <row r="113" spans="1:21" ht="13" x14ac:dyDescent="0.3">
      <c r="A113" s="79">
        <v>112</v>
      </c>
      <c r="B113" s="30" t="s">
        <v>394</v>
      </c>
      <c r="C113" s="68">
        <f>SUMIFS(Data!$H:$H,Data!$A:$A,Cataratorii!$B117,Data!$C:$C,Cataratorii!C$1)</f>
        <v>0</v>
      </c>
      <c r="D113" s="68">
        <f>SUMIFS(Data!$H:$H,Data!$A:$A,Cataratorii!$B117,Data!$C:$C,Cataratorii!D$1)</f>
        <v>0</v>
      </c>
      <c r="E113" s="68">
        <f>SUMIFS(Data!$H:$H,Data!$A:$A,Cataratorii!$B117,Data!$C:$C,Cataratorii!E$1)</f>
        <v>0</v>
      </c>
      <c r="F113" s="68">
        <f>SUMIFS(Data!$H:$H,Data!$A:$A,Cataratorii!$B117,Data!$C:$C,Cataratorii!F$1)</f>
        <v>0</v>
      </c>
      <c r="G113" s="68">
        <f>SUMIFS(Data!$H:$H,Data!$A:$A,Cataratorii!$B117,Data!$C:$C,Cataratorii!G$1)</f>
        <v>0</v>
      </c>
      <c r="H113" s="68">
        <f>SUMIFS(Data!$H:$H,Data!$A:$A,Cataratorii!$B117,Data!$C:$C,Cataratorii!H$1)</f>
        <v>0</v>
      </c>
      <c r="I113" s="68">
        <f>SUMIFS(Data!$H:$H,Data!$A:$A,Cataratorii!$B117,Data!$C:$C,Cataratorii!I$1)</f>
        <v>0</v>
      </c>
      <c r="J113" s="68">
        <f>SUMIFS(Data!$H:$H,Data!$A:$A,Cataratorii!$B117,Data!$C:$C,Cataratorii!J$1)</f>
        <v>0</v>
      </c>
      <c r="K113" s="68">
        <f>SUMIFS(Data!$H:$H,Data!$A:$A,Cataratorii!$B117,Data!$C:$C,Cataratorii!K$1)</f>
        <v>0</v>
      </c>
      <c r="L113" s="68">
        <f>SUMIFS(Data!$H:$H,Data!$A:$A,Cataratorii!$B117,Data!$C:$C,Cataratorii!L$1)</f>
        <v>0</v>
      </c>
      <c r="M113" s="68">
        <f>SUMIFS(Data!$H:$H,Data!$A:$A,Cataratorii!$B117,Data!$C:$C,Cataratorii!M$1)</f>
        <v>0</v>
      </c>
      <c r="N113" s="68">
        <f>SUMIFS(Data!$H:$H,Data!$A:$A,Cataratorii!$B117,Data!$C:$C,Cataratorii!N$1)</f>
        <v>0</v>
      </c>
      <c r="O113" s="68">
        <f>SUMIFS(Data!$H:$H,Data!$A:$A,Cataratorii!$B117,Data!$C:$C,Cataratorii!O$1)</f>
        <v>0</v>
      </c>
      <c r="P113" s="68">
        <f>SUMIFS(Data!$H:$H,Data!$A:$A,Cataratorii!$B117,Data!$C:$C,Cataratorii!P$1)</f>
        <v>0</v>
      </c>
      <c r="Q113" s="68">
        <f>SUMIFS(Data!$H:$H,Data!$A:$A,Cataratorii!$B117,Data!$C:$C,Cataratorii!Q$1)</f>
        <v>0</v>
      </c>
      <c r="R113" s="68">
        <f>SUM(C113:Q113)</f>
        <v>0</v>
      </c>
      <c r="S113" s="31">
        <f>SUMIFS(Data!D:D,Data!A:A,Cataratorii!B113)</f>
        <v>10.8</v>
      </c>
      <c r="T113" s="1" t="str">
        <f>IF(VLOOKUP(B113,Participanti!A:D,4,0)=0," ","New")</f>
        <v>New</v>
      </c>
      <c r="U113" s="130">
        <f>R113/S113/1000</f>
        <v>0</v>
      </c>
    </row>
    <row r="114" spans="1:21" ht="13" x14ac:dyDescent="0.3">
      <c r="A114" s="79">
        <v>113</v>
      </c>
      <c r="B114" s="30" t="s">
        <v>365</v>
      </c>
      <c r="C114" s="68">
        <f>SUMIFS(Data!$H:$H,Data!$A:$A,Cataratorii!$B106,Data!$C:$C,Cataratorii!C$1)</f>
        <v>0</v>
      </c>
      <c r="D114" s="68">
        <f>SUMIFS(Data!$H:$H,Data!$A:$A,Cataratorii!$B106,Data!$C:$C,Cataratorii!D$1)</f>
        <v>0</v>
      </c>
      <c r="E114" s="68">
        <f>SUMIFS(Data!$H:$H,Data!$A:$A,Cataratorii!$B106,Data!$C:$C,Cataratorii!E$1)</f>
        <v>0</v>
      </c>
      <c r="F114" s="68">
        <f>SUMIFS(Data!$H:$H,Data!$A:$A,Cataratorii!$B106,Data!$C:$C,Cataratorii!F$1)</f>
        <v>0</v>
      </c>
      <c r="G114" s="68">
        <f>SUMIFS(Data!$H:$H,Data!$A:$A,Cataratorii!$B106,Data!$C:$C,Cataratorii!G$1)</f>
        <v>0</v>
      </c>
      <c r="H114" s="68">
        <f>SUMIFS(Data!$H:$H,Data!$A:$A,Cataratorii!$B106,Data!$C:$C,Cataratorii!H$1)</f>
        <v>0</v>
      </c>
      <c r="I114" s="68">
        <f>SUMIFS(Data!$H:$H,Data!$A:$A,Cataratorii!$B106,Data!$C:$C,Cataratorii!I$1)</f>
        <v>0</v>
      </c>
      <c r="J114" s="68">
        <f>SUMIFS(Data!$H:$H,Data!$A:$A,Cataratorii!$B106,Data!$C:$C,Cataratorii!J$1)</f>
        <v>0</v>
      </c>
      <c r="K114" s="68">
        <f>SUMIFS(Data!$H:$H,Data!$A:$A,Cataratorii!$B106,Data!$C:$C,Cataratorii!K$1)</f>
        <v>0</v>
      </c>
      <c r="L114" s="68">
        <f>SUMIFS(Data!$H:$H,Data!$A:$A,Cataratorii!$B106,Data!$C:$C,Cataratorii!L$1)</f>
        <v>0</v>
      </c>
      <c r="M114" s="68">
        <f>SUMIFS(Data!$H:$H,Data!$A:$A,Cataratorii!$B106,Data!$C:$C,Cataratorii!M$1)</f>
        <v>0</v>
      </c>
      <c r="N114" s="68">
        <f>SUMIFS(Data!$H:$H,Data!$A:$A,Cataratorii!$B106,Data!$C:$C,Cataratorii!N$1)</f>
        <v>0</v>
      </c>
      <c r="O114" s="68">
        <f>SUMIFS(Data!$H:$H,Data!$A:$A,Cataratorii!$B106,Data!$C:$C,Cataratorii!O$1)</f>
        <v>0</v>
      </c>
      <c r="P114" s="68">
        <f>SUMIFS(Data!$H:$H,Data!$A:$A,Cataratorii!$B106,Data!$C:$C,Cataratorii!P$1)</f>
        <v>0</v>
      </c>
      <c r="Q114" s="68">
        <f>SUMIFS(Data!$H:$H,Data!$A:$A,Cataratorii!$B106,Data!$C:$C,Cataratorii!Q$1)</f>
        <v>0</v>
      </c>
      <c r="R114" s="68">
        <f>SUM(C114:Q114)</f>
        <v>0</v>
      </c>
      <c r="S114" s="31">
        <f>SUMIFS(Data!D:D,Data!A:A,Cataratorii!B114)</f>
        <v>27.69</v>
      </c>
      <c r="T114" s="1" t="str">
        <f>IF(VLOOKUP(B114,Participanti!A:D,4,0)=0," ","New")</f>
        <v>New</v>
      </c>
      <c r="U114" s="130">
        <f>R114/S114/1000</f>
        <v>0</v>
      </c>
    </row>
    <row r="115" spans="1:21" ht="13" x14ac:dyDescent="0.3">
      <c r="A115" s="79">
        <v>114</v>
      </c>
      <c r="B115" s="30" t="s">
        <v>380</v>
      </c>
      <c r="C115" s="68">
        <f>SUMIFS(Data!$H:$H,Data!$A:$A,Cataratorii!$B111,Data!$C:$C,Cataratorii!C$1)</f>
        <v>0</v>
      </c>
      <c r="D115" s="68">
        <f>SUMIFS(Data!$H:$H,Data!$A:$A,Cataratorii!$B111,Data!$C:$C,Cataratorii!D$1)</f>
        <v>0</v>
      </c>
      <c r="E115" s="68">
        <f>SUMIFS(Data!$H:$H,Data!$A:$A,Cataratorii!$B111,Data!$C:$C,Cataratorii!E$1)</f>
        <v>0</v>
      </c>
      <c r="F115" s="68">
        <f>SUMIFS(Data!$H:$H,Data!$A:$A,Cataratorii!$B111,Data!$C:$C,Cataratorii!F$1)</f>
        <v>0</v>
      </c>
      <c r="G115" s="68">
        <f>SUMIFS(Data!$H:$H,Data!$A:$A,Cataratorii!$B111,Data!$C:$C,Cataratorii!G$1)</f>
        <v>0</v>
      </c>
      <c r="H115" s="68">
        <f>SUMIFS(Data!$H:$H,Data!$A:$A,Cataratorii!$B111,Data!$C:$C,Cataratorii!H$1)</f>
        <v>0</v>
      </c>
      <c r="I115" s="68">
        <f>SUMIFS(Data!$H:$H,Data!$A:$A,Cataratorii!$B111,Data!$C:$C,Cataratorii!I$1)</f>
        <v>0</v>
      </c>
      <c r="J115" s="68">
        <f>SUMIFS(Data!$H:$H,Data!$A:$A,Cataratorii!$B111,Data!$C:$C,Cataratorii!J$1)</f>
        <v>0</v>
      </c>
      <c r="K115" s="68">
        <f>SUMIFS(Data!$H:$H,Data!$A:$A,Cataratorii!$B111,Data!$C:$C,Cataratorii!K$1)</f>
        <v>0</v>
      </c>
      <c r="L115" s="68">
        <f>SUMIFS(Data!$H:$H,Data!$A:$A,Cataratorii!$B111,Data!$C:$C,Cataratorii!L$1)</f>
        <v>0</v>
      </c>
      <c r="M115" s="68">
        <f>SUMIFS(Data!$H:$H,Data!$A:$A,Cataratorii!$B111,Data!$C:$C,Cataratorii!M$1)</f>
        <v>0</v>
      </c>
      <c r="N115" s="68">
        <f>SUMIFS(Data!$H:$H,Data!$A:$A,Cataratorii!$B111,Data!$C:$C,Cataratorii!N$1)</f>
        <v>0</v>
      </c>
      <c r="O115" s="68">
        <f>SUMIFS(Data!$H:$H,Data!$A:$A,Cataratorii!$B111,Data!$C:$C,Cataratorii!O$1)</f>
        <v>0</v>
      </c>
      <c r="P115" s="68">
        <f>SUMIFS(Data!$H:$H,Data!$A:$A,Cataratorii!$B111,Data!$C:$C,Cataratorii!P$1)</f>
        <v>0</v>
      </c>
      <c r="Q115" s="68">
        <f>SUMIFS(Data!$H:$H,Data!$A:$A,Cataratorii!$B111,Data!$C:$C,Cataratorii!Q$1)</f>
        <v>0</v>
      </c>
      <c r="R115" s="68">
        <f>SUM(C115:Q115)</f>
        <v>0</v>
      </c>
      <c r="S115" s="31">
        <f>SUMIFS(Data!D:D,Data!A:A,Cataratorii!B115)</f>
        <v>47.43</v>
      </c>
      <c r="T115" s="1" t="str">
        <f>IF(VLOOKUP(B115,Participanti!A:D,4,0)=0," ","New")</f>
        <v>New</v>
      </c>
      <c r="U115" s="130">
        <f>R115/S115/1000</f>
        <v>0</v>
      </c>
    </row>
    <row r="116" spans="1:21" ht="13" x14ac:dyDescent="0.3">
      <c r="A116" s="79">
        <v>115</v>
      </c>
      <c r="B116" s="30" t="s">
        <v>384</v>
      </c>
      <c r="C116" s="68">
        <f>SUMIFS(Data!$H:$H,Data!$A:$A,Cataratorii!$B112,Data!$C:$C,Cataratorii!C$1)</f>
        <v>0</v>
      </c>
      <c r="D116" s="68">
        <f>SUMIFS(Data!$H:$H,Data!$A:$A,Cataratorii!$B112,Data!$C:$C,Cataratorii!D$1)</f>
        <v>0</v>
      </c>
      <c r="E116" s="68">
        <f>SUMIFS(Data!$H:$H,Data!$A:$A,Cataratorii!$B112,Data!$C:$C,Cataratorii!E$1)</f>
        <v>0</v>
      </c>
      <c r="F116" s="68">
        <f>SUMIFS(Data!$H:$H,Data!$A:$A,Cataratorii!$B112,Data!$C:$C,Cataratorii!F$1)</f>
        <v>0</v>
      </c>
      <c r="G116" s="68">
        <f>SUMIFS(Data!$H:$H,Data!$A:$A,Cataratorii!$B112,Data!$C:$C,Cataratorii!G$1)</f>
        <v>0</v>
      </c>
      <c r="H116" s="68">
        <f>SUMIFS(Data!$H:$H,Data!$A:$A,Cataratorii!$B112,Data!$C:$C,Cataratorii!H$1)</f>
        <v>0</v>
      </c>
      <c r="I116" s="68">
        <f>SUMIFS(Data!$H:$H,Data!$A:$A,Cataratorii!$B112,Data!$C:$C,Cataratorii!I$1)</f>
        <v>0</v>
      </c>
      <c r="J116" s="68">
        <f>SUMIFS(Data!$H:$H,Data!$A:$A,Cataratorii!$B112,Data!$C:$C,Cataratorii!J$1)</f>
        <v>0</v>
      </c>
      <c r="K116" s="68">
        <f>SUMIFS(Data!$H:$H,Data!$A:$A,Cataratorii!$B112,Data!$C:$C,Cataratorii!K$1)</f>
        <v>0</v>
      </c>
      <c r="L116" s="68">
        <f>SUMIFS(Data!$H:$H,Data!$A:$A,Cataratorii!$B112,Data!$C:$C,Cataratorii!L$1)</f>
        <v>0</v>
      </c>
      <c r="M116" s="68">
        <f>SUMIFS(Data!$H:$H,Data!$A:$A,Cataratorii!$B112,Data!$C:$C,Cataratorii!M$1)</f>
        <v>0</v>
      </c>
      <c r="N116" s="68">
        <f>SUMIFS(Data!$H:$H,Data!$A:$A,Cataratorii!$B112,Data!$C:$C,Cataratorii!N$1)</f>
        <v>0</v>
      </c>
      <c r="O116" s="68">
        <f>SUMIFS(Data!$H:$H,Data!$A:$A,Cataratorii!$B112,Data!$C:$C,Cataratorii!O$1)</f>
        <v>0</v>
      </c>
      <c r="P116" s="68">
        <f>SUMIFS(Data!$H:$H,Data!$A:$A,Cataratorii!$B112,Data!$C:$C,Cataratorii!P$1)</f>
        <v>20</v>
      </c>
      <c r="Q116" s="68">
        <f>SUMIFS(Data!$H:$H,Data!$A:$A,Cataratorii!$B112,Data!$C:$C,Cataratorii!Q$1)</f>
        <v>0</v>
      </c>
      <c r="R116" s="68">
        <f>SUM(C116:Q116)</f>
        <v>20</v>
      </c>
      <c r="S116" s="31">
        <f>SUMIFS(Data!D:D,Data!A:A,Cataratorii!B116)</f>
        <v>15.52</v>
      </c>
      <c r="T116" s="1" t="str">
        <f>IF(VLOOKUP(B116,Participanti!A:D,4,0)=0," ","New")</f>
        <v>New</v>
      </c>
      <c r="U116" s="130">
        <f>R116/S116/1000</f>
        <v>1.2886597938144332E-3</v>
      </c>
    </row>
    <row r="117" spans="1:21" ht="13" x14ac:dyDescent="0.3">
      <c r="A117" s="79">
        <v>116</v>
      </c>
      <c r="B117" s="30" t="s">
        <v>461</v>
      </c>
      <c r="C117" s="68">
        <f>SUMIFS(Data!$H:$H,Data!$A:$A,Cataratorii!$B118,Data!$C:$C,Cataratorii!C$1)</f>
        <v>0</v>
      </c>
      <c r="D117" s="68">
        <f>SUMIFS(Data!$H:$H,Data!$A:$A,Cataratorii!$B118,Data!$C:$C,Cataratorii!D$1)</f>
        <v>0</v>
      </c>
      <c r="E117" s="68">
        <f>SUMIFS(Data!$H:$H,Data!$A:$A,Cataratorii!$B118,Data!$C:$C,Cataratorii!E$1)</f>
        <v>0</v>
      </c>
      <c r="F117" s="68">
        <f>SUMIFS(Data!$H:$H,Data!$A:$A,Cataratorii!$B118,Data!$C:$C,Cataratorii!F$1)</f>
        <v>0</v>
      </c>
      <c r="G117" s="68">
        <f>SUMIFS(Data!$H:$H,Data!$A:$A,Cataratorii!$B118,Data!$C:$C,Cataratorii!G$1)</f>
        <v>0</v>
      </c>
      <c r="H117" s="68">
        <f>SUMIFS(Data!$H:$H,Data!$A:$A,Cataratorii!$B118,Data!$C:$C,Cataratorii!H$1)</f>
        <v>0</v>
      </c>
      <c r="I117" s="68">
        <f>SUMIFS(Data!$H:$H,Data!$A:$A,Cataratorii!$B118,Data!$C:$C,Cataratorii!I$1)</f>
        <v>0</v>
      </c>
      <c r="J117" s="68">
        <f>SUMIFS(Data!$H:$H,Data!$A:$A,Cataratorii!$B118,Data!$C:$C,Cataratorii!J$1)</f>
        <v>0</v>
      </c>
      <c r="K117" s="68">
        <f>SUMIFS(Data!$H:$H,Data!$A:$A,Cataratorii!$B118,Data!$C:$C,Cataratorii!K$1)</f>
        <v>0</v>
      </c>
      <c r="L117" s="68">
        <f>SUMIFS(Data!$H:$H,Data!$A:$A,Cataratorii!$B118,Data!$C:$C,Cataratorii!L$1)</f>
        <v>0</v>
      </c>
      <c r="M117" s="68">
        <f>SUMIFS(Data!$H:$H,Data!$A:$A,Cataratorii!$B118,Data!$C:$C,Cataratorii!M$1)</f>
        <v>0</v>
      </c>
      <c r="N117" s="68">
        <f>SUMIFS(Data!$H:$H,Data!$A:$A,Cataratorii!$B118,Data!$C:$C,Cataratorii!N$1)</f>
        <v>0</v>
      </c>
      <c r="O117" s="68">
        <f>SUMIFS(Data!$H:$H,Data!$A:$A,Cataratorii!$B118,Data!$C:$C,Cataratorii!O$1)</f>
        <v>0</v>
      </c>
      <c r="P117" s="68">
        <f>SUMIFS(Data!$H:$H,Data!$A:$A,Cataratorii!$B118,Data!$C:$C,Cataratorii!P$1)</f>
        <v>0</v>
      </c>
      <c r="Q117" s="68">
        <f>SUMIFS(Data!$H:$H,Data!$A:$A,Cataratorii!$B118,Data!$C:$C,Cataratorii!Q$1)</f>
        <v>0</v>
      </c>
      <c r="R117" s="68">
        <f>SUM(C117:Q117)</f>
        <v>0</v>
      </c>
      <c r="S117" s="31">
        <f>SUMIFS(Data!D:D,Data!A:A,Cataratorii!B117)</f>
        <v>46.54</v>
      </c>
      <c r="T117" s="1" t="str">
        <f>IF(VLOOKUP(B117,Participanti!A:D,4,0)=0," ","New")</f>
        <v>New</v>
      </c>
      <c r="U117" s="130">
        <f>R117/S117/1000</f>
        <v>0</v>
      </c>
    </row>
    <row r="118" spans="1:21" ht="13" x14ac:dyDescent="0.3">
      <c r="A118" s="79">
        <v>117</v>
      </c>
      <c r="B118" s="30" t="s">
        <v>226</v>
      </c>
      <c r="C118" s="68">
        <f>SUMIFS(Data!$H:$H,Data!$A:$A,Cataratorii!$B115,Data!$C:$C,Cataratorii!C$1)</f>
        <v>0</v>
      </c>
      <c r="D118" s="68">
        <f>SUMIFS(Data!$H:$H,Data!$A:$A,Cataratorii!$B115,Data!$C:$C,Cataratorii!D$1)</f>
        <v>0</v>
      </c>
      <c r="E118" s="68">
        <f>SUMIFS(Data!$H:$H,Data!$A:$A,Cataratorii!$B115,Data!$C:$C,Cataratorii!E$1)</f>
        <v>0</v>
      </c>
      <c r="F118" s="68">
        <f>SUMIFS(Data!$H:$H,Data!$A:$A,Cataratorii!$B115,Data!$C:$C,Cataratorii!F$1)</f>
        <v>0</v>
      </c>
      <c r="G118" s="68">
        <f>SUMIFS(Data!$H:$H,Data!$A:$A,Cataratorii!$B115,Data!$C:$C,Cataratorii!G$1)</f>
        <v>0</v>
      </c>
      <c r="H118" s="68">
        <f>SUMIFS(Data!$H:$H,Data!$A:$A,Cataratorii!$B115,Data!$C:$C,Cataratorii!H$1)</f>
        <v>0</v>
      </c>
      <c r="I118" s="68">
        <f>SUMIFS(Data!$H:$H,Data!$A:$A,Cataratorii!$B115,Data!$C:$C,Cataratorii!I$1)</f>
        <v>0</v>
      </c>
      <c r="J118" s="68">
        <f>SUMIFS(Data!$H:$H,Data!$A:$A,Cataratorii!$B115,Data!$C:$C,Cataratorii!J$1)</f>
        <v>0</v>
      </c>
      <c r="K118" s="68">
        <f>SUMIFS(Data!$H:$H,Data!$A:$A,Cataratorii!$B115,Data!$C:$C,Cataratorii!K$1)</f>
        <v>0</v>
      </c>
      <c r="L118" s="68">
        <f>SUMIFS(Data!$H:$H,Data!$A:$A,Cataratorii!$B115,Data!$C:$C,Cataratorii!L$1)</f>
        <v>0</v>
      </c>
      <c r="M118" s="68">
        <f>SUMIFS(Data!$H:$H,Data!$A:$A,Cataratorii!$B115,Data!$C:$C,Cataratorii!M$1)</f>
        <v>0</v>
      </c>
      <c r="N118" s="68">
        <f>SUMIFS(Data!$H:$H,Data!$A:$A,Cataratorii!$B115,Data!$C:$C,Cataratorii!N$1)</f>
        <v>0</v>
      </c>
      <c r="O118" s="68">
        <f>SUMIFS(Data!$H:$H,Data!$A:$A,Cataratorii!$B115,Data!$C:$C,Cataratorii!O$1)</f>
        <v>0</v>
      </c>
      <c r="P118" s="68">
        <f>SUMIFS(Data!$H:$H,Data!$A:$A,Cataratorii!$B115,Data!$C:$C,Cataratorii!P$1)</f>
        <v>0</v>
      </c>
      <c r="Q118" s="68">
        <f>SUMIFS(Data!$H:$H,Data!$A:$A,Cataratorii!$B115,Data!$C:$C,Cataratorii!Q$1)</f>
        <v>0</v>
      </c>
      <c r="R118" s="68">
        <f>SUM(C118:Q118)</f>
        <v>0</v>
      </c>
      <c r="S118" s="31">
        <f>SUMIFS(Data!D:D,Data!A:A,Cataratorii!B118)</f>
        <v>150.17000000000002</v>
      </c>
      <c r="T118" s="1" t="str">
        <f>IF(VLOOKUP(B118,Participanti!A:D,4,0)=0," ","New")</f>
        <v xml:space="preserve"> </v>
      </c>
      <c r="U118" s="130">
        <f>R118/S118/1000</f>
        <v>0</v>
      </c>
    </row>
  </sheetData>
  <autoFilter ref="A1:U60" xr:uid="{00000000-0009-0000-0000-00000A000000}">
    <sortState xmlns:xlrd2="http://schemas.microsoft.com/office/spreadsheetml/2017/richdata2" ref="A2:U118">
      <sortCondition descending="1" ref="R1:R60"/>
    </sortState>
  </autoFilter>
  <sortState xmlns:xlrd2="http://schemas.microsoft.com/office/spreadsheetml/2017/richdata2" ref="B2:S118">
    <sortCondition descending="1" ref="R2:R118"/>
    <sortCondition descending="1" ref="S2:S118"/>
  </sortState>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sheetPr>
  <dimension ref="A1:T118"/>
  <sheetViews>
    <sheetView zoomScaleNormal="100" workbookViewId="0">
      <pane ySplit="1" topLeftCell="A2" activePane="bottomLeft" state="frozen"/>
      <selection activeCell="A31" sqref="A31"/>
      <selection pane="bottomLeft" activeCell="T51" sqref="T51"/>
    </sheetView>
  </sheetViews>
  <sheetFormatPr defaultColWidth="9.1796875" defaultRowHeight="12" x14ac:dyDescent="0.3"/>
  <cols>
    <col min="1" max="1" width="7.81640625" style="80" bestFit="1" customWidth="1"/>
    <col min="2" max="2" width="23.54296875" style="23" bestFit="1" customWidth="1"/>
    <col min="3" max="13" width="6.1796875" style="24" customWidth="1"/>
    <col min="14" max="17" width="5.453125" style="24" customWidth="1"/>
    <col min="18" max="18" width="10.453125" style="24" customWidth="1"/>
    <col min="19" max="19" width="13.453125" style="24" bestFit="1" customWidth="1"/>
    <col min="20" max="20" width="7.54296875" style="1" bestFit="1" customWidth="1"/>
    <col min="21" max="16384" width="9.1796875" style="1"/>
  </cols>
  <sheetData>
    <row r="1" spans="1:20" ht="13" x14ac:dyDescent="0.3">
      <c r="A1" s="78" t="s">
        <v>67</v>
      </c>
      <c r="B1" s="28" t="s">
        <v>31</v>
      </c>
      <c r="C1" s="36">
        <v>1</v>
      </c>
      <c r="D1" s="36">
        <v>2</v>
      </c>
      <c r="E1" s="36">
        <v>3</v>
      </c>
      <c r="F1" s="36">
        <v>4</v>
      </c>
      <c r="G1" s="36">
        <v>5</v>
      </c>
      <c r="H1" s="36">
        <v>6</v>
      </c>
      <c r="I1" s="36">
        <v>7</v>
      </c>
      <c r="J1" s="36">
        <v>8</v>
      </c>
      <c r="K1" s="36">
        <v>9</v>
      </c>
      <c r="L1" s="36">
        <v>10</v>
      </c>
      <c r="M1" s="36">
        <v>11</v>
      </c>
      <c r="N1" s="36">
        <v>12</v>
      </c>
      <c r="O1" s="36">
        <v>13</v>
      </c>
      <c r="P1" s="36">
        <v>14</v>
      </c>
      <c r="Q1" s="36">
        <v>15</v>
      </c>
      <c r="R1" s="29" t="s">
        <v>69</v>
      </c>
      <c r="S1" s="29" t="s">
        <v>68</v>
      </c>
      <c r="T1" s="35" t="s">
        <v>180</v>
      </c>
    </row>
    <row r="2" spans="1:20" ht="13" x14ac:dyDescent="0.3">
      <c r="A2" s="79">
        <v>1</v>
      </c>
      <c r="B2" s="30" t="s">
        <v>124</v>
      </c>
      <c r="C2" s="31">
        <f>IFERROR(IF(SUMIFS(Data!$K:$K,Data!$A:$A,Vitezistii!$B2,Data!$C:$C,Vitezistii!C$1)=0," ",SUMIFS(Data!$K:$K,Data!$A:$A,Vitezistii!$B2,Data!$C:$C,Vitezistii!C$1))+SUMIFS(Data!$S:$S,Data!$A:$A,Vitezistii!$B2,Data!$C:$C,Vitezistii!C$1),0)</f>
        <v>6.5</v>
      </c>
      <c r="D2" s="31">
        <f>IFERROR(IF(SUMIFS(Data!$K:$K,Data!$A:$A,Vitezistii!$B2,Data!$C:$C,Vitezistii!D$1)=0," ",SUMIFS(Data!$K:$K,Data!$A:$A,Vitezistii!$B2,Data!$C:$C,Vitezistii!D$1))+SUMIFS(Data!$S:$S,Data!$A:$A,Vitezistii!$B2,Data!$C:$C,Vitezistii!D$1),0)</f>
        <v>4</v>
      </c>
      <c r="E2" s="31">
        <f>IFERROR(IF(SUMIFS(Data!$K:$K,Data!$A:$A,Vitezistii!$B2,Data!$C:$C,Vitezistii!E$1)=0," ",SUMIFS(Data!$K:$K,Data!$A:$A,Vitezistii!$B2,Data!$C:$C,Vitezistii!E$1))+SUMIFS(Data!$S:$S,Data!$A:$A,Vitezistii!$B2,Data!$C:$C,Vitezistii!E$1),0)</f>
        <v>5.15</v>
      </c>
      <c r="F2" s="31">
        <f>IFERROR(IF(SUMIFS(Data!$K:$K,Data!$A:$A,Vitezistii!$B2,Data!$C:$C,Vitezistii!F$1)=0," ",SUMIFS(Data!$K:$K,Data!$A:$A,Vitezistii!$B2,Data!$C:$C,Vitezistii!F$1))+SUMIFS(Data!$S:$S,Data!$A:$A,Vitezistii!$B2,Data!$C:$C,Vitezistii!F$1),0)</f>
        <v>4.5</v>
      </c>
      <c r="G2" s="31">
        <f>IFERROR(IF(SUMIFS(Data!$K:$K,Data!$A:$A,Vitezistii!$B2,Data!$C:$C,Vitezistii!G$1)=0," ",SUMIFS(Data!$K:$K,Data!$A:$A,Vitezistii!$B2,Data!$C:$C,Vitezistii!G$1))+SUMIFS(Data!$S:$S,Data!$A:$A,Vitezistii!$B2,Data!$C:$C,Vitezistii!G$1),0)</f>
        <v>5.9</v>
      </c>
      <c r="H2" s="31">
        <f>IFERROR(IF(SUMIFS(Data!$K:$K,Data!$A:$A,Vitezistii!$B2,Data!$C:$C,Vitezistii!H$1)=0," ",SUMIFS(Data!$K:$K,Data!$A:$A,Vitezistii!$B2,Data!$C:$C,Vitezistii!H$1))+SUMIFS(Data!$S:$S,Data!$A:$A,Vitezistii!$B2,Data!$C:$C,Vitezistii!H$1),0)</f>
        <v>4.5</v>
      </c>
      <c r="I2" s="31">
        <f>IFERROR(IF(SUMIFS(Data!$K:$K,Data!$A:$A,Vitezistii!$B2,Data!$C:$C,Vitezistii!I$1)=0," ",SUMIFS(Data!$K:$K,Data!$A:$A,Vitezistii!$B2,Data!$C:$C,Vitezistii!I$1))+SUMIFS(Data!$S:$S,Data!$A:$A,Vitezistii!$B2,Data!$C:$C,Vitezistii!I$1),0)</f>
        <v>6.5</v>
      </c>
      <c r="J2" s="31">
        <f>IFERROR(IF(SUMIFS(Data!$K:$K,Data!$A:$A,Vitezistii!$B2,Data!$C:$C,Vitezistii!J$1)=0," ",SUMIFS(Data!$K:$K,Data!$A:$A,Vitezistii!$B2,Data!$C:$C,Vitezistii!J$1))+SUMIFS(Data!$S:$S,Data!$A:$A,Vitezistii!$B2,Data!$C:$C,Vitezistii!J$1),0)</f>
        <v>11.75</v>
      </c>
      <c r="K2" s="31">
        <f>IFERROR(IF(SUMIFS(Data!$K:$K,Data!$A:$A,Vitezistii!$B2,Data!$C:$C,Vitezistii!K$1)=0," ",SUMIFS(Data!$K:$K,Data!$A:$A,Vitezistii!$B2,Data!$C:$C,Vitezistii!K$1))+SUMIFS(Data!$S:$S,Data!$A:$A,Vitezistii!$B2,Data!$C:$C,Vitezistii!K$1),0)</f>
        <v>7.25</v>
      </c>
      <c r="L2" s="31">
        <f>IFERROR(IF(SUMIFS(Data!$K:$K,Data!$A:$A,Vitezistii!$B2,Data!$C:$C,Vitezistii!L$1)=0," ",SUMIFS(Data!$K:$K,Data!$A:$A,Vitezistii!$B2,Data!$C:$C,Vitezistii!L$1))+SUMIFS(Data!$S:$S,Data!$A:$A,Vitezistii!$B2,Data!$C:$C,Vitezistii!L$1),0)</f>
        <v>7.25</v>
      </c>
      <c r="M2" s="31">
        <f>IFERROR(IF(SUMIFS(Data!$K:$K,Data!$A:$A,Vitezistii!$B2,Data!$C:$C,Vitezistii!M$1)=0," ",SUMIFS(Data!$K:$K,Data!$A:$A,Vitezistii!$B2,Data!$C:$C,Vitezistii!M$1))+SUMIFS(Data!$S:$S,Data!$A:$A,Vitezistii!$B2,Data!$C:$C,Vitezistii!M$1),0)</f>
        <v>14.899999999999999</v>
      </c>
      <c r="N2" s="31">
        <f>IFERROR(IF(SUMIFS(Data!$K:$K,Data!$A:$A,Vitezistii!$B2,Data!$C:$C,Vitezistii!N$1)=0," ",SUMIFS(Data!$K:$K,Data!$A:$A,Vitezistii!$B2,Data!$C:$C,Vitezistii!N$1))+SUMIFS(Data!$S:$S,Data!$A:$A,Vitezistii!$B2,Data!$C:$C,Vitezistii!N$1),0)</f>
        <v>6.5</v>
      </c>
      <c r="O2" s="31">
        <f>IFERROR(IF(SUMIFS(Data!$K:$K,Data!$A:$A,Vitezistii!$B2,Data!$C:$C,Vitezistii!O$1)=0," ",SUMIFS(Data!$K:$K,Data!$A:$A,Vitezistii!$B2,Data!$C:$C,Vitezistii!O$1))+SUMIFS(Data!$S:$S,Data!$A:$A,Vitezistii!$B2,Data!$C:$C,Vitezistii!O$1),0)</f>
        <v>5.9</v>
      </c>
      <c r="P2" s="31">
        <f>IFERROR(IF(SUMIFS(Data!$K:$K,Data!$A:$A,Vitezistii!$B2,Data!$C:$C,Vitezistii!P$1)=0," ",SUMIFS(Data!$K:$K,Data!$A:$A,Vitezistii!$B2,Data!$C:$C,Vitezistii!P$1))+SUMIFS(Data!$S:$S,Data!$A:$A,Vitezistii!$B2,Data!$C:$C,Vitezistii!P$1),0)</f>
        <v>10.4</v>
      </c>
      <c r="Q2" s="31">
        <f>IFERROR(IF(SUMIFS(Data!$K:$K,Data!$A:$A,Vitezistii!$B2,Data!$C:$C,Vitezistii!Q$1)=0," ",SUMIFS(Data!$K:$K,Data!$A:$A,Vitezistii!$B2,Data!$C:$C,Vitezistii!Q$1))+SUMIFS(Data!$S:$S,Data!$A:$A,Vitezistii!$B2,Data!$C:$C,Vitezistii!Q$1),0)</f>
        <v>6.5</v>
      </c>
      <c r="R2" s="31">
        <f>SUM(C2:Q2)</f>
        <v>107.5</v>
      </c>
      <c r="S2" s="31">
        <f>SUMIFS(Data!D:D,Data!A:A,Vitezistii!B62)</f>
        <v>98.219999999999985</v>
      </c>
      <c r="T2" s="12">
        <f>SUMIFS(Data!I:I,Data!A:A,Vitezistii!B2)/COUNTIF(Data!A:A,Vitezistii!B2)</f>
        <v>2.6114271234192387E-3</v>
      </c>
    </row>
    <row r="3" spans="1:20" ht="13" x14ac:dyDescent="0.3">
      <c r="A3" s="79">
        <v>2</v>
      </c>
      <c r="B3" s="30" t="s">
        <v>376</v>
      </c>
      <c r="C3" s="31">
        <f>IFERROR(IF(SUMIFS(Data!$K:$K,Data!$A:$A,Vitezistii!$B3,Data!$C:$C,Vitezistii!C$1)=0," ",SUMIFS(Data!$K:$K,Data!$A:$A,Vitezistii!$B3,Data!$C:$C,Vitezistii!C$1))+SUMIFS(Data!$S:$S,Data!$A:$A,Vitezistii!$B3,Data!$C:$C,Vitezistii!C$1),0)</f>
        <v>4.5</v>
      </c>
      <c r="D3" s="31">
        <f>IFERROR(IF(SUMIFS(Data!$K:$K,Data!$A:$A,Vitezistii!$B3,Data!$C:$C,Vitezistii!D$1)=0," ",SUMIFS(Data!$K:$K,Data!$A:$A,Vitezistii!$B3,Data!$C:$C,Vitezistii!D$1))+SUMIFS(Data!$S:$S,Data!$A:$A,Vitezistii!$B3,Data!$C:$C,Vitezistii!D$1),0)</f>
        <v>4.5</v>
      </c>
      <c r="E3" s="31">
        <f>IFERROR(IF(SUMIFS(Data!$K:$K,Data!$A:$A,Vitezistii!$B3,Data!$C:$C,Vitezistii!E$1)=0," ",SUMIFS(Data!$K:$K,Data!$A:$A,Vitezistii!$B3,Data!$C:$C,Vitezistii!E$1))+SUMIFS(Data!$S:$S,Data!$A:$A,Vitezistii!$B3,Data!$C:$C,Vitezistii!E$1),0)</f>
        <v>8.15</v>
      </c>
      <c r="F3" s="31">
        <f>IFERROR(IF(SUMIFS(Data!$K:$K,Data!$A:$A,Vitezistii!$B3,Data!$C:$C,Vitezistii!F$1)=0," ",SUMIFS(Data!$K:$K,Data!$A:$A,Vitezistii!$B3,Data!$C:$C,Vitezistii!F$1))+SUMIFS(Data!$S:$S,Data!$A:$A,Vitezistii!$B3,Data!$C:$C,Vitezistii!F$1),0)</f>
        <v>4.5</v>
      </c>
      <c r="G3" s="31">
        <f>IFERROR(IF(SUMIFS(Data!$K:$K,Data!$A:$A,Vitezistii!$B3,Data!$C:$C,Vitezistii!G$1)=0," ",SUMIFS(Data!$K:$K,Data!$A:$A,Vitezistii!$B3,Data!$C:$C,Vitezistii!G$1))+SUMIFS(Data!$S:$S,Data!$A:$A,Vitezistii!$B3,Data!$C:$C,Vitezistii!G$1),0)</f>
        <v>0</v>
      </c>
      <c r="H3" s="31">
        <f>IFERROR(IF(SUMIFS(Data!$K:$K,Data!$A:$A,Vitezistii!$B3,Data!$C:$C,Vitezistii!H$1)=0," ",SUMIFS(Data!$K:$K,Data!$A:$A,Vitezistii!$B3,Data!$C:$C,Vitezistii!H$1))+SUMIFS(Data!$S:$S,Data!$A:$A,Vitezistii!$B3,Data!$C:$C,Vitezistii!H$1),0)</f>
        <v>6.5</v>
      </c>
      <c r="I3" s="31">
        <f>IFERROR(IF(SUMIFS(Data!$K:$K,Data!$A:$A,Vitezistii!$B3,Data!$C:$C,Vitezistii!I$1)=0," ",SUMIFS(Data!$K:$K,Data!$A:$A,Vitezistii!$B3,Data!$C:$C,Vitezistii!I$1))+SUMIFS(Data!$S:$S,Data!$A:$A,Vitezistii!$B3,Data!$C:$C,Vitezistii!I$1),0)</f>
        <v>4.5</v>
      </c>
      <c r="J3" s="31">
        <f>IFERROR(IF(SUMIFS(Data!$K:$K,Data!$A:$A,Vitezistii!$B3,Data!$C:$C,Vitezistii!J$1)=0," ",SUMIFS(Data!$K:$K,Data!$A:$A,Vitezistii!$B3,Data!$C:$C,Vitezistii!J$1))+SUMIFS(Data!$S:$S,Data!$A:$A,Vitezistii!$B3,Data!$C:$C,Vitezistii!J$1),0)</f>
        <v>5</v>
      </c>
      <c r="K3" s="31">
        <f>IFERROR(IF(SUMIFS(Data!$K:$K,Data!$A:$A,Vitezistii!$B3,Data!$C:$C,Vitezistii!K$1)=0," ",SUMIFS(Data!$K:$K,Data!$A:$A,Vitezistii!$B3,Data!$C:$C,Vitezistii!K$1))+SUMIFS(Data!$S:$S,Data!$A:$A,Vitezistii!$B3,Data!$C:$C,Vitezistii!K$1),0)</f>
        <v>0.75</v>
      </c>
      <c r="L3" s="31">
        <f>IFERROR(IF(SUMIFS(Data!$K:$K,Data!$A:$A,Vitezistii!$B3,Data!$C:$C,Vitezistii!L$1)=0," ",SUMIFS(Data!$K:$K,Data!$A:$A,Vitezistii!$B3,Data!$C:$C,Vitezistii!L$1))+SUMIFS(Data!$S:$S,Data!$A:$A,Vitezistii!$B3,Data!$C:$C,Vitezistii!L$1),0)</f>
        <v>4.5</v>
      </c>
      <c r="M3" s="31">
        <f>IFERROR(IF(SUMIFS(Data!$K:$K,Data!$A:$A,Vitezistii!$B3,Data!$C:$C,Vitezistii!M$1)=0," ",SUMIFS(Data!$K:$K,Data!$A:$A,Vitezistii!$B3,Data!$C:$C,Vitezistii!M$1))+SUMIFS(Data!$S:$S,Data!$A:$A,Vitezistii!$B3,Data!$C:$C,Vitezistii!M$1),0)</f>
        <v>4.5</v>
      </c>
      <c r="N3" s="31">
        <f>IFERROR(IF(SUMIFS(Data!$K:$K,Data!$A:$A,Vitezistii!$B3,Data!$C:$C,Vitezistii!N$1)=0," ",SUMIFS(Data!$K:$K,Data!$A:$A,Vitezistii!$B3,Data!$C:$C,Vitezistii!N$1))+SUMIFS(Data!$S:$S,Data!$A:$A,Vitezistii!$B3,Data!$C:$C,Vitezistii!N$1),0)</f>
        <v>2.5</v>
      </c>
      <c r="O3" s="31">
        <f>IFERROR(IF(SUMIFS(Data!$K:$K,Data!$A:$A,Vitezistii!$B3,Data!$C:$C,Vitezistii!O$1)=0," ",SUMIFS(Data!$K:$K,Data!$A:$A,Vitezistii!$B3,Data!$C:$C,Vitezistii!O$1))+SUMIFS(Data!$S:$S,Data!$A:$A,Vitezistii!$B3,Data!$C:$C,Vitezistii!O$1),0)</f>
        <v>3.5</v>
      </c>
      <c r="P3" s="31">
        <f>IFERROR(IF(SUMIFS(Data!$K:$K,Data!$A:$A,Vitezistii!$B3,Data!$C:$C,Vitezistii!P$1)=0," ",SUMIFS(Data!$K:$K,Data!$A:$A,Vitezistii!$B3,Data!$C:$C,Vitezistii!P$1))+SUMIFS(Data!$S:$S,Data!$A:$A,Vitezistii!$B3,Data!$C:$C,Vitezistii!P$1),0)</f>
        <v>4.5</v>
      </c>
      <c r="Q3" s="31">
        <f>IFERROR(IF(SUMIFS(Data!$K:$K,Data!$A:$A,Vitezistii!$B3,Data!$C:$C,Vitezistii!Q$1)=0," ",SUMIFS(Data!$K:$K,Data!$A:$A,Vitezistii!$B3,Data!$C:$C,Vitezistii!Q$1))+SUMIFS(Data!$S:$S,Data!$A:$A,Vitezistii!$B3,Data!$C:$C,Vitezistii!Q$1),0)</f>
        <v>3.5</v>
      </c>
      <c r="R3" s="31">
        <f>SUM(C3:Q3)</f>
        <v>61.4</v>
      </c>
      <c r="S3" s="31">
        <f>SUMIFS(Data!D:D,Data!A:A,Vitezistii!B63)</f>
        <v>89.52</v>
      </c>
      <c r="T3" s="12">
        <f>SUMIFS(Data!I:I,Data!A:A,Vitezistii!B3)/COUNTIF(Data!A:A,Vitezistii!B3)</f>
        <v>2.8224982499352675E-3</v>
      </c>
    </row>
    <row r="4" spans="1:20" ht="13" x14ac:dyDescent="0.3">
      <c r="A4" s="79">
        <v>3</v>
      </c>
      <c r="B4" s="30" t="s">
        <v>205</v>
      </c>
      <c r="C4" s="31">
        <f>IFERROR(IF(SUMIFS(Data!$K:$K,Data!$A:$A,Vitezistii!$B4,Data!$C:$C,Vitezistii!C$1)=0," ",SUMIFS(Data!$K:$K,Data!$A:$A,Vitezistii!$B4,Data!$C:$C,Vitezistii!C$1))+SUMIFS(Data!$S:$S,Data!$A:$A,Vitezistii!$B4,Data!$C:$C,Vitezistii!C$1),0)</f>
        <v>3</v>
      </c>
      <c r="D4" s="31">
        <f>IFERROR(IF(SUMIFS(Data!$K:$K,Data!$A:$A,Vitezistii!$B4,Data!$C:$C,Vitezistii!D$1)=0," ",SUMIFS(Data!$K:$K,Data!$A:$A,Vitezistii!$B4,Data!$C:$C,Vitezistii!D$1))+SUMIFS(Data!$S:$S,Data!$A:$A,Vitezistii!$B4,Data!$C:$C,Vitezistii!D$1),0)</f>
        <v>1.5</v>
      </c>
      <c r="E4" s="31">
        <f>IFERROR(IF(SUMIFS(Data!$K:$K,Data!$A:$A,Vitezistii!$B4,Data!$C:$C,Vitezistii!E$1)=0," ",SUMIFS(Data!$K:$K,Data!$A:$A,Vitezistii!$B4,Data!$C:$C,Vitezistii!E$1))+SUMIFS(Data!$S:$S,Data!$A:$A,Vitezistii!$B4,Data!$C:$C,Vitezistii!E$1),0)</f>
        <v>3.5</v>
      </c>
      <c r="F4" s="31">
        <f>IFERROR(IF(SUMIFS(Data!$K:$K,Data!$A:$A,Vitezistii!$B4,Data!$C:$C,Vitezistii!F$1)=0," ",SUMIFS(Data!$K:$K,Data!$A:$A,Vitezistii!$B4,Data!$C:$C,Vitezistii!F$1))+SUMIFS(Data!$S:$S,Data!$A:$A,Vitezistii!$B4,Data!$C:$C,Vitezistii!F$1),0)</f>
        <v>4</v>
      </c>
      <c r="G4" s="31">
        <f>IFERROR(IF(SUMIFS(Data!$K:$K,Data!$A:$A,Vitezistii!$B4,Data!$C:$C,Vitezistii!G$1)=0," ",SUMIFS(Data!$K:$K,Data!$A:$A,Vitezistii!$B4,Data!$C:$C,Vitezistii!G$1))+SUMIFS(Data!$S:$S,Data!$A:$A,Vitezistii!$B4,Data!$C:$C,Vitezistii!G$1),0)</f>
        <v>3.5</v>
      </c>
      <c r="H4" s="31">
        <f>IFERROR(IF(SUMIFS(Data!$K:$K,Data!$A:$A,Vitezistii!$B4,Data!$C:$C,Vitezistii!H$1)=0," ",SUMIFS(Data!$K:$K,Data!$A:$A,Vitezistii!$B4,Data!$C:$C,Vitezistii!H$1))+SUMIFS(Data!$S:$S,Data!$A:$A,Vitezistii!$B4,Data!$C:$C,Vitezistii!H$1),0)</f>
        <v>4</v>
      </c>
      <c r="I4" s="31">
        <f>IFERROR(IF(SUMIFS(Data!$K:$K,Data!$A:$A,Vitezistii!$B4,Data!$C:$C,Vitezistii!I$1)=0," ",SUMIFS(Data!$K:$K,Data!$A:$A,Vitezistii!$B4,Data!$C:$C,Vitezistii!I$1))+SUMIFS(Data!$S:$S,Data!$A:$A,Vitezistii!$B4,Data!$C:$C,Vitezistii!I$1),0)</f>
        <v>4</v>
      </c>
      <c r="J4" s="31">
        <f>IFERROR(IF(SUMIFS(Data!$K:$K,Data!$A:$A,Vitezistii!$B4,Data!$C:$C,Vitezistii!J$1)=0," ",SUMIFS(Data!$K:$K,Data!$A:$A,Vitezistii!$B4,Data!$C:$C,Vitezistii!J$1))+SUMIFS(Data!$S:$S,Data!$A:$A,Vitezistii!$B4,Data!$C:$C,Vitezistii!J$1),0)</f>
        <v>7.25</v>
      </c>
      <c r="K4" s="31">
        <f>IFERROR(IF(SUMIFS(Data!$K:$K,Data!$A:$A,Vitezistii!$B4,Data!$C:$C,Vitezistii!K$1)=0," ",SUMIFS(Data!$K:$K,Data!$A:$A,Vitezistii!$B4,Data!$C:$C,Vitezistii!K$1))+SUMIFS(Data!$S:$S,Data!$A:$A,Vitezistii!$B4,Data!$C:$C,Vitezistii!K$1),0)</f>
        <v>4.5</v>
      </c>
      <c r="L4" s="31">
        <f>IFERROR(IF(SUMIFS(Data!$K:$K,Data!$A:$A,Vitezistii!$B4,Data!$C:$C,Vitezistii!L$1)=0," ",SUMIFS(Data!$K:$K,Data!$A:$A,Vitezistii!$B4,Data!$C:$C,Vitezistii!L$1))+SUMIFS(Data!$S:$S,Data!$A:$A,Vitezistii!$B4,Data!$C:$C,Vitezistii!L$1),0)</f>
        <v>3</v>
      </c>
      <c r="M4" s="31">
        <f>IFERROR(IF(SUMIFS(Data!$K:$K,Data!$A:$A,Vitezistii!$B4,Data!$C:$C,Vitezistii!M$1)=0," ",SUMIFS(Data!$K:$K,Data!$A:$A,Vitezistii!$B4,Data!$C:$C,Vitezistii!M$1))+SUMIFS(Data!$S:$S,Data!$A:$A,Vitezistii!$B4,Data!$C:$C,Vitezistii!M$1),0)</f>
        <v>3.5</v>
      </c>
      <c r="N4" s="31">
        <f>IFERROR(IF(SUMIFS(Data!$K:$K,Data!$A:$A,Vitezistii!$B4,Data!$C:$C,Vitezistii!N$1)=0," ",SUMIFS(Data!$K:$K,Data!$A:$A,Vitezistii!$B4,Data!$C:$C,Vitezistii!N$1))+SUMIFS(Data!$S:$S,Data!$A:$A,Vitezistii!$B4,Data!$C:$C,Vitezistii!N$1),0)</f>
        <v>4</v>
      </c>
      <c r="O4" s="31">
        <f>IFERROR(IF(SUMIFS(Data!$K:$K,Data!$A:$A,Vitezistii!$B4,Data!$C:$C,Vitezistii!O$1)=0," ",SUMIFS(Data!$K:$K,Data!$A:$A,Vitezistii!$B4,Data!$C:$C,Vitezistii!O$1))+SUMIFS(Data!$S:$S,Data!$A:$A,Vitezistii!$B4,Data!$C:$C,Vitezistii!O$1),0)</f>
        <v>7.25</v>
      </c>
      <c r="P4" s="31">
        <f>IFERROR(IF(SUMIFS(Data!$K:$K,Data!$A:$A,Vitezistii!$B4,Data!$C:$C,Vitezistii!P$1)=0," ",SUMIFS(Data!$K:$K,Data!$A:$A,Vitezistii!$B4,Data!$C:$C,Vitezistii!P$1))+SUMIFS(Data!$S:$S,Data!$A:$A,Vitezistii!$B4,Data!$C:$C,Vitezistii!P$1),0)</f>
        <v>5.9</v>
      </c>
      <c r="Q4" s="31">
        <f>IFERROR(IF(SUMIFS(Data!$K:$K,Data!$A:$A,Vitezistii!$B4,Data!$C:$C,Vitezistii!Q$1)=0," ",SUMIFS(Data!$K:$K,Data!$A:$A,Vitezistii!$B4,Data!$C:$C,Vitezistii!Q$1))+SUMIFS(Data!$S:$S,Data!$A:$A,Vitezistii!$B4,Data!$C:$C,Vitezistii!Q$1),0)</f>
        <v>1.75</v>
      </c>
      <c r="R4" s="31">
        <f>SUM(C4:Q4)</f>
        <v>60.65</v>
      </c>
      <c r="S4" s="31">
        <f>SUMIFS(Data!D:D,Data!A:A,Vitezistii!B64)</f>
        <v>124.5</v>
      </c>
      <c r="T4" s="12">
        <f>SUMIFS(Data!I:I,Data!A:A,Vitezistii!B4)/COUNTIF(Data!A:A,Vitezistii!B4)</f>
        <v>3.1406548314070457E-3</v>
      </c>
    </row>
    <row r="5" spans="1:20" ht="13" x14ac:dyDescent="0.3">
      <c r="A5" s="79">
        <v>4</v>
      </c>
      <c r="B5" s="30" t="s">
        <v>125</v>
      </c>
      <c r="C5" s="31">
        <f>IFERROR(IF(SUMIFS(Data!$K:$K,Data!$A:$A,Vitezistii!$B5,Data!$C:$C,Vitezistii!C$1)=0," ",SUMIFS(Data!$K:$K,Data!$A:$A,Vitezistii!$B5,Data!$C:$C,Vitezistii!C$1))+SUMIFS(Data!$S:$S,Data!$A:$A,Vitezistii!$B5,Data!$C:$C,Vitezistii!C$1),0)</f>
        <v>0</v>
      </c>
      <c r="D5" s="31">
        <f>IFERROR(IF(SUMIFS(Data!$K:$K,Data!$A:$A,Vitezistii!$B5,Data!$C:$C,Vitezistii!D$1)=0," ",SUMIFS(Data!$K:$K,Data!$A:$A,Vitezistii!$B5,Data!$C:$C,Vitezistii!D$1))+SUMIFS(Data!$S:$S,Data!$A:$A,Vitezistii!$B5,Data!$C:$C,Vitezistii!D$1),0)</f>
        <v>0</v>
      </c>
      <c r="E5" s="31">
        <f>IFERROR(IF(SUMIFS(Data!$K:$K,Data!$A:$A,Vitezistii!$B5,Data!$C:$C,Vitezistii!E$1)=0," ",SUMIFS(Data!$K:$K,Data!$A:$A,Vitezistii!$B5,Data!$C:$C,Vitezistii!E$1))+SUMIFS(Data!$S:$S,Data!$A:$A,Vitezistii!$B5,Data!$C:$C,Vitezistii!E$1),0)</f>
        <v>0</v>
      </c>
      <c r="F5" s="31">
        <f>IFERROR(IF(SUMIFS(Data!$K:$K,Data!$A:$A,Vitezistii!$B5,Data!$C:$C,Vitezistii!F$1)=0," ",SUMIFS(Data!$K:$K,Data!$A:$A,Vitezistii!$B5,Data!$C:$C,Vitezistii!F$1))+SUMIFS(Data!$S:$S,Data!$A:$A,Vitezistii!$B5,Data!$C:$C,Vitezistii!F$1),0)</f>
        <v>5.45</v>
      </c>
      <c r="G5" s="31">
        <f>IFERROR(IF(SUMIFS(Data!$K:$K,Data!$A:$A,Vitezistii!$B5,Data!$C:$C,Vitezistii!G$1)=0," ",SUMIFS(Data!$K:$K,Data!$A:$A,Vitezistii!$B5,Data!$C:$C,Vitezistii!G$1))+SUMIFS(Data!$S:$S,Data!$A:$A,Vitezistii!$B5,Data!$C:$C,Vitezistii!G$1),0)</f>
        <v>5.15</v>
      </c>
      <c r="H5" s="31">
        <f>IFERROR(IF(SUMIFS(Data!$K:$K,Data!$A:$A,Vitezistii!$B5,Data!$C:$C,Vitezistii!H$1)=0," ",SUMIFS(Data!$K:$K,Data!$A:$A,Vitezistii!$B5,Data!$C:$C,Vitezistii!H$1))+SUMIFS(Data!$S:$S,Data!$A:$A,Vitezistii!$B5,Data!$C:$C,Vitezistii!H$1),0)</f>
        <v>4.5</v>
      </c>
      <c r="I5" s="31">
        <f>IFERROR(IF(SUMIFS(Data!$K:$K,Data!$A:$A,Vitezistii!$B5,Data!$C:$C,Vitezistii!I$1)=0," ",SUMIFS(Data!$K:$K,Data!$A:$A,Vitezistii!$B5,Data!$C:$C,Vitezistii!I$1))+SUMIFS(Data!$S:$S,Data!$A:$A,Vitezistii!$B5,Data!$C:$C,Vitezistii!I$1),0)</f>
        <v>3</v>
      </c>
      <c r="J5" s="31">
        <f>IFERROR(IF(SUMIFS(Data!$K:$K,Data!$A:$A,Vitezistii!$B5,Data!$C:$C,Vitezistii!J$1)=0," ",SUMIFS(Data!$K:$K,Data!$A:$A,Vitezistii!$B5,Data!$C:$C,Vitezistii!J$1))+SUMIFS(Data!$S:$S,Data!$A:$A,Vitezistii!$B5,Data!$C:$C,Vitezistii!J$1),0)</f>
        <v>5.45</v>
      </c>
      <c r="K5" s="31">
        <f>IFERROR(IF(SUMIFS(Data!$K:$K,Data!$A:$A,Vitezistii!$B5,Data!$C:$C,Vitezistii!K$1)=0," ",SUMIFS(Data!$K:$K,Data!$A:$A,Vitezistii!$B5,Data!$C:$C,Vitezistii!K$1))+SUMIFS(Data!$S:$S,Data!$A:$A,Vitezistii!$B5,Data!$C:$C,Vitezistii!K$1),0)</f>
        <v>4.5</v>
      </c>
      <c r="L5" s="31">
        <f>IFERROR(IF(SUMIFS(Data!$K:$K,Data!$A:$A,Vitezistii!$B5,Data!$C:$C,Vitezistii!L$1)=0," ",SUMIFS(Data!$K:$K,Data!$A:$A,Vitezistii!$B5,Data!$C:$C,Vitezistii!L$1))+SUMIFS(Data!$S:$S,Data!$A:$A,Vitezistii!$B5,Data!$C:$C,Vitezistii!L$1),0)</f>
        <v>4</v>
      </c>
      <c r="M5" s="31">
        <f>IFERROR(IF(SUMIFS(Data!$K:$K,Data!$A:$A,Vitezistii!$B5,Data!$C:$C,Vitezistii!M$1)=0," ",SUMIFS(Data!$K:$K,Data!$A:$A,Vitezistii!$B5,Data!$C:$C,Vitezistii!M$1))+SUMIFS(Data!$S:$S,Data!$A:$A,Vitezistii!$B5,Data!$C:$C,Vitezistii!M$1),0)</f>
        <v>5.15</v>
      </c>
      <c r="N5" s="31">
        <f>IFERROR(IF(SUMIFS(Data!$K:$K,Data!$A:$A,Vitezistii!$B5,Data!$C:$C,Vitezistii!N$1)=0," ",SUMIFS(Data!$K:$K,Data!$A:$A,Vitezistii!$B5,Data!$C:$C,Vitezistii!N$1))+SUMIFS(Data!$S:$S,Data!$A:$A,Vitezistii!$B5,Data!$C:$C,Vitezistii!N$1),0)</f>
        <v>5.45</v>
      </c>
      <c r="O5" s="31">
        <f>IFERROR(IF(SUMIFS(Data!$K:$K,Data!$A:$A,Vitezistii!$B5,Data!$C:$C,Vitezistii!O$1)=0," ",SUMIFS(Data!$K:$K,Data!$A:$A,Vitezistii!$B5,Data!$C:$C,Vitezistii!O$1))+SUMIFS(Data!$S:$S,Data!$A:$A,Vitezistii!$B5,Data!$C:$C,Vitezistii!O$1),0)</f>
        <v>4</v>
      </c>
      <c r="P5" s="31">
        <f>IFERROR(IF(SUMIFS(Data!$K:$K,Data!$A:$A,Vitezistii!$B5,Data!$C:$C,Vitezistii!P$1)=0," ",SUMIFS(Data!$K:$K,Data!$A:$A,Vitezistii!$B5,Data!$C:$C,Vitezistii!P$1))+SUMIFS(Data!$S:$S,Data!$A:$A,Vitezistii!$B5,Data!$C:$C,Vitezistii!P$1),0)</f>
        <v>3</v>
      </c>
      <c r="Q5" s="31">
        <f>IFERROR(IF(SUMIFS(Data!$K:$K,Data!$A:$A,Vitezistii!$B5,Data!$C:$C,Vitezistii!Q$1)=0," ",SUMIFS(Data!$K:$K,Data!$A:$A,Vitezistii!$B5,Data!$C:$C,Vitezistii!Q$1))+SUMIFS(Data!$S:$S,Data!$A:$A,Vitezistii!$B5,Data!$C:$C,Vitezistii!Q$1),0)</f>
        <v>5</v>
      </c>
      <c r="R5" s="31">
        <f>SUM(C5:Q5)</f>
        <v>54.65</v>
      </c>
      <c r="S5" s="31">
        <f>SUMIFS(Data!D:D,Data!A:A,Vitezistii!B65)</f>
        <v>247.43999999999997</v>
      </c>
      <c r="T5" s="12">
        <f>SUMIFS(Data!I:I,Data!A:A,Vitezistii!B5)/COUNTIF(Data!A:A,Vitezistii!B5)</f>
        <v>2.9105262887792823E-3</v>
      </c>
    </row>
    <row r="6" spans="1:20" ht="13" x14ac:dyDescent="0.3">
      <c r="A6" s="79">
        <v>5</v>
      </c>
      <c r="B6" s="30" t="s">
        <v>368</v>
      </c>
      <c r="C6" s="31">
        <f>IFERROR(IF(SUMIFS(Data!$K:$K,Data!$A:$A,Vitezistii!$B6,Data!$C:$C,Vitezistii!C$1)=0," ",SUMIFS(Data!$K:$K,Data!$A:$A,Vitezistii!$B6,Data!$C:$C,Vitezistii!C$1))+SUMIFS(Data!$S:$S,Data!$A:$A,Vitezistii!$B6,Data!$C:$C,Vitezistii!C$1),0)</f>
        <v>2.5</v>
      </c>
      <c r="D6" s="31">
        <f>IFERROR(IF(SUMIFS(Data!$K:$K,Data!$A:$A,Vitezistii!$B6,Data!$C:$C,Vitezistii!D$1)=0," ",SUMIFS(Data!$K:$K,Data!$A:$A,Vitezistii!$B6,Data!$C:$C,Vitezistii!D$1))+SUMIFS(Data!$S:$S,Data!$A:$A,Vitezistii!$B6,Data!$C:$C,Vitezistii!D$1),0)</f>
        <v>1</v>
      </c>
      <c r="E6" s="31">
        <f>IFERROR(IF(SUMIFS(Data!$K:$K,Data!$A:$A,Vitezistii!$B6,Data!$C:$C,Vitezistii!E$1)=0," ",SUMIFS(Data!$K:$K,Data!$A:$A,Vitezistii!$B6,Data!$C:$C,Vitezistii!E$1))+SUMIFS(Data!$S:$S,Data!$A:$A,Vitezistii!$B6,Data!$C:$C,Vitezistii!E$1),0)</f>
        <v>3.5</v>
      </c>
      <c r="F6" s="31">
        <f>IFERROR(IF(SUMIFS(Data!$K:$K,Data!$A:$A,Vitezistii!$B6,Data!$C:$C,Vitezistii!F$1)=0," ",SUMIFS(Data!$K:$K,Data!$A:$A,Vitezistii!$B6,Data!$C:$C,Vitezistii!F$1))+SUMIFS(Data!$S:$S,Data!$A:$A,Vitezistii!$B6,Data!$C:$C,Vitezistii!F$1),0)</f>
        <v>3.5</v>
      </c>
      <c r="G6" s="31">
        <f>IFERROR(IF(SUMIFS(Data!$K:$K,Data!$A:$A,Vitezistii!$B6,Data!$C:$C,Vitezistii!G$1)=0," ",SUMIFS(Data!$K:$K,Data!$A:$A,Vitezistii!$B6,Data!$C:$C,Vitezistii!G$1))+SUMIFS(Data!$S:$S,Data!$A:$A,Vitezistii!$B6,Data!$C:$C,Vitezistii!G$1),0)</f>
        <v>4</v>
      </c>
      <c r="H6" s="31">
        <f>IFERROR(IF(SUMIFS(Data!$K:$K,Data!$A:$A,Vitezistii!$B6,Data!$C:$C,Vitezistii!H$1)=0," ",SUMIFS(Data!$K:$K,Data!$A:$A,Vitezistii!$B6,Data!$C:$C,Vitezistii!H$1))+SUMIFS(Data!$S:$S,Data!$A:$A,Vitezistii!$B6,Data!$C:$C,Vitezistii!H$1),0)</f>
        <v>4</v>
      </c>
      <c r="I6" s="31">
        <f>IFERROR(IF(SUMIFS(Data!$K:$K,Data!$A:$A,Vitezistii!$B6,Data!$C:$C,Vitezistii!I$1)=0," ",SUMIFS(Data!$K:$K,Data!$A:$A,Vitezistii!$B6,Data!$C:$C,Vitezistii!I$1))+SUMIFS(Data!$S:$S,Data!$A:$A,Vitezistii!$B6,Data!$C:$C,Vitezistii!I$1),0)</f>
        <v>0</v>
      </c>
      <c r="J6" s="31">
        <f>IFERROR(IF(SUMIFS(Data!$K:$K,Data!$A:$A,Vitezistii!$B6,Data!$C:$C,Vitezistii!J$1)=0," ",SUMIFS(Data!$K:$K,Data!$A:$A,Vitezistii!$B6,Data!$C:$C,Vitezistii!J$1))+SUMIFS(Data!$S:$S,Data!$A:$A,Vitezistii!$B6,Data!$C:$C,Vitezistii!J$1),0)</f>
        <v>4</v>
      </c>
      <c r="K6" s="31">
        <f>IFERROR(IF(SUMIFS(Data!$K:$K,Data!$A:$A,Vitezistii!$B6,Data!$C:$C,Vitezistii!K$1)=0," ",SUMIFS(Data!$K:$K,Data!$A:$A,Vitezistii!$B6,Data!$C:$C,Vitezistii!K$1))+SUMIFS(Data!$S:$S,Data!$A:$A,Vitezistii!$B6,Data!$C:$C,Vitezistii!K$1),0)</f>
        <v>3.5</v>
      </c>
      <c r="L6" s="31">
        <f>IFERROR(IF(SUMIFS(Data!$K:$K,Data!$A:$A,Vitezistii!$B6,Data!$C:$C,Vitezistii!L$1)=0," ",SUMIFS(Data!$K:$K,Data!$A:$A,Vitezistii!$B6,Data!$C:$C,Vitezistii!L$1))+SUMIFS(Data!$S:$S,Data!$A:$A,Vitezistii!$B6,Data!$C:$C,Vitezistii!L$1),0)</f>
        <v>3</v>
      </c>
      <c r="M6" s="31">
        <f>IFERROR(IF(SUMIFS(Data!$K:$K,Data!$A:$A,Vitezistii!$B6,Data!$C:$C,Vitezistii!M$1)=0," ",SUMIFS(Data!$K:$K,Data!$A:$A,Vitezistii!$B6,Data!$C:$C,Vitezistii!M$1))+SUMIFS(Data!$S:$S,Data!$A:$A,Vitezistii!$B6,Data!$C:$C,Vitezistii!M$1),0)</f>
        <v>5.15</v>
      </c>
      <c r="N6" s="31">
        <f>IFERROR(IF(SUMIFS(Data!$K:$K,Data!$A:$A,Vitezistii!$B6,Data!$C:$C,Vitezistii!N$1)=0," ",SUMIFS(Data!$K:$K,Data!$A:$A,Vitezistii!$B6,Data!$C:$C,Vitezistii!N$1))+SUMIFS(Data!$S:$S,Data!$A:$A,Vitezistii!$B6,Data!$C:$C,Vitezistii!N$1),0)</f>
        <v>4</v>
      </c>
      <c r="O6" s="31">
        <f>IFERROR(IF(SUMIFS(Data!$K:$K,Data!$A:$A,Vitezistii!$B6,Data!$C:$C,Vitezistii!O$1)=0," ",SUMIFS(Data!$K:$K,Data!$A:$A,Vitezistii!$B6,Data!$C:$C,Vitezistii!O$1))+SUMIFS(Data!$S:$S,Data!$A:$A,Vitezistii!$B6,Data!$C:$C,Vitezistii!O$1),0)</f>
        <v>4.5</v>
      </c>
      <c r="P6" s="31">
        <f>IFERROR(IF(SUMIFS(Data!$K:$K,Data!$A:$A,Vitezistii!$B6,Data!$C:$C,Vitezistii!P$1)=0," ",SUMIFS(Data!$K:$K,Data!$A:$A,Vitezistii!$B6,Data!$C:$C,Vitezistii!P$1))+SUMIFS(Data!$S:$S,Data!$A:$A,Vitezistii!$B6,Data!$C:$C,Vitezistii!P$1),0)</f>
        <v>4.5</v>
      </c>
      <c r="Q6" s="31">
        <f>IFERROR(IF(SUMIFS(Data!$K:$K,Data!$A:$A,Vitezistii!$B6,Data!$C:$C,Vitezistii!Q$1)=0," ",SUMIFS(Data!$K:$K,Data!$A:$A,Vitezistii!$B6,Data!$C:$C,Vitezistii!Q$1))+SUMIFS(Data!$S:$S,Data!$A:$A,Vitezistii!$B6,Data!$C:$C,Vitezistii!Q$1),0)</f>
        <v>5.9</v>
      </c>
      <c r="R6" s="31">
        <f>SUM(C6:Q6)</f>
        <v>53.05</v>
      </c>
      <c r="S6" s="31">
        <f>SUMIFS(Data!D:D,Data!A:A,Vitezistii!B66)</f>
        <v>194.78999999999996</v>
      </c>
      <c r="T6" s="12">
        <f>SUMIFS(Data!I:I,Data!A:A,Vitezistii!B6)/COUNTIF(Data!A:A,Vitezistii!B6)</f>
        <v>3.2057680394799843E-3</v>
      </c>
    </row>
    <row r="7" spans="1:20" ht="13" x14ac:dyDescent="0.3">
      <c r="A7" s="79">
        <v>6</v>
      </c>
      <c r="B7" s="30" t="s">
        <v>203</v>
      </c>
      <c r="C7" s="31">
        <f>IFERROR(IF(SUMIFS(Data!$K:$K,Data!$A:$A,Vitezistii!$B7,Data!$C:$C,Vitezistii!C$1)=0," ",SUMIFS(Data!$K:$K,Data!$A:$A,Vitezistii!$B7,Data!$C:$C,Vitezistii!C$1))+SUMIFS(Data!$S:$S,Data!$A:$A,Vitezistii!$B7,Data!$C:$C,Vitezistii!C$1),0)</f>
        <v>3.5</v>
      </c>
      <c r="D7" s="31">
        <f>IFERROR(IF(SUMIFS(Data!$K:$K,Data!$A:$A,Vitezistii!$B7,Data!$C:$C,Vitezistii!D$1)=0," ",SUMIFS(Data!$K:$K,Data!$A:$A,Vitezistii!$B7,Data!$C:$C,Vitezistii!D$1))+SUMIFS(Data!$S:$S,Data!$A:$A,Vitezistii!$B7,Data!$C:$C,Vitezistii!D$1),0)</f>
        <v>2.5</v>
      </c>
      <c r="E7" s="31">
        <f>IFERROR(IF(SUMIFS(Data!$K:$K,Data!$A:$A,Vitezistii!$B7,Data!$C:$C,Vitezistii!E$1)=0," ",SUMIFS(Data!$K:$K,Data!$A:$A,Vitezistii!$B7,Data!$C:$C,Vitezistii!E$1))+SUMIFS(Data!$S:$S,Data!$A:$A,Vitezistii!$B7,Data!$C:$C,Vitezistii!E$1),0)</f>
        <v>3</v>
      </c>
      <c r="F7" s="31">
        <f>IFERROR(IF(SUMIFS(Data!$K:$K,Data!$A:$A,Vitezistii!$B7,Data!$C:$C,Vitezistii!F$1)=0," ",SUMIFS(Data!$K:$K,Data!$A:$A,Vitezistii!$B7,Data!$C:$C,Vitezistii!F$1))+SUMIFS(Data!$S:$S,Data!$A:$A,Vitezistii!$B7,Data!$C:$C,Vitezistii!F$1),0)</f>
        <v>3.5</v>
      </c>
      <c r="G7" s="31">
        <f>IFERROR(IF(SUMIFS(Data!$K:$K,Data!$A:$A,Vitezistii!$B7,Data!$C:$C,Vitezistii!G$1)=0," ",SUMIFS(Data!$K:$K,Data!$A:$A,Vitezistii!$B7,Data!$C:$C,Vitezistii!G$1))+SUMIFS(Data!$S:$S,Data!$A:$A,Vitezistii!$B7,Data!$C:$C,Vitezistii!G$1),0)</f>
        <v>1.5</v>
      </c>
      <c r="H7" s="31">
        <f>IFERROR(IF(SUMIFS(Data!$K:$K,Data!$A:$A,Vitezistii!$B7,Data!$C:$C,Vitezistii!H$1)=0," ",SUMIFS(Data!$K:$K,Data!$A:$A,Vitezistii!$B7,Data!$C:$C,Vitezistii!H$1))+SUMIFS(Data!$S:$S,Data!$A:$A,Vitezistii!$B7,Data!$C:$C,Vitezistii!H$1),0)</f>
        <v>3</v>
      </c>
      <c r="I7" s="31">
        <f>IFERROR(IF(SUMIFS(Data!$K:$K,Data!$A:$A,Vitezistii!$B7,Data!$C:$C,Vitezistii!I$1)=0," ",SUMIFS(Data!$K:$K,Data!$A:$A,Vitezistii!$B7,Data!$C:$C,Vitezistii!I$1))+SUMIFS(Data!$S:$S,Data!$A:$A,Vitezistii!$B7,Data!$C:$C,Vitezistii!I$1),0)</f>
        <v>4.5</v>
      </c>
      <c r="J7" s="31">
        <f>IFERROR(IF(SUMIFS(Data!$K:$K,Data!$A:$A,Vitezistii!$B7,Data!$C:$C,Vitezistii!J$1)=0," ",SUMIFS(Data!$K:$K,Data!$A:$A,Vitezistii!$B7,Data!$C:$C,Vitezistii!J$1))+SUMIFS(Data!$S:$S,Data!$A:$A,Vitezistii!$B7,Data!$C:$C,Vitezistii!J$1),0)</f>
        <v>4.5</v>
      </c>
      <c r="K7" s="31">
        <f>IFERROR(IF(SUMIFS(Data!$K:$K,Data!$A:$A,Vitezistii!$B7,Data!$C:$C,Vitezistii!K$1)=0," ",SUMIFS(Data!$K:$K,Data!$A:$A,Vitezistii!$B7,Data!$C:$C,Vitezistii!K$1))+SUMIFS(Data!$S:$S,Data!$A:$A,Vitezistii!$B7,Data!$C:$C,Vitezistii!K$1),0)</f>
        <v>3</v>
      </c>
      <c r="L7" s="31">
        <f>IFERROR(IF(SUMIFS(Data!$K:$K,Data!$A:$A,Vitezistii!$B7,Data!$C:$C,Vitezistii!L$1)=0," ",SUMIFS(Data!$K:$K,Data!$A:$A,Vitezistii!$B7,Data!$C:$C,Vitezistii!L$1))+SUMIFS(Data!$S:$S,Data!$A:$A,Vitezistii!$B7,Data!$C:$C,Vitezistii!L$1),0)</f>
        <v>1</v>
      </c>
      <c r="M7" s="31">
        <f>IFERROR(IF(SUMIFS(Data!$K:$K,Data!$A:$A,Vitezistii!$B7,Data!$C:$C,Vitezistii!M$1)=0," ",SUMIFS(Data!$K:$K,Data!$A:$A,Vitezistii!$B7,Data!$C:$C,Vitezistii!M$1))+SUMIFS(Data!$S:$S,Data!$A:$A,Vitezistii!$B7,Data!$C:$C,Vitezistii!M$1),0)</f>
        <v>4.5</v>
      </c>
      <c r="N7" s="31">
        <f>IFERROR(IF(SUMIFS(Data!$K:$K,Data!$A:$A,Vitezistii!$B7,Data!$C:$C,Vitezistii!N$1)=0," ",SUMIFS(Data!$K:$K,Data!$A:$A,Vitezistii!$B7,Data!$C:$C,Vitezistii!N$1))+SUMIFS(Data!$S:$S,Data!$A:$A,Vitezistii!$B7,Data!$C:$C,Vitezistii!N$1),0)</f>
        <v>4</v>
      </c>
      <c r="O7" s="31">
        <f>IFERROR(IF(SUMIFS(Data!$K:$K,Data!$A:$A,Vitezistii!$B7,Data!$C:$C,Vitezistii!O$1)=0," ",SUMIFS(Data!$K:$K,Data!$A:$A,Vitezistii!$B7,Data!$C:$C,Vitezistii!O$1))+SUMIFS(Data!$S:$S,Data!$A:$A,Vitezistii!$B7,Data!$C:$C,Vitezistii!O$1),0)</f>
        <v>4.5</v>
      </c>
      <c r="P7" s="31">
        <f>IFERROR(IF(SUMIFS(Data!$K:$K,Data!$A:$A,Vitezistii!$B7,Data!$C:$C,Vitezistii!P$1)=0," ",SUMIFS(Data!$K:$K,Data!$A:$A,Vitezistii!$B7,Data!$C:$C,Vitezistii!P$1))+SUMIFS(Data!$S:$S,Data!$A:$A,Vitezistii!$B7,Data!$C:$C,Vitezistii!P$1),0)</f>
        <v>4</v>
      </c>
      <c r="Q7" s="31">
        <f>IFERROR(IF(SUMIFS(Data!$K:$K,Data!$A:$A,Vitezistii!$B7,Data!$C:$C,Vitezistii!Q$1)=0," ",SUMIFS(Data!$K:$K,Data!$A:$A,Vitezistii!$B7,Data!$C:$C,Vitezistii!Q$1))+SUMIFS(Data!$S:$S,Data!$A:$A,Vitezistii!$B7,Data!$C:$C,Vitezistii!Q$1),0)</f>
        <v>4</v>
      </c>
      <c r="R7" s="31">
        <f>SUM(C7:Q7)</f>
        <v>51</v>
      </c>
      <c r="S7" s="31">
        <f>SUMIFS(Data!D:D,Data!A:A,Vitezistii!B67)</f>
        <v>295.23</v>
      </c>
      <c r="T7" s="12">
        <f>SUMIFS(Data!I:I,Data!A:A,Vitezistii!B7)/COUNTIF(Data!A:A,Vitezistii!B7)</f>
        <v>3.3074342328944404E-3</v>
      </c>
    </row>
    <row r="8" spans="1:20" ht="13" x14ac:dyDescent="0.3">
      <c r="A8" s="79">
        <v>7</v>
      </c>
      <c r="B8" s="30" t="s">
        <v>120</v>
      </c>
      <c r="C8" s="31">
        <f>IFERROR(IF(SUMIFS(Data!$K:$K,Data!$A:$A,Vitezistii!$B8,Data!$C:$C,Vitezistii!C$1)=0," ",SUMIFS(Data!$K:$K,Data!$A:$A,Vitezistii!$B8,Data!$C:$C,Vitezistii!C$1))+SUMIFS(Data!$S:$S,Data!$A:$A,Vitezistii!$B8,Data!$C:$C,Vitezistii!C$1),0)</f>
        <v>3</v>
      </c>
      <c r="D8" s="31">
        <f>IFERROR(IF(SUMIFS(Data!$K:$K,Data!$A:$A,Vitezistii!$B8,Data!$C:$C,Vitezistii!D$1)=0," ",SUMIFS(Data!$K:$K,Data!$A:$A,Vitezistii!$B8,Data!$C:$C,Vitezistii!D$1))+SUMIFS(Data!$S:$S,Data!$A:$A,Vitezistii!$B8,Data!$C:$C,Vitezistii!D$1),0)</f>
        <v>3.5</v>
      </c>
      <c r="E8" s="31">
        <f>IFERROR(IF(SUMIFS(Data!$K:$K,Data!$A:$A,Vitezistii!$B8,Data!$C:$C,Vitezistii!E$1)=0," ",SUMIFS(Data!$K:$K,Data!$A:$A,Vitezistii!$B8,Data!$C:$C,Vitezistii!E$1))+SUMIFS(Data!$S:$S,Data!$A:$A,Vitezistii!$B8,Data!$C:$C,Vitezistii!E$1),0)</f>
        <v>2</v>
      </c>
      <c r="F8" s="31">
        <f>IFERROR(IF(SUMIFS(Data!$K:$K,Data!$A:$A,Vitezistii!$B8,Data!$C:$C,Vitezistii!F$1)=0," ",SUMIFS(Data!$K:$K,Data!$A:$A,Vitezistii!$B8,Data!$C:$C,Vitezistii!F$1))+SUMIFS(Data!$S:$S,Data!$A:$A,Vitezistii!$B8,Data!$C:$C,Vitezistii!F$1),0)</f>
        <v>2.5</v>
      </c>
      <c r="G8" s="31">
        <f>IFERROR(IF(SUMIFS(Data!$K:$K,Data!$A:$A,Vitezistii!$B8,Data!$C:$C,Vitezistii!G$1)=0," ",SUMIFS(Data!$K:$K,Data!$A:$A,Vitezistii!$B8,Data!$C:$C,Vitezistii!G$1))+SUMIFS(Data!$S:$S,Data!$A:$A,Vitezistii!$B8,Data!$C:$C,Vitezistii!G$1),0)</f>
        <v>3.5</v>
      </c>
      <c r="H8" s="31">
        <f>IFERROR(IF(SUMIFS(Data!$K:$K,Data!$A:$A,Vitezistii!$B8,Data!$C:$C,Vitezistii!H$1)=0," ",SUMIFS(Data!$K:$K,Data!$A:$A,Vitezistii!$B8,Data!$C:$C,Vitezistii!H$1))+SUMIFS(Data!$S:$S,Data!$A:$A,Vitezistii!$B8,Data!$C:$C,Vitezistii!H$1),0)</f>
        <v>2.5</v>
      </c>
      <c r="I8" s="31">
        <f>IFERROR(IF(SUMIFS(Data!$K:$K,Data!$A:$A,Vitezistii!$B8,Data!$C:$C,Vitezistii!I$1)=0," ",SUMIFS(Data!$K:$K,Data!$A:$A,Vitezistii!$B8,Data!$C:$C,Vitezistii!I$1))+SUMIFS(Data!$S:$S,Data!$A:$A,Vitezistii!$B8,Data!$C:$C,Vitezistii!I$1),0)</f>
        <v>5.9</v>
      </c>
      <c r="J8" s="31">
        <f>IFERROR(IF(SUMIFS(Data!$K:$K,Data!$A:$A,Vitezistii!$B8,Data!$C:$C,Vitezistii!J$1)=0," ",SUMIFS(Data!$K:$K,Data!$A:$A,Vitezistii!$B8,Data!$C:$C,Vitezistii!J$1))+SUMIFS(Data!$S:$S,Data!$A:$A,Vitezistii!$B8,Data!$C:$C,Vitezistii!J$1),0)</f>
        <v>3.5</v>
      </c>
      <c r="K8" s="31">
        <f>IFERROR(IF(SUMIFS(Data!$K:$K,Data!$A:$A,Vitezistii!$B8,Data!$C:$C,Vitezistii!K$1)=0," ",SUMIFS(Data!$K:$K,Data!$A:$A,Vitezistii!$B8,Data!$C:$C,Vitezistii!K$1))+SUMIFS(Data!$S:$S,Data!$A:$A,Vitezistii!$B8,Data!$C:$C,Vitezistii!K$1),0)</f>
        <v>2.5</v>
      </c>
      <c r="L8" s="31">
        <f>IFERROR(IF(SUMIFS(Data!$K:$K,Data!$A:$A,Vitezistii!$B8,Data!$C:$C,Vitezistii!L$1)=0," ",SUMIFS(Data!$K:$K,Data!$A:$A,Vitezistii!$B8,Data!$C:$C,Vitezistii!L$1))+SUMIFS(Data!$S:$S,Data!$A:$A,Vitezistii!$B8,Data!$C:$C,Vitezistii!L$1),0)</f>
        <v>3.5</v>
      </c>
      <c r="M8" s="31">
        <f>IFERROR(IF(SUMIFS(Data!$K:$K,Data!$A:$A,Vitezistii!$B8,Data!$C:$C,Vitezistii!M$1)=0," ",SUMIFS(Data!$K:$K,Data!$A:$A,Vitezistii!$B8,Data!$C:$C,Vitezistii!M$1))+SUMIFS(Data!$S:$S,Data!$A:$A,Vitezistii!$B8,Data!$C:$C,Vitezistii!M$1),0)</f>
        <v>4.5</v>
      </c>
      <c r="N8" s="31">
        <f>IFERROR(IF(SUMIFS(Data!$K:$K,Data!$A:$A,Vitezistii!$B8,Data!$C:$C,Vitezistii!N$1)=0," ",SUMIFS(Data!$K:$K,Data!$A:$A,Vitezistii!$B8,Data!$C:$C,Vitezistii!N$1))+SUMIFS(Data!$S:$S,Data!$A:$A,Vitezistii!$B8,Data!$C:$C,Vitezistii!N$1),0)</f>
        <v>3.5</v>
      </c>
      <c r="O8" s="31">
        <f>IFERROR(IF(SUMIFS(Data!$K:$K,Data!$A:$A,Vitezistii!$B8,Data!$C:$C,Vitezistii!O$1)=0," ",SUMIFS(Data!$K:$K,Data!$A:$A,Vitezistii!$B8,Data!$C:$C,Vitezistii!O$1))+SUMIFS(Data!$S:$S,Data!$A:$A,Vitezistii!$B8,Data!$C:$C,Vitezistii!O$1),0)</f>
        <v>3.5</v>
      </c>
      <c r="P8" s="31">
        <f>IFERROR(IF(SUMIFS(Data!$K:$K,Data!$A:$A,Vitezistii!$B8,Data!$C:$C,Vitezistii!P$1)=0," ",SUMIFS(Data!$K:$K,Data!$A:$A,Vitezistii!$B8,Data!$C:$C,Vitezistii!P$1))+SUMIFS(Data!$S:$S,Data!$A:$A,Vitezistii!$B8,Data!$C:$C,Vitezistii!P$1),0)</f>
        <v>2.5</v>
      </c>
      <c r="Q8" s="31">
        <f>IFERROR(IF(SUMIFS(Data!$K:$K,Data!$A:$A,Vitezistii!$B8,Data!$C:$C,Vitezistii!Q$1)=0," ",SUMIFS(Data!$K:$K,Data!$A:$A,Vitezistii!$B8,Data!$C:$C,Vitezistii!Q$1))+SUMIFS(Data!$S:$S,Data!$A:$A,Vitezistii!$B8,Data!$C:$C,Vitezistii!Q$1),0)</f>
        <v>4.5</v>
      </c>
      <c r="R8" s="31">
        <f>SUM(C8:Q8)</f>
        <v>50.9</v>
      </c>
      <c r="S8" s="31">
        <f>SUMIFS(Data!D:D,Data!A:A,Vitezistii!B68)</f>
        <v>631.07000000000005</v>
      </c>
      <c r="T8" s="12">
        <f>SUMIFS(Data!I:I,Data!A:A,Vitezistii!B8)/COUNTIF(Data!A:A,Vitezistii!B8)</f>
        <v>3.2859244436292873E-3</v>
      </c>
    </row>
    <row r="9" spans="1:20" ht="13" x14ac:dyDescent="0.3">
      <c r="A9" s="79">
        <v>8</v>
      </c>
      <c r="B9" s="30" t="s">
        <v>366</v>
      </c>
      <c r="C9" s="31">
        <f>IFERROR(IF(SUMIFS(Data!$K:$K,Data!$A:$A,Vitezistii!$B9,Data!$C:$C,Vitezistii!C$1)=0," ",SUMIFS(Data!$K:$K,Data!$A:$A,Vitezistii!$B9,Data!$C:$C,Vitezistii!C$1))+SUMIFS(Data!$S:$S,Data!$A:$A,Vitezistii!$B9,Data!$C:$C,Vitezistii!C$1),0)</f>
        <v>4</v>
      </c>
      <c r="D9" s="31">
        <f>IFERROR(IF(SUMIFS(Data!$K:$K,Data!$A:$A,Vitezistii!$B9,Data!$C:$C,Vitezistii!D$1)=0," ",SUMIFS(Data!$K:$K,Data!$A:$A,Vitezistii!$B9,Data!$C:$C,Vitezistii!D$1))+SUMIFS(Data!$S:$S,Data!$A:$A,Vitezistii!$B9,Data!$C:$C,Vitezistii!D$1),0)</f>
        <v>3.5</v>
      </c>
      <c r="E9" s="31">
        <f>IFERROR(IF(SUMIFS(Data!$K:$K,Data!$A:$A,Vitezistii!$B9,Data!$C:$C,Vitezistii!E$1)=0," ",SUMIFS(Data!$K:$K,Data!$A:$A,Vitezistii!$B9,Data!$C:$C,Vitezistii!E$1))+SUMIFS(Data!$S:$S,Data!$A:$A,Vitezistii!$B9,Data!$C:$C,Vitezistii!E$1),0)</f>
        <v>4</v>
      </c>
      <c r="F9" s="31">
        <f>IFERROR(IF(SUMIFS(Data!$K:$K,Data!$A:$A,Vitezistii!$B9,Data!$C:$C,Vitezistii!F$1)=0," ",SUMIFS(Data!$K:$K,Data!$A:$A,Vitezistii!$B9,Data!$C:$C,Vitezistii!F$1))+SUMIFS(Data!$S:$S,Data!$A:$A,Vitezistii!$B9,Data!$C:$C,Vitezistii!F$1),0)</f>
        <v>2.5</v>
      </c>
      <c r="G9" s="31">
        <f>IFERROR(IF(SUMIFS(Data!$K:$K,Data!$A:$A,Vitezistii!$B9,Data!$C:$C,Vitezistii!G$1)=0," ",SUMIFS(Data!$K:$K,Data!$A:$A,Vitezistii!$B9,Data!$C:$C,Vitezistii!G$1))+SUMIFS(Data!$S:$S,Data!$A:$A,Vitezistii!$B9,Data!$C:$C,Vitezistii!G$1),0)</f>
        <v>2</v>
      </c>
      <c r="H9" s="31">
        <f>IFERROR(IF(SUMIFS(Data!$K:$K,Data!$A:$A,Vitezistii!$B9,Data!$C:$C,Vitezistii!H$1)=0," ",SUMIFS(Data!$K:$K,Data!$A:$A,Vitezistii!$B9,Data!$C:$C,Vitezistii!H$1))+SUMIFS(Data!$S:$S,Data!$A:$A,Vitezistii!$B9,Data!$C:$C,Vitezistii!H$1),0)</f>
        <v>1.25</v>
      </c>
      <c r="I9" s="31">
        <f>IFERROR(IF(SUMIFS(Data!$K:$K,Data!$A:$A,Vitezistii!$B9,Data!$C:$C,Vitezistii!I$1)=0," ",SUMIFS(Data!$K:$K,Data!$A:$A,Vitezistii!$B9,Data!$C:$C,Vitezistii!I$1))+SUMIFS(Data!$S:$S,Data!$A:$A,Vitezistii!$B9,Data!$C:$C,Vitezistii!I$1),0)</f>
        <v>5.9</v>
      </c>
      <c r="J9" s="31">
        <f>IFERROR(IF(SUMIFS(Data!$K:$K,Data!$A:$A,Vitezistii!$B9,Data!$C:$C,Vitezistii!J$1)=0," ",SUMIFS(Data!$K:$K,Data!$A:$A,Vitezistii!$B9,Data!$C:$C,Vitezistii!J$1))+SUMIFS(Data!$S:$S,Data!$A:$A,Vitezistii!$B9,Data!$C:$C,Vitezistii!J$1),0)</f>
        <v>3</v>
      </c>
      <c r="K9" s="31">
        <f>IFERROR(IF(SUMIFS(Data!$K:$K,Data!$A:$A,Vitezistii!$B9,Data!$C:$C,Vitezistii!K$1)=0," ",SUMIFS(Data!$K:$K,Data!$A:$A,Vitezistii!$B9,Data!$C:$C,Vitezistii!K$1))+SUMIFS(Data!$S:$S,Data!$A:$A,Vitezistii!$B9,Data!$C:$C,Vitezistii!K$1),0)</f>
        <v>2.5</v>
      </c>
      <c r="L9" s="31">
        <f>IFERROR(IF(SUMIFS(Data!$K:$K,Data!$A:$A,Vitezistii!$B9,Data!$C:$C,Vitezistii!L$1)=0," ",SUMIFS(Data!$K:$K,Data!$A:$A,Vitezistii!$B9,Data!$C:$C,Vitezistii!L$1))+SUMIFS(Data!$S:$S,Data!$A:$A,Vitezistii!$B9,Data!$C:$C,Vitezistii!L$1),0)</f>
        <v>0.75</v>
      </c>
      <c r="M9" s="31">
        <f>IFERROR(IF(SUMIFS(Data!$K:$K,Data!$A:$A,Vitezistii!$B9,Data!$C:$C,Vitezistii!M$1)=0," ",SUMIFS(Data!$K:$K,Data!$A:$A,Vitezistii!$B9,Data!$C:$C,Vitezistii!M$1))+SUMIFS(Data!$S:$S,Data!$A:$A,Vitezistii!$B9,Data!$C:$C,Vitezistii!M$1),0)</f>
        <v>3.5</v>
      </c>
      <c r="N9" s="31">
        <f>IFERROR(IF(SUMIFS(Data!$K:$K,Data!$A:$A,Vitezistii!$B9,Data!$C:$C,Vitezistii!N$1)=0," ",SUMIFS(Data!$K:$K,Data!$A:$A,Vitezistii!$B9,Data!$C:$C,Vitezistii!N$1))+SUMIFS(Data!$S:$S,Data!$A:$A,Vitezistii!$B9,Data!$C:$C,Vitezistii!N$1),0)</f>
        <v>3</v>
      </c>
      <c r="O9" s="31">
        <f>IFERROR(IF(SUMIFS(Data!$K:$K,Data!$A:$A,Vitezistii!$B9,Data!$C:$C,Vitezistii!O$1)=0," ",SUMIFS(Data!$K:$K,Data!$A:$A,Vitezistii!$B9,Data!$C:$C,Vitezistii!O$1))+SUMIFS(Data!$S:$S,Data!$A:$A,Vitezistii!$B9,Data!$C:$C,Vitezistii!O$1),0)</f>
        <v>1.25</v>
      </c>
      <c r="P9" s="31">
        <f>IFERROR(IF(SUMIFS(Data!$K:$K,Data!$A:$A,Vitezistii!$B9,Data!$C:$C,Vitezistii!P$1)=0," ",SUMIFS(Data!$K:$K,Data!$A:$A,Vitezistii!$B9,Data!$C:$C,Vitezistii!P$1))+SUMIFS(Data!$S:$S,Data!$A:$A,Vitezistii!$B9,Data!$C:$C,Vitezistii!P$1),0)</f>
        <v>5.9</v>
      </c>
      <c r="Q9" s="31">
        <f>IFERROR(IF(SUMIFS(Data!$K:$K,Data!$A:$A,Vitezistii!$B9,Data!$C:$C,Vitezistii!Q$1)=0," ",SUMIFS(Data!$K:$K,Data!$A:$A,Vitezistii!$B9,Data!$C:$C,Vitezistii!Q$1))+SUMIFS(Data!$S:$S,Data!$A:$A,Vitezistii!$B9,Data!$C:$C,Vitezistii!Q$1),0)</f>
        <v>5.15</v>
      </c>
      <c r="R9" s="31">
        <f>SUM(C9:Q9)</f>
        <v>48.199999999999996</v>
      </c>
      <c r="S9" s="31">
        <f>SUMIFS(Data!D:D,Data!A:A,Vitezistii!B69)</f>
        <v>138.20000000000002</v>
      </c>
      <c r="T9" s="12">
        <f>SUMIFS(Data!I:I,Data!A:A,Vitezistii!B9)/COUNTIF(Data!A:A,Vitezistii!B9)</f>
        <v>3.4209216149205094E-3</v>
      </c>
    </row>
    <row r="10" spans="1:20" ht="13" x14ac:dyDescent="0.3">
      <c r="A10" s="79">
        <v>9</v>
      </c>
      <c r="B10" s="30" t="s">
        <v>279</v>
      </c>
      <c r="C10" s="31">
        <f>IFERROR(IF(SUMIFS(Data!$K:$K,Data!$A:$A,Vitezistii!$B10,Data!$C:$C,Vitezistii!C$1)=0," ",SUMIFS(Data!$K:$K,Data!$A:$A,Vitezistii!$B10,Data!$C:$C,Vitezistii!C$1))+SUMIFS(Data!$S:$S,Data!$A:$A,Vitezistii!$B10,Data!$C:$C,Vitezistii!C$1),0)</f>
        <v>3</v>
      </c>
      <c r="D10" s="31">
        <f>IFERROR(IF(SUMIFS(Data!$K:$K,Data!$A:$A,Vitezistii!$B10,Data!$C:$C,Vitezistii!D$1)=0," ",SUMIFS(Data!$K:$K,Data!$A:$A,Vitezistii!$B10,Data!$C:$C,Vitezistii!D$1))+SUMIFS(Data!$S:$S,Data!$A:$A,Vitezistii!$B10,Data!$C:$C,Vitezistii!D$1),0)</f>
        <v>3.5</v>
      </c>
      <c r="E10" s="31">
        <f>IFERROR(IF(SUMIFS(Data!$K:$K,Data!$A:$A,Vitezistii!$B10,Data!$C:$C,Vitezistii!E$1)=0," ",SUMIFS(Data!$K:$K,Data!$A:$A,Vitezistii!$B10,Data!$C:$C,Vitezistii!E$1))+SUMIFS(Data!$S:$S,Data!$A:$A,Vitezistii!$B10,Data!$C:$C,Vitezistii!E$1),0)</f>
        <v>4.5</v>
      </c>
      <c r="F10" s="31">
        <f>IFERROR(IF(SUMIFS(Data!$K:$K,Data!$A:$A,Vitezistii!$B10,Data!$C:$C,Vitezistii!F$1)=0," ",SUMIFS(Data!$K:$K,Data!$A:$A,Vitezistii!$B10,Data!$C:$C,Vitezistii!F$1))+SUMIFS(Data!$S:$S,Data!$A:$A,Vitezistii!$B10,Data!$C:$C,Vitezistii!F$1),0)</f>
        <v>4.5</v>
      </c>
      <c r="G10" s="31">
        <f>IFERROR(IF(SUMIFS(Data!$K:$K,Data!$A:$A,Vitezistii!$B10,Data!$C:$C,Vitezistii!G$1)=0," ",SUMIFS(Data!$K:$K,Data!$A:$A,Vitezistii!$B10,Data!$C:$C,Vitezistii!G$1))+SUMIFS(Data!$S:$S,Data!$A:$A,Vitezistii!$B10,Data!$C:$C,Vitezistii!G$1),0)</f>
        <v>3.5</v>
      </c>
      <c r="H10" s="31">
        <f>IFERROR(IF(SUMIFS(Data!$K:$K,Data!$A:$A,Vitezistii!$B10,Data!$C:$C,Vitezistii!H$1)=0," ",SUMIFS(Data!$K:$K,Data!$A:$A,Vitezistii!$B10,Data!$C:$C,Vitezistii!H$1))+SUMIFS(Data!$S:$S,Data!$A:$A,Vitezistii!$B10,Data!$C:$C,Vitezistii!H$1),0)</f>
        <v>4.5</v>
      </c>
      <c r="I10" s="31">
        <f>IFERROR(IF(SUMIFS(Data!$K:$K,Data!$A:$A,Vitezistii!$B10,Data!$C:$C,Vitezistii!I$1)=0," ",SUMIFS(Data!$K:$K,Data!$A:$A,Vitezistii!$B10,Data!$C:$C,Vitezistii!I$1))+SUMIFS(Data!$S:$S,Data!$A:$A,Vitezistii!$B10,Data!$C:$C,Vitezistii!I$1),0)</f>
        <v>2.5</v>
      </c>
      <c r="J10" s="31">
        <f>IFERROR(IF(SUMIFS(Data!$K:$K,Data!$A:$A,Vitezistii!$B10,Data!$C:$C,Vitezistii!J$1)=0," ",SUMIFS(Data!$K:$K,Data!$A:$A,Vitezistii!$B10,Data!$C:$C,Vitezistii!J$1))+SUMIFS(Data!$S:$S,Data!$A:$A,Vitezistii!$B10,Data!$C:$C,Vitezistii!J$1),0)</f>
        <v>4.5</v>
      </c>
      <c r="K10" s="31">
        <f>IFERROR(IF(SUMIFS(Data!$K:$K,Data!$A:$A,Vitezistii!$B10,Data!$C:$C,Vitezistii!K$1)=0," ",SUMIFS(Data!$K:$K,Data!$A:$A,Vitezistii!$B10,Data!$C:$C,Vitezistii!K$1))+SUMIFS(Data!$S:$S,Data!$A:$A,Vitezistii!$B10,Data!$C:$C,Vitezistii!K$1),0)</f>
        <v>4</v>
      </c>
      <c r="L10" s="31">
        <f>IFERROR(IF(SUMIFS(Data!$K:$K,Data!$A:$A,Vitezistii!$B10,Data!$C:$C,Vitezistii!L$1)=0," ",SUMIFS(Data!$K:$K,Data!$A:$A,Vitezistii!$B10,Data!$C:$C,Vitezistii!L$1))+SUMIFS(Data!$S:$S,Data!$A:$A,Vitezistii!$B10,Data!$C:$C,Vitezistii!L$1),0)</f>
        <v>1.5</v>
      </c>
      <c r="M10" s="31">
        <f>IFERROR(IF(SUMIFS(Data!$K:$K,Data!$A:$A,Vitezistii!$B10,Data!$C:$C,Vitezistii!M$1)=0," ",SUMIFS(Data!$K:$K,Data!$A:$A,Vitezistii!$B10,Data!$C:$C,Vitezistii!M$1))+SUMIFS(Data!$S:$S,Data!$A:$A,Vitezistii!$B10,Data!$C:$C,Vitezistii!M$1),0)</f>
        <v>3</v>
      </c>
      <c r="N10" s="31">
        <f>IFERROR(IF(SUMIFS(Data!$K:$K,Data!$A:$A,Vitezistii!$B10,Data!$C:$C,Vitezistii!N$1)=0," ",SUMIFS(Data!$K:$K,Data!$A:$A,Vitezistii!$B10,Data!$C:$C,Vitezistii!N$1))+SUMIFS(Data!$S:$S,Data!$A:$A,Vitezistii!$B10,Data!$C:$C,Vitezistii!N$1),0)</f>
        <v>5.15</v>
      </c>
      <c r="O10" s="31">
        <f>IFERROR(IF(SUMIFS(Data!$K:$K,Data!$A:$A,Vitezistii!$B10,Data!$C:$C,Vitezistii!O$1)=0," ",SUMIFS(Data!$K:$K,Data!$A:$A,Vitezistii!$B10,Data!$C:$C,Vitezistii!O$1))+SUMIFS(Data!$S:$S,Data!$A:$A,Vitezistii!$B10,Data!$C:$C,Vitezistii!O$1),0)</f>
        <v>0</v>
      </c>
      <c r="P10" s="31">
        <f>IFERROR(IF(SUMIFS(Data!$K:$K,Data!$A:$A,Vitezistii!$B10,Data!$C:$C,Vitezistii!P$1)=0," ",SUMIFS(Data!$K:$K,Data!$A:$A,Vitezistii!$B10,Data!$C:$C,Vitezistii!P$1))+SUMIFS(Data!$S:$S,Data!$A:$A,Vitezistii!$B10,Data!$C:$C,Vitezistii!P$1),0)</f>
        <v>4</v>
      </c>
      <c r="Q10" s="31">
        <f>IFERROR(IF(SUMIFS(Data!$K:$K,Data!$A:$A,Vitezistii!$B10,Data!$C:$C,Vitezistii!Q$1)=0," ",SUMIFS(Data!$K:$K,Data!$A:$A,Vitezistii!$B10,Data!$C:$C,Vitezistii!Q$1))+SUMIFS(Data!$S:$S,Data!$A:$A,Vitezistii!$B10,Data!$C:$C,Vitezistii!Q$1),0)</f>
        <v>0</v>
      </c>
      <c r="R10" s="31">
        <f>SUM(C10:Q10)</f>
        <v>48.15</v>
      </c>
      <c r="S10" s="31">
        <f>SUMIFS(Data!D:D,Data!A:A,Vitezistii!B70)</f>
        <v>105.65</v>
      </c>
      <c r="T10" s="12">
        <f>SUMIFS(Data!I:I,Data!A:A,Vitezistii!B10)/COUNTIF(Data!A:A,Vitezistii!B10)</f>
        <v>3.1620416260123205E-3</v>
      </c>
    </row>
    <row r="11" spans="1:20" ht="13" x14ac:dyDescent="0.3">
      <c r="A11" s="79">
        <v>10</v>
      </c>
      <c r="B11" s="30" t="s">
        <v>351</v>
      </c>
      <c r="C11" s="31">
        <f>IFERROR(IF(SUMIFS(Data!$K:$K,Data!$A:$A,Vitezistii!$B11,Data!$C:$C,Vitezistii!C$1)=0," ",SUMIFS(Data!$K:$K,Data!$A:$A,Vitezistii!$B11,Data!$C:$C,Vitezistii!C$1))+SUMIFS(Data!$S:$S,Data!$A:$A,Vitezistii!$B11,Data!$C:$C,Vitezistii!C$1),0)</f>
        <v>2</v>
      </c>
      <c r="D11" s="31">
        <f>IFERROR(IF(SUMIFS(Data!$K:$K,Data!$A:$A,Vitezistii!$B11,Data!$C:$C,Vitezistii!D$1)=0," ",SUMIFS(Data!$K:$K,Data!$A:$A,Vitezistii!$B11,Data!$C:$C,Vitezistii!D$1))+SUMIFS(Data!$S:$S,Data!$A:$A,Vitezistii!$B11,Data!$C:$C,Vitezistii!D$1),0)</f>
        <v>0</v>
      </c>
      <c r="E11" s="31">
        <f>IFERROR(IF(SUMIFS(Data!$K:$K,Data!$A:$A,Vitezistii!$B11,Data!$C:$C,Vitezistii!E$1)=0," ",SUMIFS(Data!$K:$K,Data!$A:$A,Vitezistii!$B11,Data!$C:$C,Vitezistii!E$1))+SUMIFS(Data!$S:$S,Data!$A:$A,Vitezistii!$B11,Data!$C:$C,Vitezistii!E$1),0)</f>
        <v>4</v>
      </c>
      <c r="F11" s="31">
        <f>IFERROR(IF(SUMIFS(Data!$K:$K,Data!$A:$A,Vitezistii!$B11,Data!$C:$C,Vitezistii!F$1)=0," ",SUMIFS(Data!$K:$K,Data!$A:$A,Vitezistii!$B11,Data!$C:$C,Vitezistii!F$1))+SUMIFS(Data!$S:$S,Data!$A:$A,Vitezistii!$B11,Data!$C:$C,Vitezistii!F$1),0)</f>
        <v>2.5</v>
      </c>
      <c r="G11" s="31">
        <f>IFERROR(IF(SUMIFS(Data!$K:$K,Data!$A:$A,Vitezistii!$B11,Data!$C:$C,Vitezistii!G$1)=0," ",SUMIFS(Data!$K:$K,Data!$A:$A,Vitezistii!$B11,Data!$C:$C,Vitezistii!G$1))+SUMIFS(Data!$S:$S,Data!$A:$A,Vitezistii!$B11,Data!$C:$C,Vitezistii!G$1),0)</f>
        <v>2</v>
      </c>
      <c r="H11" s="31">
        <f>IFERROR(IF(SUMIFS(Data!$K:$K,Data!$A:$A,Vitezistii!$B11,Data!$C:$C,Vitezistii!H$1)=0," ",SUMIFS(Data!$K:$K,Data!$A:$A,Vitezistii!$B11,Data!$C:$C,Vitezistii!H$1))+SUMIFS(Data!$S:$S,Data!$A:$A,Vitezistii!$B11,Data!$C:$C,Vitezistii!H$1),0)</f>
        <v>4</v>
      </c>
      <c r="I11" s="31">
        <f>IFERROR(IF(SUMIFS(Data!$K:$K,Data!$A:$A,Vitezistii!$B11,Data!$C:$C,Vitezistii!I$1)=0," ",SUMIFS(Data!$K:$K,Data!$A:$A,Vitezistii!$B11,Data!$C:$C,Vitezistii!I$1))+SUMIFS(Data!$S:$S,Data!$A:$A,Vitezistii!$B11,Data!$C:$C,Vitezistii!I$1),0)</f>
        <v>2</v>
      </c>
      <c r="J11" s="31">
        <f>IFERROR(IF(SUMIFS(Data!$K:$K,Data!$A:$A,Vitezistii!$B11,Data!$C:$C,Vitezistii!J$1)=0," ",SUMIFS(Data!$K:$K,Data!$A:$A,Vitezistii!$B11,Data!$C:$C,Vitezistii!J$1))+SUMIFS(Data!$S:$S,Data!$A:$A,Vitezistii!$B11,Data!$C:$C,Vitezistii!J$1),0)</f>
        <v>4</v>
      </c>
      <c r="K11" s="31">
        <f>IFERROR(IF(SUMIFS(Data!$K:$K,Data!$A:$A,Vitezistii!$B11,Data!$C:$C,Vitezistii!K$1)=0," ",SUMIFS(Data!$K:$K,Data!$A:$A,Vitezistii!$B11,Data!$C:$C,Vitezistii!K$1))+SUMIFS(Data!$S:$S,Data!$A:$A,Vitezistii!$B11,Data!$C:$C,Vitezistii!K$1),0)</f>
        <v>3.5</v>
      </c>
      <c r="L11" s="31">
        <f>IFERROR(IF(SUMIFS(Data!$K:$K,Data!$A:$A,Vitezistii!$B11,Data!$C:$C,Vitezistii!L$1)=0," ",SUMIFS(Data!$K:$K,Data!$A:$A,Vitezistii!$B11,Data!$C:$C,Vitezistii!L$1))+SUMIFS(Data!$S:$S,Data!$A:$A,Vitezistii!$B11,Data!$C:$C,Vitezistii!L$1),0)</f>
        <v>2.5</v>
      </c>
      <c r="M11" s="31">
        <f>IFERROR(IF(SUMIFS(Data!$K:$K,Data!$A:$A,Vitezistii!$B11,Data!$C:$C,Vitezistii!M$1)=0," ",SUMIFS(Data!$K:$K,Data!$A:$A,Vitezistii!$B11,Data!$C:$C,Vitezistii!M$1))+SUMIFS(Data!$S:$S,Data!$A:$A,Vitezistii!$B11,Data!$C:$C,Vitezistii!M$1),0)</f>
        <v>4</v>
      </c>
      <c r="N11" s="31">
        <f>IFERROR(IF(SUMIFS(Data!$K:$K,Data!$A:$A,Vitezistii!$B11,Data!$C:$C,Vitezistii!N$1)=0," ",SUMIFS(Data!$K:$K,Data!$A:$A,Vitezistii!$B11,Data!$C:$C,Vitezistii!N$1))+SUMIFS(Data!$S:$S,Data!$A:$A,Vitezistii!$B11,Data!$C:$C,Vitezistii!N$1),0)</f>
        <v>4.5</v>
      </c>
      <c r="O11" s="31">
        <f>IFERROR(IF(SUMIFS(Data!$K:$K,Data!$A:$A,Vitezistii!$B11,Data!$C:$C,Vitezistii!O$1)=0," ",SUMIFS(Data!$K:$K,Data!$A:$A,Vitezistii!$B11,Data!$C:$C,Vitezistii!O$1))+SUMIFS(Data!$S:$S,Data!$A:$A,Vitezistii!$B11,Data!$C:$C,Vitezistii!O$1),0)</f>
        <v>5</v>
      </c>
      <c r="P11" s="31">
        <f>IFERROR(IF(SUMIFS(Data!$K:$K,Data!$A:$A,Vitezistii!$B11,Data!$C:$C,Vitezistii!P$1)=0," ",SUMIFS(Data!$K:$K,Data!$A:$A,Vitezistii!$B11,Data!$C:$C,Vitezistii!P$1))+SUMIFS(Data!$S:$S,Data!$A:$A,Vitezistii!$B11,Data!$C:$C,Vitezistii!P$1),0)</f>
        <v>1.75</v>
      </c>
      <c r="Q11" s="31">
        <f>IFERROR(IF(SUMIFS(Data!$K:$K,Data!$A:$A,Vitezistii!$B11,Data!$C:$C,Vitezistii!Q$1)=0," ",SUMIFS(Data!$K:$K,Data!$A:$A,Vitezistii!$B11,Data!$C:$C,Vitezistii!Q$1))+SUMIFS(Data!$S:$S,Data!$A:$A,Vitezistii!$B11,Data!$C:$C,Vitezistii!Q$1),0)</f>
        <v>4.5</v>
      </c>
      <c r="R11" s="31">
        <f>SUM(C11:Q11)</f>
        <v>46.25</v>
      </c>
      <c r="S11" s="31">
        <f>SUMIFS(Data!D:D,Data!A:A,Vitezistii!B71)</f>
        <v>98.67</v>
      </c>
      <c r="T11" s="12">
        <f>SUMIFS(Data!I:I,Data!A:A,Vitezistii!B11)/COUNTIF(Data!A:A,Vitezistii!B11)</f>
        <v>3.6723870686217403E-3</v>
      </c>
    </row>
    <row r="12" spans="1:20" ht="13" x14ac:dyDescent="0.3">
      <c r="A12" s="79">
        <v>11</v>
      </c>
      <c r="B12" s="30" t="s">
        <v>374</v>
      </c>
      <c r="C12" s="31">
        <f>IFERROR(IF(SUMIFS(Data!$K:$K,Data!$A:$A,Vitezistii!$B12,Data!$C:$C,Vitezistii!C$1)=0," ",SUMIFS(Data!$K:$K,Data!$A:$A,Vitezistii!$B12,Data!$C:$C,Vitezistii!C$1))+SUMIFS(Data!$S:$S,Data!$A:$A,Vitezistii!$B12,Data!$C:$C,Vitezistii!C$1),0)</f>
        <v>2</v>
      </c>
      <c r="D12" s="31">
        <f>IFERROR(IF(SUMIFS(Data!$K:$K,Data!$A:$A,Vitezistii!$B12,Data!$C:$C,Vitezistii!D$1)=0," ",SUMIFS(Data!$K:$K,Data!$A:$A,Vitezistii!$B12,Data!$C:$C,Vitezistii!D$1))+SUMIFS(Data!$S:$S,Data!$A:$A,Vitezistii!$B12,Data!$C:$C,Vitezistii!D$1),0)</f>
        <v>6.5</v>
      </c>
      <c r="E12" s="31">
        <f>IFERROR(IF(SUMIFS(Data!$K:$K,Data!$A:$A,Vitezistii!$B12,Data!$C:$C,Vitezistii!E$1)=0," ",SUMIFS(Data!$K:$K,Data!$A:$A,Vitezistii!$B12,Data!$C:$C,Vitezistii!E$1))+SUMIFS(Data!$S:$S,Data!$A:$A,Vitezistii!$B12,Data!$C:$C,Vitezistii!E$1),0)</f>
        <v>1</v>
      </c>
      <c r="F12" s="31">
        <f>IFERROR(IF(SUMIFS(Data!$K:$K,Data!$A:$A,Vitezistii!$B12,Data!$C:$C,Vitezistii!F$1)=0," ",SUMIFS(Data!$K:$K,Data!$A:$A,Vitezistii!$B12,Data!$C:$C,Vitezistii!F$1))+SUMIFS(Data!$S:$S,Data!$A:$A,Vitezistii!$B12,Data!$C:$C,Vitezistii!F$1),0)</f>
        <v>1.75</v>
      </c>
      <c r="G12" s="31">
        <f>IFERROR(IF(SUMIFS(Data!$K:$K,Data!$A:$A,Vitezistii!$B12,Data!$C:$C,Vitezistii!G$1)=0," ",SUMIFS(Data!$K:$K,Data!$A:$A,Vitezistii!$B12,Data!$C:$C,Vitezistii!G$1))+SUMIFS(Data!$S:$S,Data!$A:$A,Vitezistii!$B12,Data!$C:$C,Vitezistii!G$1),0)</f>
        <v>4</v>
      </c>
      <c r="H12" s="31">
        <f>IFERROR(IF(SUMIFS(Data!$K:$K,Data!$A:$A,Vitezistii!$B12,Data!$C:$C,Vitezistii!H$1)=0," ",SUMIFS(Data!$K:$K,Data!$A:$A,Vitezistii!$B12,Data!$C:$C,Vitezistii!H$1))+SUMIFS(Data!$S:$S,Data!$A:$A,Vitezistii!$B12,Data!$C:$C,Vitezistii!H$1),0)</f>
        <v>4</v>
      </c>
      <c r="I12" s="31">
        <f>IFERROR(IF(SUMIFS(Data!$K:$K,Data!$A:$A,Vitezistii!$B12,Data!$C:$C,Vitezistii!I$1)=0," ",SUMIFS(Data!$K:$K,Data!$A:$A,Vitezistii!$B12,Data!$C:$C,Vitezistii!I$1))+SUMIFS(Data!$S:$S,Data!$A:$A,Vitezistii!$B12,Data!$C:$C,Vitezistii!I$1),0)</f>
        <v>6.5</v>
      </c>
      <c r="J12" s="31">
        <f>IFERROR(IF(SUMIFS(Data!$K:$K,Data!$A:$A,Vitezistii!$B12,Data!$C:$C,Vitezistii!J$1)=0," ",SUMIFS(Data!$K:$K,Data!$A:$A,Vitezistii!$B12,Data!$C:$C,Vitezistii!J$1))+SUMIFS(Data!$S:$S,Data!$A:$A,Vitezistii!$B12,Data!$C:$C,Vitezistii!J$1),0)</f>
        <v>4.5</v>
      </c>
      <c r="K12" s="31">
        <f>IFERROR(IF(SUMIFS(Data!$K:$K,Data!$A:$A,Vitezistii!$B12,Data!$C:$C,Vitezistii!K$1)=0," ",SUMIFS(Data!$K:$K,Data!$A:$A,Vitezistii!$B12,Data!$C:$C,Vitezistii!K$1))+SUMIFS(Data!$S:$S,Data!$A:$A,Vitezistii!$B12,Data!$C:$C,Vitezistii!K$1),0)</f>
        <v>3.5</v>
      </c>
      <c r="L12" s="31">
        <f>IFERROR(IF(SUMIFS(Data!$K:$K,Data!$A:$A,Vitezistii!$B12,Data!$C:$C,Vitezistii!L$1)=0," ",SUMIFS(Data!$K:$K,Data!$A:$A,Vitezistii!$B12,Data!$C:$C,Vitezistii!L$1))+SUMIFS(Data!$S:$S,Data!$A:$A,Vitezistii!$B12,Data!$C:$C,Vitezistii!L$1),0)</f>
        <v>0</v>
      </c>
      <c r="M12" s="31">
        <f>IFERROR(IF(SUMIFS(Data!$K:$K,Data!$A:$A,Vitezistii!$B12,Data!$C:$C,Vitezistii!M$1)=0," ",SUMIFS(Data!$K:$K,Data!$A:$A,Vitezistii!$B12,Data!$C:$C,Vitezistii!M$1))+SUMIFS(Data!$S:$S,Data!$A:$A,Vitezistii!$B12,Data!$C:$C,Vitezistii!M$1),0)</f>
        <v>11.75</v>
      </c>
      <c r="N12" s="31">
        <f>IFERROR(IF(SUMIFS(Data!$K:$K,Data!$A:$A,Vitezistii!$B12,Data!$C:$C,Vitezistii!N$1)=0," ",SUMIFS(Data!$K:$K,Data!$A:$A,Vitezistii!$B12,Data!$C:$C,Vitezistii!N$1))+SUMIFS(Data!$S:$S,Data!$A:$A,Vitezistii!$B12,Data!$C:$C,Vitezistii!N$1),0)</f>
        <v>0</v>
      </c>
      <c r="O12" s="31">
        <f>IFERROR(IF(SUMIFS(Data!$K:$K,Data!$A:$A,Vitezistii!$B12,Data!$C:$C,Vitezistii!O$1)=0," ",SUMIFS(Data!$K:$K,Data!$A:$A,Vitezistii!$B12,Data!$C:$C,Vitezistii!O$1))+SUMIFS(Data!$S:$S,Data!$A:$A,Vitezistii!$B12,Data!$C:$C,Vitezistii!O$1),0)</f>
        <v>0</v>
      </c>
      <c r="P12" s="31">
        <f>IFERROR(IF(SUMIFS(Data!$K:$K,Data!$A:$A,Vitezistii!$B12,Data!$C:$C,Vitezistii!P$1)=0," ",SUMIFS(Data!$K:$K,Data!$A:$A,Vitezistii!$B12,Data!$C:$C,Vitezistii!P$1))+SUMIFS(Data!$S:$S,Data!$A:$A,Vitezistii!$B12,Data!$C:$C,Vitezistii!P$1),0)</f>
        <v>0</v>
      </c>
      <c r="Q12" s="31">
        <f>IFERROR(IF(SUMIFS(Data!$K:$K,Data!$A:$A,Vitezistii!$B12,Data!$C:$C,Vitezistii!Q$1)=0," ",SUMIFS(Data!$K:$K,Data!$A:$A,Vitezistii!$B12,Data!$C:$C,Vitezistii!Q$1))+SUMIFS(Data!$S:$S,Data!$A:$A,Vitezistii!$B12,Data!$C:$C,Vitezistii!Q$1),0)</f>
        <v>0</v>
      </c>
      <c r="R12" s="31">
        <f>SUM(C12:Q12)</f>
        <v>45.5</v>
      </c>
      <c r="S12" s="31">
        <f>SUMIFS(Data!D:D,Data!A:A,Vitezistii!B72)</f>
        <v>83.259999999999991</v>
      </c>
      <c r="T12" s="12">
        <f>SUMIFS(Data!I:I,Data!A:A,Vitezistii!B12)/COUNTIF(Data!A:A,Vitezistii!B12)</f>
        <v>3.1964836579406776E-3</v>
      </c>
    </row>
    <row r="13" spans="1:20" ht="13" x14ac:dyDescent="0.3">
      <c r="A13" s="79">
        <v>12</v>
      </c>
      <c r="B13" s="30" t="s">
        <v>378</v>
      </c>
      <c r="C13" s="31">
        <f>IFERROR(IF(SUMIFS(Data!$K:$K,Data!$A:$A,Vitezistii!$B13,Data!$C:$C,Vitezistii!C$1)=0," ",SUMIFS(Data!$K:$K,Data!$A:$A,Vitezistii!$B13,Data!$C:$C,Vitezistii!C$1))+SUMIFS(Data!$S:$S,Data!$A:$A,Vitezistii!$B13,Data!$C:$C,Vitezistii!C$1),0)</f>
        <v>2</v>
      </c>
      <c r="D13" s="31">
        <f>IFERROR(IF(SUMIFS(Data!$K:$K,Data!$A:$A,Vitezistii!$B13,Data!$C:$C,Vitezistii!D$1)=0," ",SUMIFS(Data!$K:$K,Data!$A:$A,Vitezistii!$B13,Data!$C:$C,Vitezistii!D$1))+SUMIFS(Data!$S:$S,Data!$A:$A,Vitezistii!$B13,Data!$C:$C,Vitezistii!D$1),0)</f>
        <v>3</v>
      </c>
      <c r="E13" s="31">
        <f>IFERROR(IF(SUMIFS(Data!$K:$K,Data!$A:$A,Vitezistii!$B13,Data!$C:$C,Vitezistii!E$1)=0," ",SUMIFS(Data!$K:$K,Data!$A:$A,Vitezistii!$B13,Data!$C:$C,Vitezistii!E$1))+SUMIFS(Data!$S:$S,Data!$A:$A,Vitezistii!$B13,Data!$C:$C,Vitezistii!E$1),0)</f>
        <v>0</v>
      </c>
      <c r="F13" s="31">
        <f>IFERROR(IF(SUMIFS(Data!$K:$K,Data!$A:$A,Vitezistii!$B13,Data!$C:$C,Vitezistii!F$1)=0," ",SUMIFS(Data!$K:$K,Data!$A:$A,Vitezistii!$B13,Data!$C:$C,Vitezistii!F$1))+SUMIFS(Data!$S:$S,Data!$A:$A,Vitezistii!$B13,Data!$C:$C,Vitezistii!F$1),0)</f>
        <v>0</v>
      </c>
      <c r="G13" s="31">
        <f>IFERROR(IF(SUMIFS(Data!$K:$K,Data!$A:$A,Vitezistii!$B13,Data!$C:$C,Vitezistii!G$1)=0," ",SUMIFS(Data!$K:$K,Data!$A:$A,Vitezistii!$B13,Data!$C:$C,Vitezistii!G$1))+SUMIFS(Data!$S:$S,Data!$A:$A,Vitezistii!$B13,Data!$C:$C,Vitezistii!G$1),0)</f>
        <v>3</v>
      </c>
      <c r="H13" s="31">
        <f>IFERROR(IF(SUMIFS(Data!$K:$K,Data!$A:$A,Vitezistii!$B13,Data!$C:$C,Vitezistii!H$1)=0," ",SUMIFS(Data!$K:$K,Data!$A:$A,Vitezistii!$B13,Data!$C:$C,Vitezistii!H$1))+SUMIFS(Data!$S:$S,Data!$A:$A,Vitezistii!$B13,Data!$C:$C,Vitezistii!H$1),0)</f>
        <v>2.5</v>
      </c>
      <c r="I13" s="31">
        <f>IFERROR(IF(SUMIFS(Data!$K:$K,Data!$A:$A,Vitezistii!$B13,Data!$C:$C,Vitezistii!I$1)=0," ",SUMIFS(Data!$K:$K,Data!$A:$A,Vitezistii!$B13,Data!$C:$C,Vitezistii!I$1))+SUMIFS(Data!$S:$S,Data!$A:$A,Vitezistii!$B13,Data!$C:$C,Vitezistii!I$1),0)</f>
        <v>3</v>
      </c>
      <c r="J13" s="31">
        <f>IFERROR(IF(SUMIFS(Data!$K:$K,Data!$A:$A,Vitezistii!$B13,Data!$C:$C,Vitezistii!J$1)=0," ",SUMIFS(Data!$K:$K,Data!$A:$A,Vitezistii!$B13,Data!$C:$C,Vitezistii!J$1))+SUMIFS(Data!$S:$S,Data!$A:$A,Vitezistii!$B13,Data!$C:$C,Vitezistii!J$1),0)</f>
        <v>3</v>
      </c>
      <c r="K13" s="31">
        <f>IFERROR(IF(SUMIFS(Data!$K:$K,Data!$A:$A,Vitezistii!$B13,Data!$C:$C,Vitezistii!K$1)=0," ",SUMIFS(Data!$K:$K,Data!$A:$A,Vitezistii!$B13,Data!$C:$C,Vitezistii!K$1))+SUMIFS(Data!$S:$S,Data!$A:$A,Vitezistii!$B13,Data!$C:$C,Vitezistii!K$1),0)</f>
        <v>3.5</v>
      </c>
      <c r="L13" s="31">
        <f>IFERROR(IF(SUMIFS(Data!$K:$K,Data!$A:$A,Vitezistii!$B13,Data!$C:$C,Vitezistii!L$1)=0," ",SUMIFS(Data!$K:$K,Data!$A:$A,Vitezistii!$B13,Data!$C:$C,Vitezistii!L$1))+SUMIFS(Data!$S:$S,Data!$A:$A,Vitezistii!$B13,Data!$C:$C,Vitezistii!L$1),0)</f>
        <v>4.5</v>
      </c>
      <c r="M13" s="31">
        <f>IFERROR(IF(SUMIFS(Data!$K:$K,Data!$A:$A,Vitezistii!$B13,Data!$C:$C,Vitezistii!M$1)=0," ",SUMIFS(Data!$K:$K,Data!$A:$A,Vitezistii!$B13,Data!$C:$C,Vitezistii!M$1))+SUMIFS(Data!$S:$S,Data!$A:$A,Vitezistii!$B13,Data!$C:$C,Vitezistii!M$1),0)</f>
        <v>5.9</v>
      </c>
      <c r="N13" s="31">
        <f>IFERROR(IF(SUMIFS(Data!$K:$K,Data!$A:$A,Vitezistii!$B13,Data!$C:$C,Vitezistii!N$1)=0," ",SUMIFS(Data!$K:$K,Data!$A:$A,Vitezistii!$B13,Data!$C:$C,Vitezistii!N$1))+SUMIFS(Data!$S:$S,Data!$A:$A,Vitezistii!$B13,Data!$C:$C,Vitezistii!N$1),0)</f>
        <v>3</v>
      </c>
      <c r="O13" s="31">
        <f>IFERROR(IF(SUMIFS(Data!$K:$K,Data!$A:$A,Vitezistii!$B13,Data!$C:$C,Vitezistii!O$1)=0," ",SUMIFS(Data!$K:$K,Data!$A:$A,Vitezistii!$B13,Data!$C:$C,Vitezistii!O$1))+SUMIFS(Data!$S:$S,Data!$A:$A,Vitezistii!$B13,Data!$C:$C,Vitezistii!O$1),0)</f>
        <v>2.5</v>
      </c>
      <c r="P13" s="31">
        <f>IFERROR(IF(SUMIFS(Data!$K:$K,Data!$A:$A,Vitezistii!$B13,Data!$C:$C,Vitezistii!P$1)=0," ",SUMIFS(Data!$K:$K,Data!$A:$A,Vitezistii!$B13,Data!$C:$C,Vitezistii!P$1))+SUMIFS(Data!$S:$S,Data!$A:$A,Vitezistii!$B13,Data!$C:$C,Vitezistii!P$1),0)</f>
        <v>4</v>
      </c>
      <c r="Q13" s="31">
        <f>IFERROR(IF(SUMIFS(Data!$K:$K,Data!$A:$A,Vitezistii!$B13,Data!$C:$C,Vitezistii!Q$1)=0," ",SUMIFS(Data!$K:$K,Data!$A:$A,Vitezistii!$B13,Data!$C:$C,Vitezistii!Q$1))+SUMIFS(Data!$S:$S,Data!$A:$A,Vitezistii!$B13,Data!$C:$C,Vitezistii!Q$1),0)</f>
        <v>4</v>
      </c>
      <c r="R13" s="31">
        <f>SUM(C13:Q13)</f>
        <v>43.9</v>
      </c>
      <c r="S13" s="31">
        <f>SUMIFS(Data!D:D,Data!A:A,Vitezistii!B73)</f>
        <v>56.35</v>
      </c>
      <c r="T13" s="12">
        <f>SUMIFS(Data!I:I,Data!A:A,Vitezistii!B13)/COUNTIF(Data!A:A,Vitezistii!B13)</f>
        <v>3.3969894227804526E-3</v>
      </c>
    </row>
    <row r="14" spans="1:20" ht="13" x14ac:dyDescent="0.3">
      <c r="A14" s="79">
        <v>13</v>
      </c>
      <c r="B14" s="30" t="s">
        <v>341</v>
      </c>
      <c r="C14" s="31">
        <f>IFERROR(IF(SUMIFS(Data!$K:$K,Data!$A:$A,Vitezistii!$B14,Data!$C:$C,Vitezistii!C$1)=0," ",SUMIFS(Data!$K:$K,Data!$A:$A,Vitezistii!$B14,Data!$C:$C,Vitezistii!C$1))+SUMIFS(Data!$S:$S,Data!$A:$A,Vitezistii!$B14,Data!$C:$C,Vitezistii!C$1),0)</f>
        <v>7.25</v>
      </c>
      <c r="D14" s="31">
        <f>IFERROR(IF(SUMIFS(Data!$K:$K,Data!$A:$A,Vitezistii!$B14,Data!$C:$C,Vitezistii!D$1)=0," ",SUMIFS(Data!$K:$K,Data!$A:$A,Vitezistii!$B14,Data!$C:$C,Vitezistii!D$1))+SUMIFS(Data!$S:$S,Data!$A:$A,Vitezistii!$B14,Data!$C:$C,Vitezistii!D$1),0)</f>
        <v>0</v>
      </c>
      <c r="E14" s="31">
        <f>IFERROR(IF(SUMIFS(Data!$K:$K,Data!$A:$A,Vitezistii!$B14,Data!$C:$C,Vitezistii!E$1)=0," ",SUMIFS(Data!$K:$K,Data!$A:$A,Vitezistii!$B14,Data!$C:$C,Vitezistii!E$1))+SUMIFS(Data!$S:$S,Data!$A:$A,Vitezistii!$B14,Data!$C:$C,Vitezistii!E$1),0)</f>
        <v>1</v>
      </c>
      <c r="F14" s="31">
        <f>IFERROR(IF(SUMIFS(Data!$K:$K,Data!$A:$A,Vitezistii!$B14,Data!$C:$C,Vitezistii!F$1)=0," ",SUMIFS(Data!$K:$K,Data!$A:$A,Vitezistii!$B14,Data!$C:$C,Vitezistii!F$1))+SUMIFS(Data!$S:$S,Data!$A:$A,Vitezistii!$B14,Data!$C:$C,Vitezistii!F$1),0)</f>
        <v>0.25</v>
      </c>
      <c r="G14" s="31">
        <f>IFERROR(IF(SUMIFS(Data!$K:$K,Data!$A:$A,Vitezistii!$B14,Data!$C:$C,Vitezistii!G$1)=0," ",SUMIFS(Data!$K:$K,Data!$A:$A,Vitezistii!$B14,Data!$C:$C,Vitezistii!G$1))+SUMIFS(Data!$S:$S,Data!$A:$A,Vitezistii!$B14,Data!$C:$C,Vitezistii!G$1),0)</f>
        <v>1.75</v>
      </c>
      <c r="H14" s="31">
        <f>IFERROR(IF(SUMIFS(Data!$K:$K,Data!$A:$A,Vitezistii!$B14,Data!$C:$C,Vitezistii!H$1)=0," ",SUMIFS(Data!$K:$K,Data!$A:$A,Vitezistii!$B14,Data!$C:$C,Vitezistii!H$1))+SUMIFS(Data!$S:$S,Data!$A:$A,Vitezistii!$B14,Data!$C:$C,Vitezistii!H$1),0)</f>
        <v>1.5</v>
      </c>
      <c r="I14" s="31">
        <f>IFERROR(IF(SUMIFS(Data!$K:$K,Data!$A:$A,Vitezistii!$B14,Data!$C:$C,Vitezistii!I$1)=0," ",SUMIFS(Data!$K:$K,Data!$A:$A,Vitezistii!$B14,Data!$C:$C,Vitezistii!I$1))+SUMIFS(Data!$S:$S,Data!$A:$A,Vitezistii!$B14,Data!$C:$C,Vitezistii!I$1),0)</f>
        <v>8.15</v>
      </c>
      <c r="J14" s="31">
        <f>IFERROR(IF(SUMIFS(Data!$K:$K,Data!$A:$A,Vitezistii!$B14,Data!$C:$C,Vitezistii!J$1)=0," ",SUMIFS(Data!$K:$K,Data!$A:$A,Vitezistii!$B14,Data!$C:$C,Vitezistii!J$1))+SUMIFS(Data!$S:$S,Data!$A:$A,Vitezistii!$B14,Data!$C:$C,Vitezistii!J$1),0)</f>
        <v>0</v>
      </c>
      <c r="K14" s="31">
        <f>IFERROR(IF(SUMIFS(Data!$K:$K,Data!$A:$A,Vitezistii!$B14,Data!$C:$C,Vitezistii!K$1)=0," ",SUMIFS(Data!$K:$K,Data!$A:$A,Vitezistii!$B14,Data!$C:$C,Vitezistii!K$1))+SUMIFS(Data!$S:$S,Data!$A:$A,Vitezistii!$B14,Data!$C:$C,Vitezistii!K$1),0)</f>
        <v>1.75</v>
      </c>
      <c r="L14" s="31">
        <f>IFERROR(IF(SUMIFS(Data!$K:$K,Data!$A:$A,Vitezistii!$B14,Data!$C:$C,Vitezistii!L$1)=0," ",SUMIFS(Data!$K:$K,Data!$A:$A,Vitezistii!$B14,Data!$C:$C,Vitezistii!L$1))+SUMIFS(Data!$S:$S,Data!$A:$A,Vitezistii!$B14,Data!$C:$C,Vitezistii!L$1),0)</f>
        <v>1.5</v>
      </c>
      <c r="M14" s="31">
        <f>IFERROR(IF(SUMIFS(Data!$K:$K,Data!$A:$A,Vitezistii!$B14,Data!$C:$C,Vitezistii!M$1)=0," ",SUMIFS(Data!$K:$K,Data!$A:$A,Vitezistii!$B14,Data!$C:$C,Vitezistii!M$1))+SUMIFS(Data!$S:$S,Data!$A:$A,Vitezistii!$B14,Data!$C:$C,Vitezistii!M$1),0)</f>
        <v>5.9</v>
      </c>
      <c r="N14" s="31">
        <f>IFERROR(IF(SUMIFS(Data!$K:$K,Data!$A:$A,Vitezistii!$B14,Data!$C:$C,Vitezistii!N$1)=0," ",SUMIFS(Data!$K:$K,Data!$A:$A,Vitezistii!$B14,Data!$C:$C,Vitezistii!N$1))+SUMIFS(Data!$S:$S,Data!$A:$A,Vitezistii!$B14,Data!$C:$C,Vitezistii!N$1),0)</f>
        <v>4</v>
      </c>
      <c r="O14" s="31">
        <f>IFERROR(IF(SUMIFS(Data!$K:$K,Data!$A:$A,Vitezistii!$B14,Data!$C:$C,Vitezistii!O$1)=0," ",SUMIFS(Data!$K:$K,Data!$A:$A,Vitezistii!$B14,Data!$C:$C,Vitezistii!O$1))+SUMIFS(Data!$S:$S,Data!$A:$A,Vitezistii!$B14,Data!$C:$C,Vitezistii!O$1),0)</f>
        <v>3.5</v>
      </c>
      <c r="P14" s="31">
        <f>IFERROR(IF(SUMIFS(Data!$K:$K,Data!$A:$A,Vitezistii!$B14,Data!$C:$C,Vitezistii!P$1)=0," ",SUMIFS(Data!$K:$K,Data!$A:$A,Vitezistii!$B14,Data!$C:$C,Vitezistii!P$1))+SUMIFS(Data!$S:$S,Data!$A:$A,Vitezistii!$B14,Data!$C:$C,Vitezistii!P$1),0)</f>
        <v>0</v>
      </c>
      <c r="Q14" s="31">
        <f>IFERROR(IF(SUMIFS(Data!$K:$K,Data!$A:$A,Vitezistii!$B14,Data!$C:$C,Vitezistii!Q$1)=0," ",SUMIFS(Data!$K:$K,Data!$A:$A,Vitezistii!$B14,Data!$C:$C,Vitezistii!Q$1))+SUMIFS(Data!$S:$S,Data!$A:$A,Vitezistii!$B14,Data!$C:$C,Vitezistii!Q$1),0)</f>
        <v>7.25</v>
      </c>
      <c r="R14" s="31">
        <f>SUM(C14:Q14)</f>
        <v>43.8</v>
      </c>
      <c r="S14" s="31">
        <f>SUMIFS(Data!D:D,Data!A:A,Vitezistii!B74)</f>
        <v>172.75</v>
      </c>
      <c r="T14" s="12">
        <f>SUMIFS(Data!I:I,Data!A:A,Vitezistii!B14)/COUNTIF(Data!A:A,Vitezistii!B14)</f>
        <v>3.9938301011796873E-3</v>
      </c>
    </row>
    <row r="15" spans="1:20" ht="13" x14ac:dyDescent="0.3">
      <c r="A15" s="79">
        <v>14</v>
      </c>
      <c r="B15" s="30" t="s">
        <v>347</v>
      </c>
      <c r="C15" s="31">
        <f>IFERROR(IF(SUMIFS(Data!$K:$K,Data!$A:$A,Vitezistii!$B15,Data!$C:$C,Vitezistii!C$1)=0," ",SUMIFS(Data!$K:$K,Data!$A:$A,Vitezistii!$B15,Data!$C:$C,Vitezistii!C$1))+SUMIFS(Data!$S:$S,Data!$A:$A,Vitezistii!$B15,Data!$C:$C,Vitezistii!C$1),0)</f>
        <v>3.5</v>
      </c>
      <c r="D15" s="31">
        <f>IFERROR(IF(SUMIFS(Data!$K:$K,Data!$A:$A,Vitezistii!$B15,Data!$C:$C,Vitezistii!D$1)=0," ",SUMIFS(Data!$K:$K,Data!$A:$A,Vitezistii!$B15,Data!$C:$C,Vitezistii!D$1))+SUMIFS(Data!$S:$S,Data!$A:$A,Vitezistii!$B15,Data!$C:$C,Vitezistii!D$1),0)</f>
        <v>2.5</v>
      </c>
      <c r="E15" s="31">
        <f>IFERROR(IF(SUMIFS(Data!$K:$K,Data!$A:$A,Vitezistii!$B15,Data!$C:$C,Vitezistii!E$1)=0," ",SUMIFS(Data!$K:$K,Data!$A:$A,Vitezistii!$B15,Data!$C:$C,Vitezistii!E$1))+SUMIFS(Data!$S:$S,Data!$A:$A,Vitezistii!$B15,Data!$C:$C,Vitezistii!E$1),0)</f>
        <v>2</v>
      </c>
      <c r="F15" s="31">
        <f>IFERROR(IF(SUMIFS(Data!$K:$K,Data!$A:$A,Vitezistii!$B15,Data!$C:$C,Vitezistii!F$1)=0," ",SUMIFS(Data!$K:$K,Data!$A:$A,Vitezistii!$B15,Data!$C:$C,Vitezistii!F$1))+SUMIFS(Data!$S:$S,Data!$A:$A,Vitezistii!$B15,Data!$C:$C,Vitezistii!F$1),0)</f>
        <v>1.5</v>
      </c>
      <c r="G15" s="31">
        <f>IFERROR(IF(SUMIFS(Data!$K:$K,Data!$A:$A,Vitezistii!$B15,Data!$C:$C,Vitezistii!G$1)=0," ",SUMIFS(Data!$K:$K,Data!$A:$A,Vitezistii!$B15,Data!$C:$C,Vitezistii!G$1))+SUMIFS(Data!$S:$S,Data!$A:$A,Vitezistii!$B15,Data!$C:$C,Vitezistii!G$1),0)</f>
        <v>4</v>
      </c>
      <c r="H15" s="31">
        <f>IFERROR(IF(SUMIFS(Data!$K:$K,Data!$A:$A,Vitezistii!$B15,Data!$C:$C,Vitezistii!H$1)=0," ",SUMIFS(Data!$K:$K,Data!$A:$A,Vitezistii!$B15,Data!$C:$C,Vitezistii!H$1))+SUMIFS(Data!$S:$S,Data!$A:$A,Vitezistii!$B15,Data!$C:$C,Vitezistii!H$1),0)</f>
        <v>2.5</v>
      </c>
      <c r="I15" s="31">
        <f>IFERROR(IF(SUMIFS(Data!$K:$K,Data!$A:$A,Vitezistii!$B15,Data!$C:$C,Vitezistii!I$1)=0," ",SUMIFS(Data!$K:$K,Data!$A:$A,Vitezistii!$B15,Data!$C:$C,Vitezistii!I$1))+SUMIFS(Data!$S:$S,Data!$A:$A,Vitezistii!$B15,Data!$C:$C,Vitezistii!I$1),0)</f>
        <v>1.75</v>
      </c>
      <c r="J15" s="31">
        <f>IFERROR(IF(SUMIFS(Data!$K:$K,Data!$A:$A,Vitezistii!$B15,Data!$C:$C,Vitezistii!J$1)=0," ",SUMIFS(Data!$K:$K,Data!$A:$A,Vitezistii!$B15,Data!$C:$C,Vitezistii!J$1))+SUMIFS(Data!$S:$S,Data!$A:$A,Vitezistii!$B15,Data!$C:$C,Vitezistii!J$1),0)</f>
        <v>3.5</v>
      </c>
      <c r="K15" s="31">
        <f>IFERROR(IF(SUMIFS(Data!$K:$K,Data!$A:$A,Vitezistii!$B15,Data!$C:$C,Vitezistii!K$1)=0," ",SUMIFS(Data!$K:$K,Data!$A:$A,Vitezistii!$B15,Data!$C:$C,Vitezistii!K$1))+SUMIFS(Data!$S:$S,Data!$A:$A,Vitezistii!$B15,Data!$C:$C,Vitezistii!K$1),0)</f>
        <v>1.75</v>
      </c>
      <c r="L15" s="31">
        <f>IFERROR(IF(SUMIFS(Data!$K:$K,Data!$A:$A,Vitezistii!$B15,Data!$C:$C,Vitezistii!L$1)=0," ",SUMIFS(Data!$K:$K,Data!$A:$A,Vitezistii!$B15,Data!$C:$C,Vitezistii!L$1))+SUMIFS(Data!$S:$S,Data!$A:$A,Vitezistii!$B15,Data!$C:$C,Vitezistii!L$1),0)</f>
        <v>4.5</v>
      </c>
      <c r="M15" s="31">
        <f>IFERROR(IF(SUMIFS(Data!$K:$K,Data!$A:$A,Vitezistii!$B15,Data!$C:$C,Vitezistii!M$1)=0," ",SUMIFS(Data!$K:$K,Data!$A:$A,Vitezistii!$B15,Data!$C:$C,Vitezistii!M$1))+SUMIFS(Data!$S:$S,Data!$A:$A,Vitezistii!$B15,Data!$C:$C,Vitezistii!M$1),0)</f>
        <v>3</v>
      </c>
      <c r="N15" s="31">
        <f>IFERROR(IF(SUMIFS(Data!$K:$K,Data!$A:$A,Vitezistii!$B15,Data!$C:$C,Vitezistii!N$1)=0," ",SUMIFS(Data!$K:$K,Data!$A:$A,Vitezistii!$B15,Data!$C:$C,Vitezistii!N$1))+SUMIFS(Data!$S:$S,Data!$A:$A,Vitezistii!$B15,Data!$C:$C,Vitezistii!N$1),0)</f>
        <v>3</v>
      </c>
      <c r="O15" s="31">
        <f>IFERROR(IF(SUMIFS(Data!$K:$K,Data!$A:$A,Vitezistii!$B15,Data!$C:$C,Vitezistii!O$1)=0," ",SUMIFS(Data!$K:$K,Data!$A:$A,Vitezistii!$B15,Data!$C:$C,Vitezistii!O$1))+SUMIFS(Data!$S:$S,Data!$A:$A,Vitezistii!$B15,Data!$C:$C,Vitezistii!O$1),0)</f>
        <v>3</v>
      </c>
      <c r="P15" s="31">
        <f>IFERROR(IF(SUMIFS(Data!$K:$K,Data!$A:$A,Vitezistii!$B15,Data!$C:$C,Vitezistii!P$1)=0," ",SUMIFS(Data!$K:$K,Data!$A:$A,Vitezistii!$B15,Data!$C:$C,Vitezistii!P$1))+SUMIFS(Data!$S:$S,Data!$A:$A,Vitezistii!$B15,Data!$C:$C,Vitezistii!P$1),0)</f>
        <v>4.5</v>
      </c>
      <c r="Q15" s="31">
        <f>IFERROR(IF(SUMIFS(Data!$K:$K,Data!$A:$A,Vitezistii!$B15,Data!$C:$C,Vitezistii!Q$1)=0," ",SUMIFS(Data!$K:$K,Data!$A:$A,Vitezistii!$B15,Data!$C:$C,Vitezistii!Q$1))+SUMIFS(Data!$S:$S,Data!$A:$A,Vitezistii!$B15,Data!$C:$C,Vitezistii!Q$1),0)</f>
        <v>2.5</v>
      </c>
      <c r="R15" s="31">
        <f>SUM(C15:Q15)</f>
        <v>43.5</v>
      </c>
      <c r="S15" s="31">
        <f>SUMIFS(Data!D:D,Data!A:A,Vitezistii!B75)</f>
        <v>103.79</v>
      </c>
      <c r="T15" s="12">
        <f>SUMIFS(Data!I:I,Data!A:A,Vitezistii!B15)/COUNTIF(Data!A:A,Vitezistii!B15)</f>
        <v>3.796382938115963E-3</v>
      </c>
    </row>
    <row r="16" spans="1:20" ht="13" x14ac:dyDescent="0.3">
      <c r="A16" s="79">
        <v>15</v>
      </c>
      <c r="B16" s="30" t="s">
        <v>248</v>
      </c>
      <c r="C16" s="31">
        <f>IFERROR(IF(SUMIFS(Data!$K:$K,Data!$A:$A,Vitezistii!$B16,Data!$C:$C,Vitezistii!C$1)=0," ",SUMIFS(Data!$K:$K,Data!$A:$A,Vitezistii!$B16,Data!$C:$C,Vitezistii!C$1))+SUMIFS(Data!$S:$S,Data!$A:$A,Vitezistii!$B16,Data!$C:$C,Vitezistii!C$1),0)</f>
        <v>1.25</v>
      </c>
      <c r="D16" s="31">
        <f>IFERROR(IF(SUMIFS(Data!$K:$K,Data!$A:$A,Vitezistii!$B16,Data!$C:$C,Vitezistii!D$1)=0," ",SUMIFS(Data!$K:$K,Data!$A:$A,Vitezistii!$B16,Data!$C:$C,Vitezistii!D$1))+SUMIFS(Data!$S:$S,Data!$A:$A,Vitezistii!$B16,Data!$C:$C,Vitezistii!D$1),0)</f>
        <v>4.5</v>
      </c>
      <c r="E16" s="31">
        <f>IFERROR(IF(SUMIFS(Data!$K:$K,Data!$A:$A,Vitezistii!$B16,Data!$C:$C,Vitezistii!E$1)=0," ",SUMIFS(Data!$K:$K,Data!$A:$A,Vitezistii!$B16,Data!$C:$C,Vitezistii!E$1))+SUMIFS(Data!$S:$S,Data!$A:$A,Vitezistii!$B16,Data!$C:$C,Vitezistii!E$1),0)</f>
        <v>3</v>
      </c>
      <c r="F16" s="31">
        <f>IFERROR(IF(SUMIFS(Data!$K:$K,Data!$A:$A,Vitezistii!$B16,Data!$C:$C,Vitezistii!F$1)=0," ",SUMIFS(Data!$K:$K,Data!$A:$A,Vitezistii!$B16,Data!$C:$C,Vitezistii!F$1))+SUMIFS(Data!$S:$S,Data!$A:$A,Vitezistii!$B16,Data!$C:$C,Vitezistii!F$1),0)</f>
        <v>4</v>
      </c>
      <c r="G16" s="31">
        <f>IFERROR(IF(SUMIFS(Data!$K:$K,Data!$A:$A,Vitezistii!$B16,Data!$C:$C,Vitezistii!G$1)=0," ",SUMIFS(Data!$K:$K,Data!$A:$A,Vitezistii!$B16,Data!$C:$C,Vitezistii!G$1))+SUMIFS(Data!$S:$S,Data!$A:$A,Vitezistii!$B16,Data!$C:$C,Vitezistii!G$1),0)</f>
        <v>2.5</v>
      </c>
      <c r="H16" s="31">
        <f>IFERROR(IF(SUMIFS(Data!$K:$K,Data!$A:$A,Vitezistii!$B16,Data!$C:$C,Vitezistii!H$1)=0," ",SUMIFS(Data!$K:$K,Data!$A:$A,Vitezistii!$B16,Data!$C:$C,Vitezistii!H$1))+SUMIFS(Data!$S:$S,Data!$A:$A,Vitezistii!$B16,Data!$C:$C,Vitezistii!H$1),0)</f>
        <v>4</v>
      </c>
      <c r="I16" s="31">
        <f>IFERROR(IF(SUMIFS(Data!$K:$K,Data!$A:$A,Vitezistii!$B16,Data!$C:$C,Vitezistii!I$1)=0," ",SUMIFS(Data!$K:$K,Data!$A:$A,Vitezistii!$B16,Data!$C:$C,Vitezistii!I$1))+SUMIFS(Data!$S:$S,Data!$A:$A,Vitezistii!$B16,Data!$C:$C,Vitezistii!I$1),0)</f>
        <v>3</v>
      </c>
      <c r="J16" s="31">
        <f>IFERROR(IF(SUMIFS(Data!$K:$K,Data!$A:$A,Vitezistii!$B16,Data!$C:$C,Vitezistii!J$1)=0," ",SUMIFS(Data!$K:$K,Data!$A:$A,Vitezistii!$B16,Data!$C:$C,Vitezistii!J$1))+SUMIFS(Data!$S:$S,Data!$A:$A,Vitezistii!$B16,Data!$C:$C,Vitezistii!J$1),0)</f>
        <v>3</v>
      </c>
      <c r="K16" s="31">
        <f>IFERROR(IF(SUMIFS(Data!$K:$K,Data!$A:$A,Vitezistii!$B16,Data!$C:$C,Vitezistii!K$1)=0," ",SUMIFS(Data!$K:$K,Data!$A:$A,Vitezistii!$B16,Data!$C:$C,Vitezistii!K$1))+SUMIFS(Data!$S:$S,Data!$A:$A,Vitezistii!$B16,Data!$C:$C,Vitezistii!K$1),0)</f>
        <v>2</v>
      </c>
      <c r="L16" s="31">
        <f>IFERROR(IF(SUMIFS(Data!$K:$K,Data!$A:$A,Vitezistii!$B16,Data!$C:$C,Vitezistii!L$1)=0," ",SUMIFS(Data!$K:$K,Data!$A:$A,Vitezistii!$B16,Data!$C:$C,Vitezistii!L$1))+SUMIFS(Data!$S:$S,Data!$A:$A,Vitezistii!$B16,Data!$C:$C,Vitezistii!L$1),0)</f>
        <v>3</v>
      </c>
      <c r="M16" s="31">
        <f>IFERROR(IF(SUMIFS(Data!$K:$K,Data!$A:$A,Vitezistii!$B16,Data!$C:$C,Vitezistii!M$1)=0," ",SUMIFS(Data!$K:$K,Data!$A:$A,Vitezistii!$B16,Data!$C:$C,Vitezistii!M$1))+SUMIFS(Data!$S:$S,Data!$A:$A,Vitezistii!$B16,Data!$C:$C,Vitezistii!M$1),0)</f>
        <v>3.5</v>
      </c>
      <c r="N16" s="31">
        <f>IFERROR(IF(SUMIFS(Data!$K:$K,Data!$A:$A,Vitezistii!$B16,Data!$C:$C,Vitezistii!N$1)=0," ",SUMIFS(Data!$K:$K,Data!$A:$A,Vitezistii!$B16,Data!$C:$C,Vitezistii!N$1))+SUMIFS(Data!$S:$S,Data!$A:$A,Vitezistii!$B16,Data!$C:$C,Vitezistii!N$1),0)</f>
        <v>0</v>
      </c>
      <c r="O16" s="31">
        <f>IFERROR(IF(SUMIFS(Data!$K:$K,Data!$A:$A,Vitezistii!$B16,Data!$C:$C,Vitezistii!O$1)=0," ",SUMIFS(Data!$K:$K,Data!$A:$A,Vitezistii!$B16,Data!$C:$C,Vitezistii!O$1))+SUMIFS(Data!$S:$S,Data!$A:$A,Vitezistii!$B16,Data!$C:$C,Vitezistii!O$1),0)</f>
        <v>1.75</v>
      </c>
      <c r="P16" s="31">
        <f>IFERROR(IF(SUMIFS(Data!$K:$K,Data!$A:$A,Vitezistii!$B16,Data!$C:$C,Vitezistii!P$1)=0," ",SUMIFS(Data!$K:$K,Data!$A:$A,Vitezistii!$B16,Data!$C:$C,Vitezistii!P$1))+SUMIFS(Data!$S:$S,Data!$A:$A,Vitezistii!$B16,Data!$C:$C,Vitezistii!P$1),0)</f>
        <v>4.5</v>
      </c>
      <c r="Q16" s="31">
        <f>IFERROR(IF(SUMIFS(Data!$K:$K,Data!$A:$A,Vitezistii!$B16,Data!$C:$C,Vitezistii!Q$1)=0," ",SUMIFS(Data!$K:$K,Data!$A:$A,Vitezistii!$B16,Data!$C:$C,Vitezistii!Q$1))+SUMIFS(Data!$S:$S,Data!$A:$A,Vitezistii!$B16,Data!$C:$C,Vitezistii!Q$1),0)</f>
        <v>3</v>
      </c>
      <c r="R16" s="31">
        <f>SUM(C16:Q16)</f>
        <v>43</v>
      </c>
      <c r="S16" s="31">
        <f>SUMIFS(Data!D:D,Data!A:A,Vitezistii!B76)</f>
        <v>164.88000000000002</v>
      </c>
      <c r="T16" s="12">
        <f>SUMIFS(Data!I:I,Data!A:A,Vitezistii!B16)/COUNTIF(Data!A:A,Vitezistii!B16)</f>
        <v>3.5420227884828694E-3</v>
      </c>
    </row>
    <row r="17" spans="1:20" ht="13" x14ac:dyDescent="0.3">
      <c r="A17" s="79">
        <v>16</v>
      </c>
      <c r="B17" s="30" t="s">
        <v>47</v>
      </c>
      <c r="C17" s="31">
        <f>IFERROR(IF(SUMIFS(Data!$K:$K,Data!$A:$A,Vitezistii!$B17,Data!$C:$C,Vitezistii!C$1)=0," ",SUMIFS(Data!$K:$K,Data!$A:$A,Vitezistii!$B17,Data!$C:$C,Vitezistii!C$1))+SUMIFS(Data!$S:$S,Data!$A:$A,Vitezistii!$B17,Data!$C:$C,Vitezistii!C$1),0)</f>
        <v>5.15</v>
      </c>
      <c r="D17" s="31">
        <f>IFERROR(IF(SUMIFS(Data!$K:$K,Data!$A:$A,Vitezistii!$B17,Data!$C:$C,Vitezistii!D$1)=0," ",SUMIFS(Data!$K:$K,Data!$A:$A,Vitezistii!$B17,Data!$C:$C,Vitezistii!D$1))+SUMIFS(Data!$S:$S,Data!$A:$A,Vitezistii!$B17,Data!$C:$C,Vitezistii!D$1),0)</f>
        <v>3</v>
      </c>
      <c r="E17" s="31">
        <f>IFERROR(IF(SUMIFS(Data!$K:$K,Data!$A:$A,Vitezistii!$B17,Data!$C:$C,Vitezistii!E$1)=0," ",SUMIFS(Data!$K:$K,Data!$A:$A,Vitezistii!$B17,Data!$C:$C,Vitezistii!E$1))+SUMIFS(Data!$S:$S,Data!$A:$A,Vitezistii!$B17,Data!$C:$C,Vitezistii!E$1),0)</f>
        <v>0</v>
      </c>
      <c r="F17" s="31">
        <f>IFERROR(IF(SUMIFS(Data!$K:$K,Data!$A:$A,Vitezistii!$B17,Data!$C:$C,Vitezistii!F$1)=0," ",SUMIFS(Data!$K:$K,Data!$A:$A,Vitezistii!$B17,Data!$C:$C,Vitezistii!F$1))+SUMIFS(Data!$S:$S,Data!$A:$A,Vitezistii!$B17,Data!$C:$C,Vitezistii!F$1),0)</f>
        <v>0</v>
      </c>
      <c r="G17" s="31">
        <f>IFERROR(IF(SUMIFS(Data!$K:$K,Data!$A:$A,Vitezistii!$B17,Data!$C:$C,Vitezistii!G$1)=0," ",SUMIFS(Data!$K:$K,Data!$A:$A,Vitezistii!$B17,Data!$C:$C,Vitezistii!G$1))+SUMIFS(Data!$S:$S,Data!$A:$A,Vitezistii!$B17,Data!$C:$C,Vitezistii!G$1),0)</f>
        <v>1.75</v>
      </c>
      <c r="H17" s="31">
        <f>IFERROR(IF(SUMIFS(Data!$K:$K,Data!$A:$A,Vitezistii!$B17,Data!$C:$C,Vitezistii!H$1)=0," ",SUMIFS(Data!$K:$K,Data!$A:$A,Vitezistii!$B17,Data!$C:$C,Vitezistii!H$1))+SUMIFS(Data!$S:$S,Data!$A:$A,Vitezistii!$B17,Data!$C:$C,Vitezistii!H$1),0)</f>
        <v>2.5</v>
      </c>
      <c r="I17" s="31">
        <f>IFERROR(IF(SUMIFS(Data!$K:$K,Data!$A:$A,Vitezistii!$B17,Data!$C:$C,Vitezistii!I$1)=0," ",SUMIFS(Data!$K:$K,Data!$A:$A,Vitezistii!$B17,Data!$C:$C,Vitezistii!I$1))+SUMIFS(Data!$S:$S,Data!$A:$A,Vitezistii!$B17,Data!$C:$C,Vitezistii!I$1),0)</f>
        <v>3</v>
      </c>
      <c r="J17" s="31">
        <f>IFERROR(IF(SUMIFS(Data!$K:$K,Data!$A:$A,Vitezistii!$B17,Data!$C:$C,Vitezistii!J$1)=0," ",SUMIFS(Data!$K:$K,Data!$A:$A,Vitezistii!$B17,Data!$C:$C,Vitezistii!J$1))+SUMIFS(Data!$S:$S,Data!$A:$A,Vitezistii!$B17,Data!$C:$C,Vitezistii!J$1),0)</f>
        <v>3</v>
      </c>
      <c r="K17" s="31">
        <f>IFERROR(IF(SUMIFS(Data!$K:$K,Data!$A:$A,Vitezistii!$B17,Data!$C:$C,Vitezistii!K$1)=0," ",SUMIFS(Data!$K:$K,Data!$A:$A,Vitezistii!$B17,Data!$C:$C,Vitezistii!K$1))+SUMIFS(Data!$S:$S,Data!$A:$A,Vitezistii!$B17,Data!$C:$C,Vitezistii!K$1),0)</f>
        <v>3.5</v>
      </c>
      <c r="L17" s="31">
        <f>IFERROR(IF(SUMIFS(Data!$K:$K,Data!$A:$A,Vitezistii!$B17,Data!$C:$C,Vitezistii!L$1)=0," ",SUMIFS(Data!$K:$K,Data!$A:$A,Vitezistii!$B17,Data!$C:$C,Vitezistii!L$1))+SUMIFS(Data!$S:$S,Data!$A:$A,Vitezistii!$B17,Data!$C:$C,Vitezistii!L$1),0)</f>
        <v>4.5</v>
      </c>
      <c r="M17" s="31">
        <f>IFERROR(IF(SUMIFS(Data!$K:$K,Data!$A:$A,Vitezistii!$B17,Data!$C:$C,Vitezistii!M$1)=0," ",SUMIFS(Data!$K:$K,Data!$A:$A,Vitezistii!$B17,Data!$C:$C,Vitezistii!M$1))+SUMIFS(Data!$S:$S,Data!$A:$A,Vitezistii!$B17,Data!$C:$C,Vitezistii!M$1),0)</f>
        <v>3</v>
      </c>
      <c r="N17" s="31">
        <f>IFERROR(IF(SUMIFS(Data!$K:$K,Data!$A:$A,Vitezistii!$B17,Data!$C:$C,Vitezistii!N$1)=0," ",SUMIFS(Data!$K:$K,Data!$A:$A,Vitezistii!$B17,Data!$C:$C,Vitezistii!N$1))+SUMIFS(Data!$S:$S,Data!$A:$A,Vitezistii!$B17,Data!$C:$C,Vitezistii!N$1),0)</f>
        <v>4</v>
      </c>
      <c r="O17" s="31">
        <f>IFERROR(IF(SUMIFS(Data!$K:$K,Data!$A:$A,Vitezistii!$B17,Data!$C:$C,Vitezistii!O$1)=0," ",SUMIFS(Data!$K:$K,Data!$A:$A,Vitezistii!$B17,Data!$C:$C,Vitezistii!O$1))+SUMIFS(Data!$S:$S,Data!$A:$A,Vitezistii!$B17,Data!$C:$C,Vitezistii!O$1),0)</f>
        <v>3</v>
      </c>
      <c r="P17" s="31">
        <f>IFERROR(IF(SUMIFS(Data!$K:$K,Data!$A:$A,Vitezistii!$B17,Data!$C:$C,Vitezistii!P$1)=0," ",SUMIFS(Data!$K:$K,Data!$A:$A,Vitezistii!$B17,Data!$C:$C,Vitezistii!P$1))+SUMIFS(Data!$S:$S,Data!$A:$A,Vitezistii!$B17,Data!$C:$C,Vitezistii!P$1),0)</f>
        <v>3</v>
      </c>
      <c r="Q17" s="31">
        <f>IFERROR(IF(SUMIFS(Data!$K:$K,Data!$A:$A,Vitezistii!$B17,Data!$C:$C,Vitezistii!Q$1)=0," ",SUMIFS(Data!$K:$K,Data!$A:$A,Vitezistii!$B17,Data!$C:$C,Vitezistii!Q$1))+SUMIFS(Data!$S:$S,Data!$A:$A,Vitezistii!$B17,Data!$C:$C,Vitezistii!Q$1),0)</f>
        <v>3</v>
      </c>
      <c r="R17" s="31">
        <f>SUM(C17:Q17)</f>
        <v>42.4</v>
      </c>
      <c r="S17" s="31">
        <f>SUMIFS(Data!D:D,Data!A:A,Vitezistii!B77)</f>
        <v>150.17000000000002</v>
      </c>
      <c r="T17" s="12">
        <f>SUMIFS(Data!I:I,Data!A:A,Vitezistii!B17)/COUNTIF(Data!A:A,Vitezistii!B17)</f>
        <v>3.0911384478774849E-3</v>
      </c>
    </row>
    <row r="18" spans="1:20" ht="13" x14ac:dyDescent="0.3">
      <c r="A18" s="79">
        <v>17</v>
      </c>
      <c r="B18" s="30" t="s">
        <v>128</v>
      </c>
      <c r="C18" s="31">
        <f>IFERROR(IF(SUMIFS(Data!$K:$K,Data!$A:$A,Vitezistii!$B18,Data!$C:$C,Vitezistii!C$1)=0," ",SUMIFS(Data!$K:$K,Data!$A:$A,Vitezistii!$B18,Data!$C:$C,Vitezistii!C$1))+SUMIFS(Data!$S:$S,Data!$A:$A,Vitezistii!$B18,Data!$C:$C,Vitezistii!C$1),0)</f>
        <v>3</v>
      </c>
      <c r="D18" s="31">
        <f>IFERROR(IF(SUMIFS(Data!$K:$K,Data!$A:$A,Vitezistii!$B18,Data!$C:$C,Vitezistii!D$1)=0," ",SUMIFS(Data!$K:$K,Data!$A:$A,Vitezistii!$B18,Data!$C:$C,Vitezistii!D$1))+SUMIFS(Data!$S:$S,Data!$A:$A,Vitezistii!$B18,Data!$C:$C,Vitezistii!D$1),0)</f>
        <v>3</v>
      </c>
      <c r="E18" s="31">
        <f>IFERROR(IF(SUMIFS(Data!$K:$K,Data!$A:$A,Vitezistii!$B18,Data!$C:$C,Vitezistii!E$1)=0," ",SUMIFS(Data!$K:$K,Data!$A:$A,Vitezistii!$B18,Data!$C:$C,Vitezistii!E$1))+SUMIFS(Data!$S:$S,Data!$A:$A,Vitezistii!$B18,Data!$C:$C,Vitezistii!E$1),0)</f>
        <v>2</v>
      </c>
      <c r="F18" s="31">
        <f>IFERROR(IF(SUMIFS(Data!$K:$K,Data!$A:$A,Vitezistii!$B18,Data!$C:$C,Vitezistii!F$1)=0," ",SUMIFS(Data!$K:$K,Data!$A:$A,Vitezistii!$B18,Data!$C:$C,Vitezistii!F$1))+SUMIFS(Data!$S:$S,Data!$A:$A,Vitezistii!$B18,Data!$C:$C,Vitezistii!F$1),0)</f>
        <v>3</v>
      </c>
      <c r="G18" s="31">
        <f>IFERROR(IF(SUMIFS(Data!$K:$K,Data!$A:$A,Vitezistii!$B18,Data!$C:$C,Vitezistii!G$1)=0," ",SUMIFS(Data!$K:$K,Data!$A:$A,Vitezistii!$B18,Data!$C:$C,Vitezistii!G$1))+SUMIFS(Data!$S:$S,Data!$A:$A,Vitezistii!$B18,Data!$C:$C,Vitezistii!G$1),0)</f>
        <v>2</v>
      </c>
      <c r="H18" s="31">
        <f>IFERROR(IF(SUMIFS(Data!$K:$K,Data!$A:$A,Vitezistii!$B18,Data!$C:$C,Vitezistii!H$1)=0," ",SUMIFS(Data!$K:$K,Data!$A:$A,Vitezistii!$B18,Data!$C:$C,Vitezistii!H$1))+SUMIFS(Data!$S:$S,Data!$A:$A,Vitezistii!$B18,Data!$C:$C,Vitezistii!H$1),0)</f>
        <v>3</v>
      </c>
      <c r="I18" s="31">
        <f>IFERROR(IF(SUMIFS(Data!$K:$K,Data!$A:$A,Vitezistii!$B18,Data!$C:$C,Vitezistii!I$1)=0," ",SUMIFS(Data!$K:$K,Data!$A:$A,Vitezistii!$B18,Data!$C:$C,Vitezistii!I$1))+SUMIFS(Data!$S:$S,Data!$A:$A,Vitezistii!$B18,Data!$C:$C,Vitezistii!I$1),0)</f>
        <v>2.5</v>
      </c>
      <c r="J18" s="31">
        <f>IFERROR(IF(SUMIFS(Data!$K:$K,Data!$A:$A,Vitezistii!$B18,Data!$C:$C,Vitezistii!J$1)=0," ",SUMIFS(Data!$K:$K,Data!$A:$A,Vitezistii!$B18,Data!$C:$C,Vitezistii!J$1))+SUMIFS(Data!$S:$S,Data!$A:$A,Vitezistii!$B18,Data!$C:$C,Vitezistii!J$1),0)</f>
        <v>4.5</v>
      </c>
      <c r="K18" s="31">
        <f>IFERROR(IF(SUMIFS(Data!$K:$K,Data!$A:$A,Vitezistii!$B18,Data!$C:$C,Vitezistii!K$1)=0," ",SUMIFS(Data!$K:$K,Data!$A:$A,Vitezistii!$B18,Data!$C:$C,Vitezistii!K$1))+SUMIFS(Data!$S:$S,Data!$A:$A,Vitezistii!$B18,Data!$C:$C,Vitezistii!K$1),0)</f>
        <v>2.5</v>
      </c>
      <c r="L18" s="31">
        <f>IFERROR(IF(SUMIFS(Data!$K:$K,Data!$A:$A,Vitezistii!$B18,Data!$C:$C,Vitezistii!L$1)=0," ",SUMIFS(Data!$K:$K,Data!$A:$A,Vitezistii!$B18,Data!$C:$C,Vitezistii!L$1))+SUMIFS(Data!$S:$S,Data!$A:$A,Vitezistii!$B18,Data!$C:$C,Vitezistii!L$1),0)</f>
        <v>3</v>
      </c>
      <c r="M18" s="31">
        <f>IFERROR(IF(SUMIFS(Data!$K:$K,Data!$A:$A,Vitezistii!$B18,Data!$C:$C,Vitezistii!M$1)=0," ",SUMIFS(Data!$K:$K,Data!$A:$A,Vitezistii!$B18,Data!$C:$C,Vitezistii!M$1))+SUMIFS(Data!$S:$S,Data!$A:$A,Vitezistii!$B18,Data!$C:$C,Vitezistii!M$1),0)</f>
        <v>3</v>
      </c>
      <c r="N18" s="31">
        <f>IFERROR(IF(SUMIFS(Data!$K:$K,Data!$A:$A,Vitezistii!$B18,Data!$C:$C,Vitezistii!N$1)=0," ",SUMIFS(Data!$K:$K,Data!$A:$A,Vitezistii!$B18,Data!$C:$C,Vitezistii!N$1))+SUMIFS(Data!$S:$S,Data!$A:$A,Vitezistii!$B18,Data!$C:$C,Vitezistii!N$1),0)</f>
        <v>3</v>
      </c>
      <c r="O18" s="31">
        <f>IFERROR(IF(SUMIFS(Data!$K:$K,Data!$A:$A,Vitezistii!$B18,Data!$C:$C,Vitezistii!O$1)=0," ",SUMIFS(Data!$K:$K,Data!$A:$A,Vitezistii!$B18,Data!$C:$C,Vitezistii!O$1))+SUMIFS(Data!$S:$S,Data!$A:$A,Vitezistii!$B18,Data!$C:$C,Vitezistii!O$1),0)</f>
        <v>2</v>
      </c>
      <c r="P18" s="31">
        <f>IFERROR(IF(SUMIFS(Data!$K:$K,Data!$A:$A,Vitezistii!$B18,Data!$C:$C,Vitezistii!P$1)=0," ",SUMIFS(Data!$K:$K,Data!$A:$A,Vitezistii!$B18,Data!$C:$C,Vitezistii!P$1))+SUMIFS(Data!$S:$S,Data!$A:$A,Vitezistii!$B18,Data!$C:$C,Vitezistii!P$1),0)</f>
        <v>3</v>
      </c>
      <c r="Q18" s="31">
        <f>IFERROR(IF(SUMIFS(Data!$K:$K,Data!$A:$A,Vitezistii!$B18,Data!$C:$C,Vitezistii!Q$1)=0," ",SUMIFS(Data!$K:$K,Data!$A:$A,Vitezistii!$B18,Data!$C:$C,Vitezistii!Q$1))+SUMIFS(Data!$S:$S,Data!$A:$A,Vitezistii!$B18,Data!$C:$C,Vitezistii!Q$1),0)</f>
        <v>2</v>
      </c>
      <c r="R18" s="31">
        <f>SUM(C18:Q18)</f>
        <v>41.5</v>
      </c>
      <c r="S18" s="31">
        <f>SUMIFS(Data!D:D,Data!A:A,Vitezistii!B78)</f>
        <v>102.18999999999998</v>
      </c>
      <c r="T18" s="12">
        <f>SUMIFS(Data!I:I,Data!A:A,Vitezistii!B18)/COUNTIF(Data!A:A,Vitezistii!B18)</f>
        <v>3.4903708863838127E-3</v>
      </c>
    </row>
    <row r="19" spans="1:20" ht="13" x14ac:dyDescent="0.3">
      <c r="A19" s="79">
        <v>18</v>
      </c>
      <c r="B19" s="30" t="s">
        <v>59</v>
      </c>
      <c r="C19" s="31">
        <f>IFERROR(IF(SUMIFS(Data!$K:$K,Data!$A:$A,Vitezistii!$B19,Data!$C:$C,Vitezistii!C$1)=0," ",SUMIFS(Data!$K:$K,Data!$A:$A,Vitezistii!$B19,Data!$C:$C,Vitezistii!C$1))+SUMIFS(Data!$S:$S,Data!$A:$A,Vitezistii!$B19,Data!$C:$C,Vitezistii!C$1),0)</f>
        <v>0</v>
      </c>
      <c r="D19" s="31">
        <f>IFERROR(IF(SUMIFS(Data!$K:$K,Data!$A:$A,Vitezistii!$B19,Data!$C:$C,Vitezistii!D$1)=0," ",SUMIFS(Data!$K:$K,Data!$A:$A,Vitezistii!$B19,Data!$C:$C,Vitezistii!D$1))+SUMIFS(Data!$S:$S,Data!$A:$A,Vitezistii!$B19,Data!$C:$C,Vitezistii!D$1),0)</f>
        <v>0</v>
      </c>
      <c r="E19" s="31">
        <f>IFERROR(IF(SUMIFS(Data!$K:$K,Data!$A:$A,Vitezistii!$B19,Data!$C:$C,Vitezistii!E$1)=0," ",SUMIFS(Data!$K:$K,Data!$A:$A,Vitezistii!$B19,Data!$C:$C,Vitezistii!E$1))+SUMIFS(Data!$S:$S,Data!$A:$A,Vitezistii!$B19,Data!$C:$C,Vitezistii!E$1),0)</f>
        <v>3</v>
      </c>
      <c r="F19" s="31">
        <f>IFERROR(IF(SUMIFS(Data!$K:$K,Data!$A:$A,Vitezistii!$B19,Data!$C:$C,Vitezistii!F$1)=0," ",SUMIFS(Data!$K:$K,Data!$A:$A,Vitezistii!$B19,Data!$C:$C,Vitezistii!F$1))+SUMIFS(Data!$S:$S,Data!$A:$A,Vitezistii!$B19,Data!$C:$C,Vitezistii!F$1),0)</f>
        <v>3.5</v>
      </c>
      <c r="G19" s="31">
        <f>IFERROR(IF(SUMIFS(Data!$K:$K,Data!$A:$A,Vitezistii!$B19,Data!$C:$C,Vitezistii!G$1)=0," ",SUMIFS(Data!$K:$K,Data!$A:$A,Vitezistii!$B19,Data!$C:$C,Vitezistii!G$1))+SUMIFS(Data!$S:$S,Data!$A:$A,Vitezistii!$B19,Data!$C:$C,Vitezistii!G$1),0)</f>
        <v>3</v>
      </c>
      <c r="H19" s="31">
        <f>IFERROR(IF(SUMIFS(Data!$K:$K,Data!$A:$A,Vitezistii!$B19,Data!$C:$C,Vitezistii!H$1)=0," ",SUMIFS(Data!$K:$K,Data!$A:$A,Vitezistii!$B19,Data!$C:$C,Vitezistii!H$1))+SUMIFS(Data!$S:$S,Data!$A:$A,Vitezistii!$B19,Data!$C:$C,Vitezistii!H$1),0)</f>
        <v>5.45</v>
      </c>
      <c r="I19" s="31">
        <f>IFERROR(IF(SUMIFS(Data!$K:$K,Data!$A:$A,Vitezistii!$B19,Data!$C:$C,Vitezistii!I$1)=0," ",SUMIFS(Data!$K:$K,Data!$A:$A,Vitezistii!$B19,Data!$C:$C,Vitezistii!I$1))+SUMIFS(Data!$S:$S,Data!$A:$A,Vitezistii!$B19,Data!$C:$C,Vitezistii!I$1),0)</f>
        <v>3.5</v>
      </c>
      <c r="J19" s="31">
        <f>IFERROR(IF(SUMIFS(Data!$K:$K,Data!$A:$A,Vitezistii!$B19,Data!$C:$C,Vitezistii!J$1)=0," ",SUMIFS(Data!$K:$K,Data!$A:$A,Vitezistii!$B19,Data!$C:$C,Vitezistii!J$1))+SUMIFS(Data!$S:$S,Data!$A:$A,Vitezistii!$B19,Data!$C:$C,Vitezistii!J$1),0)</f>
        <v>3</v>
      </c>
      <c r="K19" s="31">
        <f>IFERROR(IF(SUMIFS(Data!$K:$K,Data!$A:$A,Vitezistii!$B19,Data!$C:$C,Vitezistii!K$1)=0," ",SUMIFS(Data!$K:$K,Data!$A:$A,Vitezistii!$B19,Data!$C:$C,Vitezistii!K$1))+SUMIFS(Data!$S:$S,Data!$A:$A,Vitezistii!$B19,Data!$C:$C,Vitezistii!K$1),0)</f>
        <v>1.5</v>
      </c>
      <c r="L19" s="31">
        <f>IFERROR(IF(SUMIFS(Data!$K:$K,Data!$A:$A,Vitezistii!$B19,Data!$C:$C,Vitezistii!L$1)=0," ",SUMIFS(Data!$K:$K,Data!$A:$A,Vitezistii!$B19,Data!$C:$C,Vitezistii!L$1))+SUMIFS(Data!$S:$S,Data!$A:$A,Vitezistii!$B19,Data!$C:$C,Vitezistii!L$1),0)</f>
        <v>2.5</v>
      </c>
      <c r="M19" s="31">
        <f>IFERROR(IF(SUMIFS(Data!$K:$K,Data!$A:$A,Vitezistii!$B19,Data!$C:$C,Vitezistii!M$1)=0," ",SUMIFS(Data!$K:$K,Data!$A:$A,Vitezistii!$B19,Data!$C:$C,Vitezistii!M$1))+SUMIFS(Data!$S:$S,Data!$A:$A,Vitezistii!$B19,Data!$C:$C,Vitezistii!M$1),0)</f>
        <v>4.5</v>
      </c>
      <c r="N19" s="31">
        <f>IFERROR(IF(SUMIFS(Data!$K:$K,Data!$A:$A,Vitezistii!$B19,Data!$C:$C,Vitezistii!N$1)=0," ",SUMIFS(Data!$K:$K,Data!$A:$A,Vitezistii!$B19,Data!$C:$C,Vitezistii!N$1))+SUMIFS(Data!$S:$S,Data!$A:$A,Vitezistii!$B19,Data!$C:$C,Vitezistii!N$1),0)</f>
        <v>3.5</v>
      </c>
      <c r="O19" s="31">
        <f>IFERROR(IF(SUMIFS(Data!$K:$K,Data!$A:$A,Vitezistii!$B19,Data!$C:$C,Vitezistii!O$1)=0," ",SUMIFS(Data!$K:$K,Data!$A:$A,Vitezistii!$B19,Data!$C:$C,Vitezistii!O$1))+SUMIFS(Data!$S:$S,Data!$A:$A,Vitezistii!$B19,Data!$C:$C,Vitezistii!O$1),0)</f>
        <v>3</v>
      </c>
      <c r="P19" s="31">
        <f>IFERROR(IF(SUMIFS(Data!$K:$K,Data!$A:$A,Vitezistii!$B19,Data!$C:$C,Vitezistii!P$1)=0," ",SUMIFS(Data!$K:$K,Data!$A:$A,Vitezistii!$B19,Data!$C:$C,Vitezistii!P$1))+SUMIFS(Data!$S:$S,Data!$A:$A,Vitezistii!$B19,Data!$C:$C,Vitezistii!P$1),0)</f>
        <v>0</v>
      </c>
      <c r="Q19" s="31">
        <f>IFERROR(IF(SUMIFS(Data!$K:$K,Data!$A:$A,Vitezistii!$B19,Data!$C:$C,Vitezistii!Q$1)=0," ",SUMIFS(Data!$K:$K,Data!$A:$A,Vitezistii!$B19,Data!$C:$C,Vitezistii!Q$1))+SUMIFS(Data!$S:$S,Data!$A:$A,Vitezistii!$B19,Data!$C:$C,Vitezistii!Q$1),0)</f>
        <v>3.5</v>
      </c>
      <c r="R19" s="31">
        <f>SUM(C19:Q19)</f>
        <v>39.950000000000003</v>
      </c>
      <c r="S19" s="31">
        <f>SUMIFS(Data!D:D,Data!A:A,Vitezistii!B79)</f>
        <v>181.97</v>
      </c>
      <c r="T19" s="12">
        <f>SUMIFS(Data!I:I,Data!A:A,Vitezistii!B19)/COUNTIF(Data!A:A,Vitezistii!B19)</f>
        <v>3.5051515764708495E-3</v>
      </c>
    </row>
    <row r="20" spans="1:20" ht="13" x14ac:dyDescent="0.3">
      <c r="A20" s="79">
        <v>19</v>
      </c>
      <c r="B20" s="30" t="s">
        <v>41</v>
      </c>
      <c r="C20" s="31">
        <f>IFERROR(IF(SUMIFS(Data!$K:$K,Data!$A:$A,Vitezistii!$B20,Data!$C:$C,Vitezistii!C$1)=0," ",SUMIFS(Data!$K:$K,Data!$A:$A,Vitezistii!$B20,Data!$C:$C,Vitezistii!C$1))+SUMIFS(Data!$S:$S,Data!$A:$A,Vitezistii!$B20,Data!$C:$C,Vitezistii!C$1),0)</f>
        <v>3.5</v>
      </c>
      <c r="D20" s="31">
        <f>IFERROR(IF(SUMIFS(Data!$K:$K,Data!$A:$A,Vitezistii!$B20,Data!$C:$C,Vitezistii!D$1)=0," ",SUMIFS(Data!$K:$K,Data!$A:$A,Vitezistii!$B20,Data!$C:$C,Vitezistii!D$1))+SUMIFS(Data!$S:$S,Data!$A:$A,Vitezistii!$B20,Data!$C:$C,Vitezistii!D$1),0)</f>
        <v>2.5</v>
      </c>
      <c r="E20" s="31">
        <f>IFERROR(IF(SUMIFS(Data!$K:$K,Data!$A:$A,Vitezistii!$B20,Data!$C:$C,Vitezistii!E$1)=0," ",SUMIFS(Data!$K:$K,Data!$A:$A,Vitezistii!$B20,Data!$C:$C,Vitezistii!E$1))+SUMIFS(Data!$S:$S,Data!$A:$A,Vitezistii!$B20,Data!$C:$C,Vitezistii!E$1),0)</f>
        <v>3</v>
      </c>
      <c r="F20" s="31">
        <f>IFERROR(IF(SUMIFS(Data!$K:$K,Data!$A:$A,Vitezistii!$B20,Data!$C:$C,Vitezistii!F$1)=0," ",SUMIFS(Data!$K:$K,Data!$A:$A,Vitezistii!$B20,Data!$C:$C,Vitezistii!F$1))+SUMIFS(Data!$S:$S,Data!$A:$A,Vitezistii!$B20,Data!$C:$C,Vitezistii!F$1),0)</f>
        <v>3</v>
      </c>
      <c r="G20" s="31">
        <f>IFERROR(IF(SUMIFS(Data!$K:$K,Data!$A:$A,Vitezistii!$B20,Data!$C:$C,Vitezistii!G$1)=0," ",SUMIFS(Data!$K:$K,Data!$A:$A,Vitezistii!$B20,Data!$C:$C,Vitezistii!G$1))+SUMIFS(Data!$S:$S,Data!$A:$A,Vitezistii!$B20,Data!$C:$C,Vitezistii!G$1),0)</f>
        <v>2</v>
      </c>
      <c r="H20" s="31">
        <f>IFERROR(IF(SUMIFS(Data!$K:$K,Data!$A:$A,Vitezistii!$B20,Data!$C:$C,Vitezistii!H$1)=0," ",SUMIFS(Data!$K:$K,Data!$A:$A,Vitezistii!$B20,Data!$C:$C,Vitezistii!H$1))+SUMIFS(Data!$S:$S,Data!$A:$A,Vitezistii!$B20,Data!$C:$C,Vitezistii!H$1),0)</f>
        <v>0</v>
      </c>
      <c r="I20" s="31">
        <f>IFERROR(IF(SUMIFS(Data!$K:$K,Data!$A:$A,Vitezistii!$B20,Data!$C:$C,Vitezistii!I$1)=0," ",SUMIFS(Data!$K:$K,Data!$A:$A,Vitezistii!$B20,Data!$C:$C,Vitezistii!I$1))+SUMIFS(Data!$S:$S,Data!$A:$A,Vitezistii!$B20,Data!$C:$C,Vitezistii!I$1),0)</f>
        <v>1.5</v>
      </c>
      <c r="J20" s="31">
        <f>IFERROR(IF(SUMIFS(Data!$K:$K,Data!$A:$A,Vitezistii!$B20,Data!$C:$C,Vitezistii!J$1)=0," ",SUMIFS(Data!$K:$K,Data!$A:$A,Vitezistii!$B20,Data!$C:$C,Vitezistii!J$1))+SUMIFS(Data!$S:$S,Data!$A:$A,Vitezistii!$B20,Data!$C:$C,Vitezistii!J$1),0)</f>
        <v>1.75</v>
      </c>
      <c r="K20" s="31">
        <f>IFERROR(IF(SUMIFS(Data!$K:$K,Data!$A:$A,Vitezistii!$B20,Data!$C:$C,Vitezistii!K$1)=0," ",SUMIFS(Data!$K:$K,Data!$A:$A,Vitezistii!$B20,Data!$C:$C,Vitezistii!K$1))+SUMIFS(Data!$S:$S,Data!$A:$A,Vitezistii!$B20,Data!$C:$C,Vitezistii!K$1),0)</f>
        <v>2.5</v>
      </c>
      <c r="L20" s="31">
        <f>IFERROR(IF(SUMIFS(Data!$K:$K,Data!$A:$A,Vitezistii!$B20,Data!$C:$C,Vitezistii!L$1)=0," ",SUMIFS(Data!$K:$K,Data!$A:$A,Vitezistii!$B20,Data!$C:$C,Vitezistii!L$1))+SUMIFS(Data!$S:$S,Data!$A:$A,Vitezistii!$B20,Data!$C:$C,Vitezistii!L$1),0)</f>
        <v>3</v>
      </c>
      <c r="M20" s="31">
        <f>IFERROR(IF(SUMIFS(Data!$K:$K,Data!$A:$A,Vitezistii!$B20,Data!$C:$C,Vitezistii!M$1)=0," ",SUMIFS(Data!$K:$K,Data!$A:$A,Vitezistii!$B20,Data!$C:$C,Vitezistii!M$1))+SUMIFS(Data!$S:$S,Data!$A:$A,Vitezistii!$B20,Data!$C:$C,Vitezistii!M$1),0)</f>
        <v>3.5</v>
      </c>
      <c r="N20" s="31">
        <f>IFERROR(IF(SUMIFS(Data!$K:$K,Data!$A:$A,Vitezistii!$B20,Data!$C:$C,Vitezistii!N$1)=0," ",SUMIFS(Data!$K:$K,Data!$A:$A,Vitezistii!$B20,Data!$C:$C,Vitezistii!N$1))+SUMIFS(Data!$S:$S,Data!$A:$A,Vitezistii!$B20,Data!$C:$C,Vitezistii!N$1),0)</f>
        <v>2.5</v>
      </c>
      <c r="O20" s="31">
        <f>IFERROR(IF(SUMIFS(Data!$K:$K,Data!$A:$A,Vitezistii!$B20,Data!$C:$C,Vitezistii!O$1)=0," ",SUMIFS(Data!$K:$K,Data!$A:$A,Vitezistii!$B20,Data!$C:$C,Vitezistii!O$1))+SUMIFS(Data!$S:$S,Data!$A:$A,Vitezistii!$B20,Data!$C:$C,Vitezistii!O$1),0)</f>
        <v>4.5</v>
      </c>
      <c r="P20" s="31">
        <f>IFERROR(IF(SUMIFS(Data!$K:$K,Data!$A:$A,Vitezistii!$B20,Data!$C:$C,Vitezistii!P$1)=0," ",SUMIFS(Data!$K:$K,Data!$A:$A,Vitezistii!$B20,Data!$C:$C,Vitezistii!P$1))+SUMIFS(Data!$S:$S,Data!$A:$A,Vitezistii!$B20,Data!$C:$C,Vitezistii!P$1),0)</f>
        <v>3</v>
      </c>
      <c r="Q20" s="31">
        <f>IFERROR(IF(SUMIFS(Data!$K:$K,Data!$A:$A,Vitezistii!$B20,Data!$C:$C,Vitezistii!Q$1)=0," ",SUMIFS(Data!$K:$K,Data!$A:$A,Vitezistii!$B20,Data!$C:$C,Vitezistii!Q$1))+SUMIFS(Data!$S:$S,Data!$A:$A,Vitezistii!$B20,Data!$C:$C,Vitezistii!Q$1),0)</f>
        <v>3.5</v>
      </c>
      <c r="R20" s="31">
        <f>SUM(C20:Q20)</f>
        <v>39.75</v>
      </c>
      <c r="S20" s="31">
        <f>SUMIFS(Data!D:D,Data!A:A,Vitezistii!B80)</f>
        <v>58.150000000000006</v>
      </c>
      <c r="T20" s="12">
        <f>SUMIFS(Data!I:I,Data!A:A,Vitezistii!B20)/COUNTIF(Data!A:A,Vitezistii!B20)</f>
        <v>3.2366766059094385E-3</v>
      </c>
    </row>
    <row r="21" spans="1:20" ht="13" x14ac:dyDescent="0.3">
      <c r="A21" s="79">
        <v>20</v>
      </c>
      <c r="B21" s="30" t="s">
        <v>133</v>
      </c>
      <c r="C21" s="31">
        <f>IFERROR(IF(SUMIFS(Data!$K:$K,Data!$A:$A,Vitezistii!$B21,Data!$C:$C,Vitezistii!C$1)=0," ",SUMIFS(Data!$K:$K,Data!$A:$A,Vitezistii!$B21,Data!$C:$C,Vitezistii!C$1))+SUMIFS(Data!$S:$S,Data!$A:$A,Vitezistii!$B21,Data!$C:$C,Vitezistii!C$1),0)</f>
        <v>6.5</v>
      </c>
      <c r="D21" s="31">
        <f>IFERROR(IF(SUMIFS(Data!$K:$K,Data!$A:$A,Vitezistii!$B21,Data!$C:$C,Vitezistii!D$1)=0," ",SUMIFS(Data!$K:$K,Data!$A:$A,Vitezistii!$B21,Data!$C:$C,Vitezistii!D$1))+SUMIFS(Data!$S:$S,Data!$A:$A,Vitezistii!$B21,Data!$C:$C,Vitezistii!D$1),0)</f>
        <v>4</v>
      </c>
      <c r="E21" s="31">
        <f>IFERROR(IF(SUMIFS(Data!$K:$K,Data!$A:$A,Vitezistii!$B21,Data!$C:$C,Vitezistii!E$1)=0," ",SUMIFS(Data!$K:$K,Data!$A:$A,Vitezistii!$B21,Data!$C:$C,Vitezistii!E$1))+SUMIFS(Data!$S:$S,Data!$A:$A,Vitezistii!$B21,Data!$C:$C,Vitezistii!E$1),0)</f>
        <v>4</v>
      </c>
      <c r="F21" s="31">
        <f>IFERROR(IF(SUMIFS(Data!$K:$K,Data!$A:$A,Vitezistii!$B21,Data!$C:$C,Vitezistii!F$1)=0," ",SUMIFS(Data!$K:$K,Data!$A:$A,Vitezistii!$B21,Data!$C:$C,Vitezistii!F$1))+SUMIFS(Data!$S:$S,Data!$A:$A,Vitezistii!$B21,Data!$C:$C,Vitezistii!F$1),0)</f>
        <v>4</v>
      </c>
      <c r="G21" s="31">
        <f>IFERROR(IF(SUMIFS(Data!$K:$K,Data!$A:$A,Vitezistii!$B21,Data!$C:$C,Vitezistii!G$1)=0," ",SUMIFS(Data!$K:$K,Data!$A:$A,Vitezistii!$B21,Data!$C:$C,Vitezistii!G$1))+SUMIFS(Data!$S:$S,Data!$A:$A,Vitezistii!$B21,Data!$C:$C,Vitezistii!G$1),0)</f>
        <v>3.5</v>
      </c>
      <c r="H21" s="31">
        <f>IFERROR(IF(SUMIFS(Data!$K:$K,Data!$A:$A,Vitezistii!$B21,Data!$C:$C,Vitezistii!H$1)=0," ",SUMIFS(Data!$K:$K,Data!$A:$A,Vitezistii!$B21,Data!$C:$C,Vitezistii!H$1))+SUMIFS(Data!$S:$S,Data!$A:$A,Vitezistii!$B21,Data!$C:$C,Vitezistii!H$1),0)</f>
        <v>3</v>
      </c>
      <c r="I21" s="31">
        <f>IFERROR(IF(SUMIFS(Data!$K:$K,Data!$A:$A,Vitezistii!$B21,Data!$C:$C,Vitezistii!I$1)=0," ",SUMIFS(Data!$K:$K,Data!$A:$A,Vitezistii!$B21,Data!$C:$C,Vitezistii!I$1))+SUMIFS(Data!$S:$S,Data!$A:$A,Vitezistii!$B21,Data!$C:$C,Vitezistii!I$1),0)</f>
        <v>2</v>
      </c>
      <c r="J21" s="31">
        <f>IFERROR(IF(SUMIFS(Data!$K:$K,Data!$A:$A,Vitezistii!$B21,Data!$C:$C,Vitezistii!J$1)=0," ",SUMIFS(Data!$K:$K,Data!$A:$A,Vitezistii!$B21,Data!$C:$C,Vitezistii!J$1))+SUMIFS(Data!$S:$S,Data!$A:$A,Vitezistii!$B21,Data!$C:$C,Vitezistii!J$1),0)</f>
        <v>5.15</v>
      </c>
      <c r="K21" s="31">
        <f>IFERROR(IF(SUMIFS(Data!$K:$K,Data!$A:$A,Vitezistii!$B21,Data!$C:$C,Vitezistii!K$1)=0," ",SUMIFS(Data!$K:$K,Data!$A:$A,Vitezistii!$B21,Data!$C:$C,Vitezistii!K$1))+SUMIFS(Data!$S:$S,Data!$A:$A,Vitezistii!$B21,Data!$C:$C,Vitezistii!K$1),0)</f>
        <v>3.5</v>
      </c>
      <c r="L21" s="31">
        <f>IFERROR(IF(SUMIFS(Data!$K:$K,Data!$A:$A,Vitezistii!$B21,Data!$C:$C,Vitezistii!L$1)=0," ",SUMIFS(Data!$K:$K,Data!$A:$A,Vitezistii!$B21,Data!$C:$C,Vitezistii!L$1))+SUMIFS(Data!$S:$S,Data!$A:$A,Vitezistii!$B21,Data!$C:$C,Vitezistii!L$1),0)</f>
        <v>4</v>
      </c>
      <c r="M21" s="31">
        <f>IFERROR(IF(SUMIFS(Data!$K:$K,Data!$A:$A,Vitezistii!$B21,Data!$C:$C,Vitezistii!M$1)=0," ",SUMIFS(Data!$K:$K,Data!$A:$A,Vitezistii!$B21,Data!$C:$C,Vitezistii!M$1))+SUMIFS(Data!$S:$S,Data!$A:$A,Vitezistii!$B21,Data!$C:$C,Vitezistii!M$1),0)</f>
        <v>0</v>
      </c>
      <c r="N21" s="31">
        <f>IFERROR(IF(SUMIFS(Data!$K:$K,Data!$A:$A,Vitezistii!$B21,Data!$C:$C,Vitezistii!N$1)=0," ",SUMIFS(Data!$K:$K,Data!$A:$A,Vitezistii!$B21,Data!$C:$C,Vitezistii!N$1))+SUMIFS(Data!$S:$S,Data!$A:$A,Vitezistii!$B21,Data!$C:$C,Vitezistii!N$1),0)</f>
        <v>0</v>
      </c>
      <c r="O21" s="31">
        <f>IFERROR(IF(SUMIFS(Data!$K:$K,Data!$A:$A,Vitezistii!$B21,Data!$C:$C,Vitezistii!O$1)=0," ",SUMIFS(Data!$K:$K,Data!$A:$A,Vitezistii!$B21,Data!$C:$C,Vitezistii!O$1))+SUMIFS(Data!$S:$S,Data!$A:$A,Vitezistii!$B21,Data!$C:$C,Vitezistii!O$1),0)</f>
        <v>0</v>
      </c>
      <c r="P21" s="31">
        <f>IFERROR(IF(SUMIFS(Data!$K:$K,Data!$A:$A,Vitezistii!$B21,Data!$C:$C,Vitezistii!P$1)=0," ",SUMIFS(Data!$K:$K,Data!$A:$A,Vitezistii!$B21,Data!$C:$C,Vitezistii!P$1))+SUMIFS(Data!$S:$S,Data!$A:$A,Vitezistii!$B21,Data!$C:$C,Vitezistii!P$1),0)</f>
        <v>0</v>
      </c>
      <c r="Q21" s="31">
        <f>IFERROR(IF(SUMIFS(Data!$K:$K,Data!$A:$A,Vitezistii!$B21,Data!$C:$C,Vitezistii!Q$1)=0," ",SUMIFS(Data!$K:$K,Data!$A:$A,Vitezistii!$B21,Data!$C:$C,Vitezistii!Q$1))+SUMIFS(Data!$S:$S,Data!$A:$A,Vitezistii!$B21,Data!$C:$C,Vitezistii!Q$1),0)</f>
        <v>0</v>
      </c>
      <c r="R21" s="31">
        <f>SUM(C21:Q21)</f>
        <v>39.65</v>
      </c>
      <c r="S21" s="31">
        <f>SUMIFS(Data!D:D,Data!A:A,Vitezistii!B81)</f>
        <v>132.47</v>
      </c>
      <c r="T21" s="12">
        <f>SUMIFS(Data!I:I,Data!A:A,Vitezistii!B21)/COUNTIF(Data!A:A,Vitezistii!B21)</f>
        <v>3.130524908010393E-3</v>
      </c>
    </row>
    <row r="22" spans="1:20" ht="13" x14ac:dyDescent="0.3">
      <c r="A22" s="79">
        <v>21</v>
      </c>
      <c r="B22" s="30" t="s">
        <v>288</v>
      </c>
      <c r="C22" s="31">
        <f>IFERROR(IF(SUMIFS(Data!$K:$K,Data!$A:$A,Vitezistii!$B22,Data!$C:$C,Vitezistii!C$1)=0," ",SUMIFS(Data!$K:$K,Data!$A:$A,Vitezistii!$B22,Data!$C:$C,Vitezistii!C$1))+SUMIFS(Data!$S:$S,Data!$A:$A,Vitezistii!$B22,Data!$C:$C,Vitezistii!C$1),0)</f>
        <v>4.5</v>
      </c>
      <c r="D22" s="31">
        <f>IFERROR(IF(SUMIFS(Data!$K:$K,Data!$A:$A,Vitezistii!$B22,Data!$C:$C,Vitezistii!D$1)=0," ",SUMIFS(Data!$K:$K,Data!$A:$A,Vitezistii!$B22,Data!$C:$C,Vitezistii!D$1))+SUMIFS(Data!$S:$S,Data!$A:$A,Vitezistii!$B22,Data!$C:$C,Vitezistii!D$1),0)</f>
        <v>3</v>
      </c>
      <c r="E22" s="31">
        <f>IFERROR(IF(SUMIFS(Data!$K:$K,Data!$A:$A,Vitezistii!$B22,Data!$C:$C,Vitezistii!E$1)=0," ",SUMIFS(Data!$K:$K,Data!$A:$A,Vitezistii!$B22,Data!$C:$C,Vitezistii!E$1))+SUMIFS(Data!$S:$S,Data!$A:$A,Vitezistii!$B22,Data!$C:$C,Vitezistii!E$1),0)</f>
        <v>3</v>
      </c>
      <c r="F22" s="31">
        <f>IFERROR(IF(SUMIFS(Data!$K:$K,Data!$A:$A,Vitezistii!$B22,Data!$C:$C,Vitezistii!F$1)=0," ",SUMIFS(Data!$K:$K,Data!$A:$A,Vitezistii!$B22,Data!$C:$C,Vitezistii!F$1))+SUMIFS(Data!$S:$S,Data!$A:$A,Vitezistii!$B22,Data!$C:$C,Vitezistii!F$1),0)</f>
        <v>2.5</v>
      </c>
      <c r="G22" s="31">
        <f>IFERROR(IF(SUMIFS(Data!$K:$K,Data!$A:$A,Vitezistii!$B22,Data!$C:$C,Vitezistii!G$1)=0," ",SUMIFS(Data!$K:$K,Data!$A:$A,Vitezistii!$B22,Data!$C:$C,Vitezistii!G$1))+SUMIFS(Data!$S:$S,Data!$A:$A,Vitezistii!$B22,Data!$C:$C,Vitezistii!G$1),0)</f>
        <v>1.5</v>
      </c>
      <c r="H22" s="31">
        <f>IFERROR(IF(SUMIFS(Data!$K:$K,Data!$A:$A,Vitezistii!$B22,Data!$C:$C,Vitezistii!H$1)=0," ",SUMIFS(Data!$K:$K,Data!$A:$A,Vitezistii!$B22,Data!$C:$C,Vitezistii!H$1))+SUMIFS(Data!$S:$S,Data!$A:$A,Vitezistii!$B22,Data!$C:$C,Vitezistii!H$1),0)</f>
        <v>2.5</v>
      </c>
      <c r="I22" s="31">
        <f>IFERROR(IF(SUMIFS(Data!$K:$K,Data!$A:$A,Vitezistii!$B22,Data!$C:$C,Vitezistii!I$1)=0," ",SUMIFS(Data!$K:$K,Data!$A:$A,Vitezistii!$B22,Data!$C:$C,Vitezistii!I$1))+SUMIFS(Data!$S:$S,Data!$A:$A,Vitezistii!$B22,Data!$C:$C,Vitezistii!I$1),0)</f>
        <v>3</v>
      </c>
      <c r="J22" s="31">
        <f>IFERROR(IF(SUMIFS(Data!$K:$K,Data!$A:$A,Vitezistii!$B22,Data!$C:$C,Vitezistii!J$1)=0," ",SUMIFS(Data!$K:$K,Data!$A:$A,Vitezistii!$B22,Data!$C:$C,Vitezistii!J$1))+SUMIFS(Data!$S:$S,Data!$A:$A,Vitezistii!$B22,Data!$C:$C,Vitezistii!J$1),0)</f>
        <v>2.5</v>
      </c>
      <c r="K22" s="31">
        <f>IFERROR(IF(SUMIFS(Data!$K:$K,Data!$A:$A,Vitezistii!$B22,Data!$C:$C,Vitezistii!K$1)=0," ",SUMIFS(Data!$K:$K,Data!$A:$A,Vitezistii!$B22,Data!$C:$C,Vitezistii!K$1))+SUMIFS(Data!$S:$S,Data!$A:$A,Vitezistii!$B22,Data!$C:$C,Vitezistii!K$1),0)</f>
        <v>1.75</v>
      </c>
      <c r="L22" s="31">
        <f>IFERROR(IF(SUMIFS(Data!$K:$K,Data!$A:$A,Vitezistii!$B22,Data!$C:$C,Vitezistii!L$1)=0," ",SUMIFS(Data!$K:$K,Data!$A:$A,Vitezistii!$B22,Data!$C:$C,Vitezistii!L$1))+SUMIFS(Data!$S:$S,Data!$A:$A,Vitezistii!$B22,Data!$C:$C,Vitezistii!L$1),0)</f>
        <v>3</v>
      </c>
      <c r="M22" s="31">
        <f>IFERROR(IF(SUMIFS(Data!$K:$K,Data!$A:$A,Vitezistii!$B22,Data!$C:$C,Vitezistii!M$1)=0," ",SUMIFS(Data!$K:$K,Data!$A:$A,Vitezistii!$B22,Data!$C:$C,Vitezistii!M$1))+SUMIFS(Data!$S:$S,Data!$A:$A,Vitezistii!$B22,Data!$C:$C,Vitezistii!M$1),0)</f>
        <v>4</v>
      </c>
      <c r="N22" s="31">
        <f>IFERROR(IF(SUMIFS(Data!$K:$K,Data!$A:$A,Vitezistii!$B22,Data!$C:$C,Vitezistii!N$1)=0," ",SUMIFS(Data!$K:$K,Data!$A:$A,Vitezistii!$B22,Data!$C:$C,Vitezistii!N$1))+SUMIFS(Data!$S:$S,Data!$A:$A,Vitezistii!$B22,Data!$C:$C,Vitezistii!N$1),0)</f>
        <v>3</v>
      </c>
      <c r="O22" s="31">
        <f>IFERROR(IF(SUMIFS(Data!$K:$K,Data!$A:$A,Vitezistii!$B22,Data!$C:$C,Vitezistii!O$1)=0," ",SUMIFS(Data!$K:$K,Data!$A:$A,Vitezistii!$B22,Data!$C:$C,Vitezistii!O$1))+SUMIFS(Data!$S:$S,Data!$A:$A,Vitezistii!$B22,Data!$C:$C,Vitezistii!O$1),0)</f>
        <v>1.75</v>
      </c>
      <c r="P22" s="31">
        <f>IFERROR(IF(SUMIFS(Data!$K:$K,Data!$A:$A,Vitezistii!$B22,Data!$C:$C,Vitezistii!P$1)=0," ",SUMIFS(Data!$K:$K,Data!$A:$A,Vitezistii!$B22,Data!$C:$C,Vitezistii!P$1))+SUMIFS(Data!$S:$S,Data!$A:$A,Vitezistii!$B22,Data!$C:$C,Vitezistii!P$1),0)</f>
        <v>0</v>
      </c>
      <c r="Q22" s="31">
        <f>IFERROR(IF(SUMIFS(Data!$K:$K,Data!$A:$A,Vitezistii!$B22,Data!$C:$C,Vitezistii!Q$1)=0," ",SUMIFS(Data!$K:$K,Data!$A:$A,Vitezistii!$B22,Data!$C:$C,Vitezistii!Q$1))+SUMIFS(Data!$S:$S,Data!$A:$A,Vitezistii!$B22,Data!$C:$C,Vitezistii!Q$1),0)</f>
        <v>3.5</v>
      </c>
      <c r="R22" s="31">
        <f>SUM(C22:Q22)</f>
        <v>39.5</v>
      </c>
      <c r="S22" s="31">
        <f>SUMIFS(Data!D:D,Data!A:A,Vitezistii!B82)</f>
        <v>22.080000000000002</v>
      </c>
      <c r="T22" s="12">
        <f>SUMIFS(Data!I:I,Data!A:A,Vitezistii!B22)/COUNTIF(Data!A:A,Vitezistii!B22)</f>
        <v>3.2427558256603543E-3</v>
      </c>
    </row>
    <row r="23" spans="1:20" ht="13" x14ac:dyDescent="0.3">
      <c r="A23" s="79">
        <v>22</v>
      </c>
      <c r="B23" s="30" t="s">
        <v>361</v>
      </c>
      <c r="C23" s="31">
        <f>IFERROR(IF(SUMIFS(Data!$K:$K,Data!$A:$A,Vitezistii!$B23,Data!$C:$C,Vitezistii!C$1)=0," ",SUMIFS(Data!$K:$K,Data!$A:$A,Vitezistii!$B23,Data!$C:$C,Vitezistii!C$1))+SUMIFS(Data!$S:$S,Data!$A:$A,Vitezistii!$B23,Data!$C:$C,Vitezistii!C$1),0)</f>
        <v>2.5</v>
      </c>
      <c r="D23" s="31">
        <f>IFERROR(IF(SUMIFS(Data!$K:$K,Data!$A:$A,Vitezistii!$B23,Data!$C:$C,Vitezistii!D$1)=0," ",SUMIFS(Data!$K:$K,Data!$A:$A,Vitezistii!$B23,Data!$C:$C,Vitezistii!D$1))+SUMIFS(Data!$S:$S,Data!$A:$A,Vitezistii!$B23,Data!$C:$C,Vitezistii!D$1),0)</f>
        <v>2</v>
      </c>
      <c r="E23" s="31">
        <f>IFERROR(IF(SUMIFS(Data!$K:$K,Data!$A:$A,Vitezistii!$B23,Data!$C:$C,Vitezistii!E$1)=0," ",SUMIFS(Data!$K:$K,Data!$A:$A,Vitezistii!$B23,Data!$C:$C,Vitezistii!E$1))+SUMIFS(Data!$S:$S,Data!$A:$A,Vitezistii!$B23,Data!$C:$C,Vitezistii!E$1),0)</f>
        <v>7.25</v>
      </c>
      <c r="F23" s="31">
        <f>IFERROR(IF(SUMIFS(Data!$K:$K,Data!$A:$A,Vitezistii!$B23,Data!$C:$C,Vitezistii!F$1)=0," ",SUMIFS(Data!$K:$K,Data!$A:$A,Vitezistii!$B23,Data!$C:$C,Vitezistii!F$1))+SUMIFS(Data!$S:$S,Data!$A:$A,Vitezistii!$B23,Data!$C:$C,Vitezistii!F$1),0)</f>
        <v>2.5</v>
      </c>
      <c r="G23" s="31">
        <f>IFERROR(IF(SUMIFS(Data!$K:$K,Data!$A:$A,Vitezistii!$B23,Data!$C:$C,Vitezistii!G$1)=0," ",SUMIFS(Data!$K:$K,Data!$A:$A,Vitezistii!$B23,Data!$C:$C,Vitezistii!G$1))+SUMIFS(Data!$S:$S,Data!$A:$A,Vitezistii!$B23,Data!$C:$C,Vitezistii!G$1),0)</f>
        <v>4</v>
      </c>
      <c r="H23" s="31">
        <f>IFERROR(IF(SUMIFS(Data!$K:$K,Data!$A:$A,Vitezistii!$B23,Data!$C:$C,Vitezistii!H$1)=0," ",SUMIFS(Data!$K:$K,Data!$A:$A,Vitezistii!$B23,Data!$C:$C,Vitezistii!H$1))+SUMIFS(Data!$S:$S,Data!$A:$A,Vitezistii!$B23,Data!$C:$C,Vitezistii!H$1),0)</f>
        <v>4</v>
      </c>
      <c r="I23" s="31">
        <f>IFERROR(IF(SUMIFS(Data!$K:$K,Data!$A:$A,Vitezistii!$B23,Data!$C:$C,Vitezistii!I$1)=0," ",SUMIFS(Data!$K:$K,Data!$A:$A,Vitezistii!$B23,Data!$C:$C,Vitezistii!I$1))+SUMIFS(Data!$S:$S,Data!$A:$A,Vitezistii!$B23,Data!$C:$C,Vitezistii!I$1),0)</f>
        <v>1.25</v>
      </c>
      <c r="J23" s="31">
        <f>IFERROR(IF(SUMIFS(Data!$K:$K,Data!$A:$A,Vitezistii!$B23,Data!$C:$C,Vitezistii!J$1)=0," ",SUMIFS(Data!$K:$K,Data!$A:$A,Vitezistii!$B23,Data!$C:$C,Vitezistii!J$1))+SUMIFS(Data!$S:$S,Data!$A:$A,Vitezistii!$B23,Data!$C:$C,Vitezistii!J$1),0)</f>
        <v>3</v>
      </c>
      <c r="K23" s="31">
        <f>IFERROR(IF(SUMIFS(Data!$K:$K,Data!$A:$A,Vitezistii!$B23,Data!$C:$C,Vitezistii!K$1)=0," ",SUMIFS(Data!$K:$K,Data!$A:$A,Vitezistii!$B23,Data!$C:$C,Vitezistii!K$1))+SUMIFS(Data!$S:$S,Data!$A:$A,Vitezistii!$B23,Data!$C:$C,Vitezistii!K$1),0)</f>
        <v>1.75</v>
      </c>
      <c r="L23" s="31">
        <f>IFERROR(IF(SUMIFS(Data!$K:$K,Data!$A:$A,Vitezistii!$B23,Data!$C:$C,Vitezistii!L$1)=0," ",SUMIFS(Data!$K:$K,Data!$A:$A,Vitezistii!$B23,Data!$C:$C,Vitezistii!L$1))+SUMIFS(Data!$S:$S,Data!$A:$A,Vitezistii!$B23,Data!$C:$C,Vitezistii!L$1),0)</f>
        <v>3</v>
      </c>
      <c r="M23" s="31">
        <f>IFERROR(IF(SUMIFS(Data!$K:$K,Data!$A:$A,Vitezistii!$B23,Data!$C:$C,Vitezistii!M$1)=0," ",SUMIFS(Data!$K:$K,Data!$A:$A,Vitezistii!$B23,Data!$C:$C,Vitezistii!M$1))+SUMIFS(Data!$S:$S,Data!$A:$A,Vitezistii!$B23,Data!$C:$C,Vitezistii!M$1),0)</f>
        <v>0</v>
      </c>
      <c r="N23" s="31">
        <f>IFERROR(IF(SUMIFS(Data!$K:$K,Data!$A:$A,Vitezistii!$B23,Data!$C:$C,Vitezistii!N$1)=0," ",SUMIFS(Data!$K:$K,Data!$A:$A,Vitezistii!$B23,Data!$C:$C,Vitezistii!N$1))+SUMIFS(Data!$S:$S,Data!$A:$A,Vitezistii!$B23,Data!$C:$C,Vitezistii!N$1),0)</f>
        <v>1.5</v>
      </c>
      <c r="O23" s="31">
        <f>IFERROR(IF(SUMIFS(Data!$K:$K,Data!$A:$A,Vitezistii!$B23,Data!$C:$C,Vitezistii!O$1)=0," ",SUMIFS(Data!$K:$K,Data!$A:$A,Vitezistii!$B23,Data!$C:$C,Vitezistii!O$1))+SUMIFS(Data!$S:$S,Data!$A:$A,Vitezistii!$B23,Data!$C:$C,Vitezistii!O$1),0)</f>
        <v>0.25</v>
      </c>
      <c r="P23" s="31">
        <f>IFERROR(IF(SUMIFS(Data!$K:$K,Data!$A:$A,Vitezistii!$B23,Data!$C:$C,Vitezistii!P$1)=0," ",SUMIFS(Data!$K:$K,Data!$A:$A,Vitezistii!$B23,Data!$C:$C,Vitezistii!P$1))+SUMIFS(Data!$S:$S,Data!$A:$A,Vitezistii!$B23,Data!$C:$C,Vitezistii!P$1),0)</f>
        <v>2</v>
      </c>
      <c r="Q23" s="31">
        <f>IFERROR(IF(SUMIFS(Data!$K:$K,Data!$A:$A,Vitezistii!$B23,Data!$C:$C,Vitezistii!Q$1)=0," ",SUMIFS(Data!$K:$K,Data!$A:$A,Vitezistii!$B23,Data!$C:$C,Vitezistii!Q$1))+SUMIFS(Data!$S:$S,Data!$A:$A,Vitezistii!$B23,Data!$C:$C,Vitezistii!Q$1),0)</f>
        <v>4.5</v>
      </c>
      <c r="R23" s="31">
        <f>SUM(C23:Q23)</f>
        <v>39.5</v>
      </c>
      <c r="S23" s="31">
        <f>SUMIFS(Data!D:D,Data!A:A,Vitezistii!B83)</f>
        <v>121.16</v>
      </c>
      <c r="T23" s="12">
        <f>SUMIFS(Data!I:I,Data!A:A,Vitezistii!B23)/COUNTIF(Data!A:A,Vitezistii!B23)</f>
        <v>3.5777062229596884E-3</v>
      </c>
    </row>
    <row r="24" spans="1:20" ht="13" x14ac:dyDescent="0.3">
      <c r="A24" s="79">
        <v>23</v>
      </c>
      <c r="B24" s="30" t="s">
        <v>343</v>
      </c>
      <c r="C24" s="31">
        <f>IFERROR(IF(SUMIFS(Data!$K:$K,Data!$A:$A,Vitezistii!$B24,Data!$C:$C,Vitezistii!C$1)=0," ",SUMIFS(Data!$K:$K,Data!$A:$A,Vitezistii!$B24,Data!$C:$C,Vitezistii!C$1))+SUMIFS(Data!$S:$S,Data!$A:$A,Vitezistii!$B24,Data!$C:$C,Vitezistii!C$1),0)</f>
        <v>4.5</v>
      </c>
      <c r="D24" s="31">
        <f>IFERROR(IF(SUMIFS(Data!$K:$K,Data!$A:$A,Vitezistii!$B24,Data!$C:$C,Vitezistii!D$1)=0," ",SUMIFS(Data!$K:$K,Data!$A:$A,Vitezistii!$B24,Data!$C:$C,Vitezistii!D$1))+SUMIFS(Data!$S:$S,Data!$A:$A,Vitezistii!$B24,Data!$C:$C,Vitezistii!D$1),0)</f>
        <v>4</v>
      </c>
      <c r="E24" s="31">
        <f>IFERROR(IF(SUMIFS(Data!$K:$K,Data!$A:$A,Vitezistii!$B24,Data!$C:$C,Vitezistii!E$1)=0," ",SUMIFS(Data!$K:$K,Data!$A:$A,Vitezistii!$B24,Data!$C:$C,Vitezistii!E$1))+SUMIFS(Data!$S:$S,Data!$A:$A,Vitezistii!$B24,Data!$C:$C,Vitezistii!E$1),0)</f>
        <v>4</v>
      </c>
      <c r="F24" s="31">
        <f>IFERROR(IF(SUMIFS(Data!$K:$K,Data!$A:$A,Vitezistii!$B24,Data!$C:$C,Vitezistii!F$1)=0," ",SUMIFS(Data!$K:$K,Data!$A:$A,Vitezistii!$B24,Data!$C:$C,Vitezistii!F$1))+SUMIFS(Data!$S:$S,Data!$A:$A,Vitezistii!$B24,Data!$C:$C,Vitezistii!F$1),0)</f>
        <v>4</v>
      </c>
      <c r="G24" s="31">
        <f>IFERROR(IF(SUMIFS(Data!$K:$K,Data!$A:$A,Vitezistii!$B24,Data!$C:$C,Vitezistii!G$1)=0," ",SUMIFS(Data!$K:$K,Data!$A:$A,Vitezistii!$B24,Data!$C:$C,Vitezistii!G$1))+SUMIFS(Data!$S:$S,Data!$A:$A,Vitezistii!$B24,Data!$C:$C,Vitezistii!G$1),0)</f>
        <v>4</v>
      </c>
      <c r="H24" s="31">
        <f>IFERROR(IF(SUMIFS(Data!$K:$K,Data!$A:$A,Vitezistii!$B24,Data!$C:$C,Vitezistii!H$1)=0," ",SUMIFS(Data!$K:$K,Data!$A:$A,Vitezistii!$B24,Data!$C:$C,Vitezistii!H$1))+SUMIFS(Data!$S:$S,Data!$A:$A,Vitezistii!$B24,Data!$C:$C,Vitezistii!H$1),0)</f>
        <v>4.5</v>
      </c>
      <c r="I24" s="31">
        <f>IFERROR(IF(SUMIFS(Data!$K:$K,Data!$A:$A,Vitezistii!$B24,Data!$C:$C,Vitezistii!I$1)=0," ",SUMIFS(Data!$K:$K,Data!$A:$A,Vitezistii!$B24,Data!$C:$C,Vitezistii!I$1))+SUMIFS(Data!$S:$S,Data!$A:$A,Vitezistii!$B24,Data!$C:$C,Vitezistii!I$1),0)</f>
        <v>4</v>
      </c>
      <c r="J24" s="31">
        <f>IFERROR(IF(SUMIFS(Data!$K:$K,Data!$A:$A,Vitezistii!$B24,Data!$C:$C,Vitezistii!J$1)=0," ",SUMIFS(Data!$K:$K,Data!$A:$A,Vitezistii!$B24,Data!$C:$C,Vitezistii!J$1))+SUMIFS(Data!$S:$S,Data!$A:$A,Vitezistii!$B24,Data!$C:$C,Vitezistii!J$1),0)</f>
        <v>5</v>
      </c>
      <c r="K24" s="31">
        <f>IFERROR(IF(SUMIFS(Data!$K:$K,Data!$A:$A,Vitezistii!$B24,Data!$C:$C,Vitezistii!K$1)=0," ",SUMIFS(Data!$K:$K,Data!$A:$A,Vitezistii!$B24,Data!$C:$C,Vitezistii!K$1))+SUMIFS(Data!$S:$S,Data!$A:$A,Vitezistii!$B24,Data!$C:$C,Vitezistii!K$1),0)</f>
        <v>4.5</v>
      </c>
      <c r="L24" s="31">
        <f>IFERROR(IF(SUMIFS(Data!$K:$K,Data!$A:$A,Vitezistii!$B24,Data!$C:$C,Vitezistii!L$1)=0," ",SUMIFS(Data!$K:$K,Data!$A:$A,Vitezistii!$B24,Data!$C:$C,Vitezistii!L$1))+SUMIFS(Data!$S:$S,Data!$A:$A,Vitezistii!$B24,Data!$C:$C,Vitezistii!L$1),0)</f>
        <v>0</v>
      </c>
      <c r="M24" s="31">
        <f>IFERROR(IF(SUMIFS(Data!$K:$K,Data!$A:$A,Vitezistii!$B24,Data!$C:$C,Vitezistii!M$1)=0," ",SUMIFS(Data!$K:$K,Data!$A:$A,Vitezistii!$B24,Data!$C:$C,Vitezistii!M$1))+SUMIFS(Data!$S:$S,Data!$A:$A,Vitezistii!$B24,Data!$C:$C,Vitezistii!M$1),0)</f>
        <v>0</v>
      </c>
      <c r="N24" s="31">
        <f>IFERROR(IF(SUMIFS(Data!$K:$K,Data!$A:$A,Vitezistii!$B24,Data!$C:$C,Vitezistii!N$1)=0," ",SUMIFS(Data!$K:$K,Data!$A:$A,Vitezistii!$B24,Data!$C:$C,Vitezistii!N$1))+SUMIFS(Data!$S:$S,Data!$A:$A,Vitezistii!$B24,Data!$C:$C,Vitezistii!N$1),0)</f>
        <v>0</v>
      </c>
      <c r="O24" s="31">
        <f>IFERROR(IF(SUMIFS(Data!$K:$K,Data!$A:$A,Vitezistii!$B24,Data!$C:$C,Vitezistii!O$1)=0," ",SUMIFS(Data!$K:$K,Data!$A:$A,Vitezistii!$B24,Data!$C:$C,Vitezistii!O$1))+SUMIFS(Data!$S:$S,Data!$A:$A,Vitezistii!$B24,Data!$C:$C,Vitezistii!O$1),0)</f>
        <v>0</v>
      </c>
      <c r="P24" s="31">
        <f>IFERROR(IF(SUMIFS(Data!$K:$K,Data!$A:$A,Vitezistii!$B24,Data!$C:$C,Vitezistii!P$1)=0," ",SUMIFS(Data!$K:$K,Data!$A:$A,Vitezistii!$B24,Data!$C:$C,Vitezistii!P$1))+SUMIFS(Data!$S:$S,Data!$A:$A,Vitezistii!$B24,Data!$C:$C,Vitezistii!P$1),0)</f>
        <v>0</v>
      </c>
      <c r="Q24" s="31">
        <f>IFERROR(IF(SUMIFS(Data!$K:$K,Data!$A:$A,Vitezistii!$B24,Data!$C:$C,Vitezistii!Q$1)=0," ",SUMIFS(Data!$K:$K,Data!$A:$A,Vitezistii!$B24,Data!$C:$C,Vitezistii!Q$1))+SUMIFS(Data!$S:$S,Data!$A:$A,Vitezistii!$B24,Data!$C:$C,Vitezistii!Q$1),0)</f>
        <v>0</v>
      </c>
      <c r="R24" s="31">
        <f>SUM(C24:Q24)</f>
        <v>38.5</v>
      </c>
      <c r="S24" s="31">
        <f>SUMIFS(Data!D:D,Data!A:A,Vitezistii!B84)</f>
        <v>94.56</v>
      </c>
      <c r="T24" s="12">
        <f>SUMIFS(Data!I:I,Data!A:A,Vitezistii!B24)/COUNTIF(Data!A:A,Vitezistii!B24)</f>
        <v>2.965543547784188E-3</v>
      </c>
    </row>
    <row r="25" spans="1:20" ht="13" x14ac:dyDescent="0.3">
      <c r="A25" s="79">
        <v>24</v>
      </c>
      <c r="B25" s="30" t="s">
        <v>204</v>
      </c>
      <c r="C25" s="31">
        <f>IFERROR(IF(SUMIFS(Data!$K:$K,Data!$A:$A,Vitezistii!$B25,Data!$C:$C,Vitezistii!C$1)=0," ",SUMIFS(Data!$K:$K,Data!$A:$A,Vitezistii!$B25,Data!$C:$C,Vitezistii!C$1))+SUMIFS(Data!$S:$S,Data!$A:$A,Vitezistii!$B25,Data!$C:$C,Vitezistii!C$1),0)</f>
        <v>2.5</v>
      </c>
      <c r="D25" s="31">
        <f>IFERROR(IF(SUMIFS(Data!$K:$K,Data!$A:$A,Vitezistii!$B25,Data!$C:$C,Vitezistii!D$1)=0," ",SUMIFS(Data!$K:$K,Data!$A:$A,Vitezistii!$B25,Data!$C:$C,Vitezistii!D$1))+SUMIFS(Data!$S:$S,Data!$A:$A,Vitezistii!$B25,Data!$C:$C,Vitezistii!D$1),0)</f>
        <v>1.75</v>
      </c>
      <c r="E25" s="31">
        <f>IFERROR(IF(SUMIFS(Data!$K:$K,Data!$A:$A,Vitezistii!$B25,Data!$C:$C,Vitezistii!E$1)=0," ",SUMIFS(Data!$K:$K,Data!$A:$A,Vitezistii!$B25,Data!$C:$C,Vitezistii!E$1))+SUMIFS(Data!$S:$S,Data!$A:$A,Vitezistii!$B25,Data!$C:$C,Vitezistii!E$1),0)</f>
        <v>3</v>
      </c>
      <c r="F25" s="31">
        <f>IFERROR(IF(SUMIFS(Data!$K:$K,Data!$A:$A,Vitezistii!$B25,Data!$C:$C,Vitezistii!F$1)=0," ",SUMIFS(Data!$K:$K,Data!$A:$A,Vitezistii!$B25,Data!$C:$C,Vitezistii!F$1))+SUMIFS(Data!$S:$S,Data!$A:$A,Vitezistii!$B25,Data!$C:$C,Vitezistii!F$1),0)</f>
        <v>1.75</v>
      </c>
      <c r="G25" s="31">
        <f>IFERROR(IF(SUMIFS(Data!$K:$K,Data!$A:$A,Vitezistii!$B25,Data!$C:$C,Vitezistii!G$1)=0," ",SUMIFS(Data!$K:$K,Data!$A:$A,Vitezistii!$B25,Data!$C:$C,Vitezistii!G$1))+SUMIFS(Data!$S:$S,Data!$A:$A,Vitezistii!$B25,Data!$C:$C,Vitezistii!G$1),0)</f>
        <v>0.25</v>
      </c>
      <c r="H25" s="31">
        <f>IFERROR(IF(SUMIFS(Data!$K:$K,Data!$A:$A,Vitezistii!$B25,Data!$C:$C,Vitezistii!H$1)=0," ",SUMIFS(Data!$K:$K,Data!$A:$A,Vitezistii!$B25,Data!$C:$C,Vitezistii!H$1))+SUMIFS(Data!$S:$S,Data!$A:$A,Vitezistii!$B25,Data!$C:$C,Vitezistii!H$1),0)</f>
        <v>3</v>
      </c>
      <c r="I25" s="31">
        <f>IFERROR(IF(SUMIFS(Data!$K:$K,Data!$A:$A,Vitezistii!$B25,Data!$C:$C,Vitezistii!I$1)=0," ",SUMIFS(Data!$K:$K,Data!$A:$A,Vitezistii!$B25,Data!$C:$C,Vitezistii!I$1))+SUMIFS(Data!$S:$S,Data!$A:$A,Vitezistii!$B25,Data!$C:$C,Vitezistii!I$1),0)</f>
        <v>1.5</v>
      </c>
      <c r="J25" s="31">
        <f>IFERROR(IF(SUMIFS(Data!$K:$K,Data!$A:$A,Vitezistii!$B25,Data!$C:$C,Vitezistii!J$1)=0," ",SUMIFS(Data!$K:$K,Data!$A:$A,Vitezistii!$B25,Data!$C:$C,Vitezistii!J$1))+SUMIFS(Data!$S:$S,Data!$A:$A,Vitezistii!$B25,Data!$C:$C,Vitezistii!J$1),0)</f>
        <v>4.5</v>
      </c>
      <c r="K25" s="31">
        <f>IFERROR(IF(SUMIFS(Data!$K:$K,Data!$A:$A,Vitezistii!$B25,Data!$C:$C,Vitezistii!K$1)=0," ",SUMIFS(Data!$K:$K,Data!$A:$A,Vitezistii!$B25,Data!$C:$C,Vitezistii!K$1))+SUMIFS(Data!$S:$S,Data!$A:$A,Vitezistii!$B25,Data!$C:$C,Vitezistii!K$1),0)</f>
        <v>1.25</v>
      </c>
      <c r="L25" s="31">
        <f>IFERROR(IF(SUMIFS(Data!$K:$K,Data!$A:$A,Vitezistii!$B25,Data!$C:$C,Vitezistii!L$1)=0," ",SUMIFS(Data!$K:$K,Data!$A:$A,Vitezistii!$B25,Data!$C:$C,Vitezistii!L$1))+SUMIFS(Data!$S:$S,Data!$A:$A,Vitezistii!$B25,Data!$C:$C,Vitezistii!L$1),0)</f>
        <v>1.25</v>
      </c>
      <c r="M25" s="31">
        <f>IFERROR(IF(SUMIFS(Data!$K:$K,Data!$A:$A,Vitezistii!$B25,Data!$C:$C,Vitezistii!M$1)=0," ",SUMIFS(Data!$K:$K,Data!$A:$A,Vitezistii!$B25,Data!$C:$C,Vitezistii!M$1))+SUMIFS(Data!$S:$S,Data!$A:$A,Vitezistii!$B25,Data!$C:$C,Vitezistii!M$1),0)</f>
        <v>5.45</v>
      </c>
      <c r="N25" s="31">
        <f>IFERROR(IF(SUMIFS(Data!$K:$K,Data!$A:$A,Vitezistii!$B25,Data!$C:$C,Vitezistii!N$1)=0," ",SUMIFS(Data!$K:$K,Data!$A:$A,Vitezistii!$B25,Data!$C:$C,Vitezistii!N$1))+SUMIFS(Data!$S:$S,Data!$A:$A,Vitezistii!$B25,Data!$C:$C,Vitezistii!N$1),0)</f>
        <v>1.75</v>
      </c>
      <c r="O25" s="31">
        <f>IFERROR(IF(SUMIFS(Data!$K:$K,Data!$A:$A,Vitezistii!$B25,Data!$C:$C,Vitezistii!O$1)=0," ",SUMIFS(Data!$K:$K,Data!$A:$A,Vitezistii!$B25,Data!$C:$C,Vitezistii!O$1))+SUMIFS(Data!$S:$S,Data!$A:$A,Vitezistii!$B25,Data!$C:$C,Vitezistii!O$1),0)</f>
        <v>2.5</v>
      </c>
      <c r="P25" s="31">
        <f>IFERROR(IF(SUMIFS(Data!$K:$K,Data!$A:$A,Vitezistii!$B25,Data!$C:$C,Vitezistii!P$1)=0," ",SUMIFS(Data!$K:$K,Data!$A:$A,Vitezistii!$B25,Data!$C:$C,Vitezistii!P$1))+SUMIFS(Data!$S:$S,Data!$A:$A,Vitezistii!$B25,Data!$C:$C,Vitezistii!P$1),0)</f>
        <v>3.5</v>
      </c>
      <c r="Q25" s="31">
        <f>IFERROR(IF(SUMIFS(Data!$K:$K,Data!$A:$A,Vitezistii!$B25,Data!$C:$C,Vitezistii!Q$1)=0," ",SUMIFS(Data!$K:$K,Data!$A:$A,Vitezistii!$B25,Data!$C:$C,Vitezistii!Q$1))+SUMIFS(Data!$S:$S,Data!$A:$A,Vitezistii!$B25,Data!$C:$C,Vitezistii!Q$1),0)</f>
        <v>4.5</v>
      </c>
      <c r="R25" s="31">
        <f>SUM(C25:Q25)</f>
        <v>38.450000000000003</v>
      </c>
      <c r="S25" s="31">
        <f>SUMIFS(Data!D:D,Data!A:A,Vitezistii!B85)</f>
        <v>44.63</v>
      </c>
      <c r="T25" s="12">
        <f>SUMIFS(Data!I:I,Data!A:A,Vitezistii!B25)/COUNTIF(Data!A:A,Vitezistii!B25)</f>
        <v>3.6357927465713929E-3</v>
      </c>
    </row>
    <row r="26" spans="1:20" ht="13" x14ac:dyDescent="0.3">
      <c r="A26" s="79">
        <v>25</v>
      </c>
      <c r="B26" s="30" t="s">
        <v>345</v>
      </c>
      <c r="C26" s="31">
        <f>IFERROR(IF(SUMIFS(Data!$K:$K,Data!$A:$A,Vitezistii!$B26,Data!$C:$C,Vitezistii!C$1)=0," ",SUMIFS(Data!$K:$K,Data!$A:$A,Vitezistii!$B26,Data!$C:$C,Vitezistii!C$1))+SUMIFS(Data!$S:$S,Data!$A:$A,Vitezistii!$B26,Data!$C:$C,Vitezistii!C$1),0)</f>
        <v>3.5</v>
      </c>
      <c r="D26" s="31">
        <f>IFERROR(IF(SUMIFS(Data!$K:$K,Data!$A:$A,Vitezistii!$B26,Data!$C:$C,Vitezistii!D$1)=0," ",SUMIFS(Data!$K:$K,Data!$A:$A,Vitezistii!$B26,Data!$C:$C,Vitezistii!D$1))+SUMIFS(Data!$S:$S,Data!$A:$A,Vitezistii!$B26,Data!$C:$C,Vitezistii!D$1),0)</f>
        <v>2</v>
      </c>
      <c r="E26" s="31">
        <f>IFERROR(IF(SUMIFS(Data!$K:$K,Data!$A:$A,Vitezistii!$B26,Data!$C:$C,Vitezistii!E$1)=0," ",SUMIFS(Data!$K:$K,Data!$A:$A,Vitezistii!$B26,Data!$C:$C,Vitezistii!E$1))+SUMIFS(Data!$S:$S,Data!$A:$A,Vitezistii!$B26,Data!$C:$C,Vitezistii!E$1),0)</f>
        <v>3.5</v>
      </c>
      <c r="F26" s="31">
        <f>IFERROR(IF(SUMIFS(Data!$K:$K,Data!$A:$A,Vitezistii!$B26,Data!$C:$C,Vitezistii!F$1)=0," ",SUMIFS(Data!$K:$K,Data!$A:$A,Vitezistii!$B26,Data!$C:$C,Vitezistii!F$1))+SUMIFS(Data!$S:$S,Data!$A:$A,Vitezistii!$B26,Data!$C:$C,Vitezistii!F$1),0)</f>
        <v>2</v>
      </c>
      <c r="G26" s="31">
        <f>IFERROR(IF(SUMIFS(Data!$K:$K,Data!$A:$A,Vitezistii!$B26,Data!$C:$C,Vitezistii!G$1)=0," ",SUMIFS(Data!$K:$K,Data!$A:$A,Vitezistii!$B26,Data!$C:$C,Vitezistii!G$1))+SUMIFS(Data!$S:$S,Data!$A:$A,Vitezistii!$B26,Data!$C:$C,Vitezistii!G$1),0)</f>
        <v>2</v>
      </c>
      <c r="H26" s="31">
        <f>IFERROR(IF(SUMIFS(Data!$K:$K,Data!$A:$A,Vitezistii!$B26,Data!$C:$C,Vitezistii!H$1)=0," ",SUMIFS(Data!$K:$K,Data!$A:$A,Vitezistii!$B26,Data!$C:$C,Vitezistii!H$1))+SUMIFS(Data!$S:$S,Data!$A:$A,Vitezistii!$B26,Data!$C:$C,Vitezistii!H$1),0)</f>
        <v>2.5</v>
      </c>
      <c r="I26" s="31">
        <f>IFERROR(IF(SUMIFS(Data!$K:$K,Data!$A:$A,Vitezistii!$B26,Data!$C:$C,Vitezistii!I$1)=0," ",SUMIFS(Data!$K:$K,Data!$A:$A,Vitezistii!$B26,Data!$C:$C,Vitezistii!I$1))+SUMIFS(Data!$S:$S,Data!$A:$A,Vitezistii!$B26,Data!$C:$C,Vitezistii!I$1),0)</f>
        <v>3</v>
      </c>
      <c r="J26" s="31">
        <f>IFERROR(IF(SUMIFS(Data!$K:$K,Data!$A:$A,Vitezistii!$B26,Data!$C:$C,Vitezistii!J$1)=0," ",SUMIFS(Data!$K:$K,Data!$A:$A,Vitezistii!$B26,Data!$C:$C,Vitezistii!J$1))+SUMIFS(Data!$S:$S,Data!$A:$A,Vitezistii!$B26,Data!$C:$C,Vitezistii!J$1),0)</f>
        <v>4.5</v>
      </c>
      <c r="K26" s="31">
        <f>IFERROR(IF(SUMIFS(Data!$K:$K,Data!$A:$A,Vitezistii!$B26,Data!$C:$C,Vitezistii!K$1)=0," ",SUMIFS(Data!$K:$K,Data!$A:$A,Vitezistii!$B26,Data!$C:$C,Vitezistii!K$1))+SUMIFS(Data!$S:$S,Data!$A:$A,Vitezistii!$B26,Data!$C:$C,Vitezistii!K$1),0)</f>
        <v>2.5</v>
      </c>
      <c r="L26" s="31">
        <f>IFERROR(IF(SUMIFS(Data!$K:$K,Data!$A:$A,Vitezistii!$B26,Data!$C:$C,Vitezistii!L$1)=0," ",SUMIFS(Data!$K:$K,Data!$A:$A,Vitezistii!$B26,Data!$C:$C,Vitezistii!L$1))+SUMIFS(Data!$S:$S,Data!$A:$A,Vitezistii!$B26,Data!$C:$C,Vitezistii!L$1),0)</f>
        <v>0</v>
      </c>
      <c r="M26" s="31">
        <f>IFERROR(IF(SUMIFS(Data!$K:$K,Data!$A:$A,Vitezistii!$B26,Data!$C:$C,Vitezistii!M$1)=0," ",SUMIFS(Data!$K:$K,Data!$A:$A,Vitezistii!$B26,Data!$C:$C,Vitezistii!M$1))+SUMIFS(Data!$S:$S,Data!$A:$A,Vitezistii!$B26,Data!$C:$C,Vitezistii!M$1),0)</f>
        <v>2.5</v>
      </c>
      <c r="N26" s="31">
        <f>IFERROR(IF(SUMIFS(Data!$K:$K,Data!$A:$A,Vitezistii!$B26,Data!$C:$C,Vitezistii!N$1)=0," ",SUMIFS(Data!$K:$K,Data!$A:$A,Vitezistii!$B26,Data!$C:$C,Vitezistii!N$1))+SUMIFS(Data!$S:$S,Data!$A:$A,Vitezistii!$B26,Data!$C:$C,Vitezistii!N$1),0)</f>
        <v>2.5</v>
      </c>
      <c r="O26" s="31">
        <f>IFERROR(IF(SUMIFS(Data!$K:$K,Data!$A:$A,Vitezistii!$B26,Data!$C:$C,Vitezistii!O$1)=0," ",SUMIFS(Data!$K:$K,Data!$A:$A,Vitezistii!$B26,Data!$C:$C,Vitezistii!O$1))+SUMIFS(Data!$S:$S,Data!$A:$A,Vitezistii!$B26,Data!$C:$C,Vitezistii!O$1),0)</f>
        <v>2</v>
      </c>
      <c r="P26" s="31">
        <f>IFERROR(IF(SUMIFS(Data!$K:$K,Data!$A:$A,Vitezistii!$B26,Data!$C:$C,Vitezistii!P$1)=0," ",SUMIFS(Data!$K:$K,Data!$A:$A,Vitezistii!$B26,Data!$C:$C,Vitezistii!P$1))+SUMIFS(Data!$S:$S,Data!$A:$A,Vitezistii!$B26,Data!$C:$C,Vitezistii!P$1),0)</f>
        <v>3</v>
      </c>
      <c r="Q26" s="31">
        <f>IFERROR(IF(SUMIFS(Data!$K:$K,Data!$A:$A,Vitezistii!$B26,Data!$C:$C,Vitezistii!Q$1)=0," ",SUMIFS(Data!$K:$K,Data!$A:$A,Vitezistii!$B26,Data!$C:$C,Vitezistii!Q$1))+SUMIFS(Data!$S:$S,Data!$A:$A,Vitezistii!$B26,Data!$C:$C,Vitezistii!Q$1),0)</f>
        <v>1.5</v>
      </c>
      <c r="R26" s="31">
        <f>SUM(C26:Q26)</f>
        <v>37</v>
      </c>
      <c r="S26" s="31">
        <f>SUMIFS(Data!D:D,Data!A:A,Vitezistii!B86)</f>
        <v>57.51</v>
      </c>
      <c r="T26" s="12">
        <f>SUMIFS(Data!I:I,Data!A:A,Vitezistii!B26)/COUNTIF(Data!A:A,Vitezistii!B26)</f>
        <v>3.63092726135162E-3</v>
      </c>
    </row>
    <row r="27" spans="1:20" ht="13" x14ac:dyDescent="0.3">
      <c r="A27" s="79">
        <v>26</v>
      </c>
      <c r="B27" s="30" t="s">
        <v>252</v>
      </c>
      <c r="C27" s="31">
        <f>IFERROR(IF(SUMIFS(Data!$K:$K,Data!$A:$A,Vitezistii!$B27,Data!$C:$C,Vitezistii!C$1)=0," ",SUMIFS(Data!$K:$K,Data!$A:$A,Vitezistii!$B27,Data!$C:$C,Vitezistii!C$1))+SUMIFS(Data!$S:$S,Data!$A:$A,Vitezistii!$B27,Data!$C:$C,Vitezistii!C$1),0)</f>
        <v>3</v>
      </c>
      <c r="D27" s="31">
        <f>IFERROR(IF(SUMIFS(Data!$K:$K,Data!$A:$A,Vitezistii!$B27,Data!$C:$C,Vitezistii!D$1)=0," ",SUMIFS(Data!$K:$K,Data!$A:$A,Vitezistii!$B27,Data!$C:$C,Vitezistii!D$1))+SUMIFS(Data!$S:$S,Data!$A:$A,Vitezistii!$B27,Data!$C:$C,Vitezistii!D$1),0)</f>
        <v>4.5</v>
      </c>
      <c r="E27" s="31">
        <f>IFERROR(IF(SUMIFS(Data!$K:$K,Data!$A:$A,Vitezistii!$B27,Data!$C:$C,Vitezistii!E$1)=0," ",SUMIFS(Data!$K:$K,Data!$A:$A,Vitezistii!$B27,Data!$C:$C,Vitezistii!E$1))+SUMIFS(Data!$S:$S,Data!$A:$A,Vitezistii!$B27,Data!$C:$C,Vitezistii!E$1),0)</f>
        <v>2</v>
      </c>
      <c r="F27" s="31">
        <f>IFERROR(IF(SUMIFS(Data!$K:$K,Data!$A:$A,Vitezistii!$B27,Data!$C:$C,Vitezistii!F$1)=0," ",SUMIFS(Data!$K:$K,Data!$A:$A,Vitezistii!$B27,Data!$C:$C,Vitezistii!F$1))+SUMIFS(Data!$S:$S,Data!$A:$A,Vitezistii!$B27,Data!$C:$C,Vitezistii!F$1),0)</f>
        <v>5.9</v>
      </c>
      <c r="G27" s="31">
        <f>IFERROR(IF(SUMIFS(Data!$K:$K,Data!$A:$A,Vitezistii!$B27,Data!$C:$C,Vitezistii!G$1)=0," ",SUMIFS(Data!$K:$K,Data!$A:$A,Vitezistii!$B27,Data!$C:$C,Vitezistii!G$1))+SUMIFS(Data!$S:$S,Data!$A:$A,Vitezistii!$B27,Data!$C:$C,Vitezistii!G$1),0)</f>
        <v>1.75</v>
      </c>
      <c r="H27" s="31">
        <f>IFERROR(IF(SUMIFS(Data!$K:$K,Data!$A:$A,Vitezistii!$B27,Data!$C:$C,Vitezistii!H$1)=0," ",SUMIFS(Data!$K:$K,Data!$A:$A,Vitezistii!$B27,Data!$C:$C,Vitezistii!H$1))+SUMIFS(Data!$S:$S,Data!$A:$A,Vitezistii!$B27,Data!$C:$C,Vitezistii!H$1),0)</f>
        <v>3</v>
      </c>
      <c r="I27" s="31">
        <f>IFERROR(IF(SUMIFS(Data!$K:$K,Data!$A:$A,Vitezistii!$B27,Data!$C:$C,Vitezistii!I$1)=0," ",SUMIFS(Data!$K:$K,Data!$A:$A,Vitezistii!$B27,Data!$C:$C,Vitezistii!I$1))+SUMIFS(Data!$S:$S,Data!$A:$A,Vitezistii!$B27,Data!$C:$C,Vitezistii!I$1),0)</f>
        <v>1.75</v>
      </c>
      <c r="J27" s="31">
        <f>IFERROR(IF(SUMIFS(Data!$K:$K,Data!$A:$A,Vitezistii!$B27,Data!$C:$C,Vitezistii!J$1)=0," ",SUMIFS(Data!$K:$K,Data!$A:$A,Vitezistii!$B27,Data!$C:$C,Vitezistii!J$1))+SUMIFS(Data!$S:$S,Data!$A:$A,Vitezistii!$B27,Data!$C:$C,Vitezistii!J$1),0)</f>
        <v>4.5</v>
      </c>
      <c r="K27" s="31">
        <f>IFERROR(IF(SUMIFS(Data!$K:$K,Data!$A:$A,Vitezistii!$B27,Data!$C:$C,Vitezistii!K$1)=0," ",SUMIFS(Data!$K:$K,Data!$A:$A,Vitezistii!$B27,Data!$C:$C,Vitezistii!K$1))+SUMIFS(Data!$S:$S,Data!$A:$A,Vitezistii!$B27,Data!$C:$C,Vitezistii!K$1),0)</f>
        <v>0</v>
      </c>
      <c r="L27" s="31">
        <f>IFERROR(IF(SUMIFS(Data!$K:$K,Data!$A:$A,Vitezistii!$B27,Data!$C:$C,Vitezistii!L$1)=0," ",SUMIFS(Data!$K:$K,Data!$A:$A,Vitezistii!$B27,Data!$C:$C,Vitezistii!L$1))+SUMIFS(Data!$S:$S,Data!$A:$A,Vitezistii!$B27,Data!$C:$C,Vitezistii!L$1),0)</f>
        <v>1.75</v>
      </c>
      <c r="M27" s="31">
        <f>IFERROR(IF(SUMIFS(Data!$K:$K,Data!$A:$A,Vitezistii!$B27,Data!$C:$C,Vitezistii!M$1)=0," ",SUMIFS(Data!$K:$K,Data!$A:$A,Vitezistii!$B27,Data!$C:$C,Vitezistii!M$1))+SUMIFS(Data!$S:$S,Data!$A:$A,Vitezistii!$B27,Data!$C:$C,Vitezistii!M$1),0)</f>
        <v>4.5</v>
      </c>
      <c r="N27" s="31">
        <f>IFERROR(IF(SUMIFS(Data!$K:$K,Data!$A:$A,Vitezistii!$B27,Data!$C:$C,Vitezistii!N$1)=0," ",SUMIFS(Data!$K:$K,Data!$A:$A,Vitezistii!$B27,Data!$C:$C,Vitezistii!N$1))+SUMIFS(Data!$S:$S,Data!$A:$A,Vitezistii!$B27,Data!$C:$C,Vitezistii!N$1),0)</f>
        <v>2</v>
      </c>
      <c r="O27" s="31">
        <f>IFERROR(IF(SUMIFS(Data!$K:$K,Data!$A:$A,Vitezistii!$B27,Data!$C:$C,Vitezistii!O$1)=0," ",SUMIFS(Data!$K:$K,Data!$A:$A,Vitezistii!$B27,Data!$C:$C,Vitezistii!O$1))+SUMIFS(Data!$S:$S,Data!$A:$A,Vitezistii!$B27,Data!$C:$C,Vitezistii!O$1),0)</f>
        <v>0</v>
      </c>
      <c r="P27" s="31">
        <f>IFERROR(IF(SUMIFS(Data!$K:$K,Data!$A:$A,Vitezistii!$B27,Data!$C:$C,Vitezistii!P$1)=0," ",SUMIFS(Data!$K:$K,Data!$A:$A,Vitezistii!$B27,Data!$C:$C,Vitezistii!P$1))+SUMIFS(Data!$S:$S,Data!$A:$A,Vitezistii!$B27,Data!$C:$C,Vitezistii!P$1),0)</f>
        <v>2</v>
      </c>
      <c r="Q27" s="31">
        <f>IFERROR(IF(SUMIFS(Data!$K:$K,Data!$A:$A,Vitezistii!$B27,Data!$C:$C,Vitezistii!Q$1)=0," ",SUMIFS(Data!$K:$K,Data!$A:$A,Vitezistii!$B27,Data!$C:$C,Vitezistii!Q$1))+SUMIFS(Data!$S:$S,Data!$A:$A,Vitezistii!$B27,Data!$C:$C,Vitezistii!Q$1),0)</f>
        <v>0.25</v>
      </c>
      <c r="R27" s="31">
        <f>SUM(C27:Q27)</f>
        <v>36.9</v>
      </c>
      <c r="S27" s="31">
        <f>SUMIFS(Data!D:D,Data!A:A,Vitezistii!B87)</f>
        <v>172.08</v>
      </c>
      <c r="T27" s="12">
        <f>SUMIFS(Data!I:I,Data!A:A,Vitezistii!B27)/COUNTIF(Data!A:A,Vitezistii!B27)</f>
        <v>3.9046163490786775E-3</v>
      </c>
    </row>
    <row r="28" spans="1:20" ht="13" x14ac:dyDescent="0.3">
      <c r="A28" s="79">
        <v>27</v>
      </c>
      <c r="B28" s="30" t="s">
        <v>335</v>
      </c>
      <c r="C28" s="31">
        <f>IFERROR(IF(SUMIFS(Data!$K:$K,Data!$A:$A,Vitezistii!$B28,Data!$C:$C,Vitezistii!C$1)=0," ",SUMIFS(Data!$K:$K,Data!$A:$A,Vitezistii!$B28,Data!$C:$C,Vitezistii!C$1))+SUMIFS(Data!$S:$S,Data!$A:$A,Vitezistii!$B28,Data!$C:$C,Vitezistii!C$1),0)</f>
        <v>3</v>
      </c>
      <c r="D28" s="31">
        <f>IFERROR(IF(SUMIFS(Data!$K:$K,Data!$A:$A,Vitezistii!$B28,Data!$C:$C,Vitezistii!D$1)=0," ",SUMIFS(Data!$K:$K,Data!$A:$A,Vitezistii!$B28,Data!$C:$C,Vitezistii!D$1))+SUMIFS(Data!$S:$S,Data!$A:$A,Vitezistii!$B28,Data!$C:$C,Vitezistii!D$1),0)</f>
        <v>2.5</v>
      </c>
      <c r="E28" s="31">
        <f>IFERROR(IF(SUMIFS(Data!$K:$K,Data!$A:$A,Vitezistii!$B28,Data!$C:$C,Vitezistii!E$1)=0," ",SUMIFS(Data!$K:$K,Data!$A:$A,Vitezistii!$B28,Data!$C:$C,Vitezistii!E$1))+SUMIFS(Data!$S:$S,Data!$A:$A,Vitezistii!$B28,Data!$C:$C,Vitezistii!E$1),0)</f>
        <v>1.75</v>
      </c>
      <c r="F28" s="31">
        <f>IFERROR(IF(SUMIFS(Data!$K:$K,Data!$A:$A,Vitezistii!$B28,Data!$C:$C,Vitezistii!F$1)=0," ",SUMIFS(Data!$K:$K,Data!$A:$A,Vitezistii!$B28,Data!$C:$C,Vitezistii!F$1))+SUMIFS(Data!$S:$S,Data!$A:$A,Vitezistii!$B28,Data!$C:$C,Vitezistii!F$1),0)</f>
        <v>1.5</v>
      </c>
      <c r="G28" s="31">
        <f>IFERROR(IF(SUMIFS(Data!$K:$K,Data!$A:$A,Vitezistii!$B28,Data!$C:$C,Vitezistii!G$1)=0," ",SUMIFS(Data!$K:$K,Data!$A:$A,Vitezistii!$B28,Data!$C:$C,Vitezistii!G$1))+SUMIFS(Data!$S:$S,Data!$A:$A,Vitezistii!$B28,Data!$C:$C,Vitezistii!G$1),0)</f>
        <v>2.5</v>
      </c>
      <c r="H28" s="31">
        <f>IFERROR(IF(SUMIFS(Data!$K:$K,Data!$A:$A,Vitezistii!$B28,Data!$C:$C,Vitezistii!H$1)=0," ",SUMIFS(Data!$K:$K,Data!$A:$A,Vitezistii!$B28,Data!$C:$C,Vitezistii!H$1))+SUMIFS(Data!$S:$S,Data!$A:$A,Vitezistii!$B28,Data!$C:$C,Vitezistii!H$1),0)</f>
        <v>2.5</v>
      </c>
      <c r="I28" s="31">
        <f>IFERROR(IF(SUMIFS(Data!$K:$K,Data!$A:$A,Vitezistii!$B28,Data!$C:$C,Vitezistii!I$1)=0," ",SUMIFS(Data!$K:$K,Data!$A:$A,Vitezistii!$B28,Data!$C:$C,Vitezistii!I$1))+SUMIFS(Data!$S:$S,Data!$A:$A,Vitezistii!$B28,Data!$C:$C,Vitezistii!I$1),0)</f>
        <v>1.75</v>
      </c>
      <c r="J28" s="31">
        <f>IFERROR(IF(SUMIFS(Data!$K:$K,Data!$A:$A,Vitezistii!$B28,Data!$C:$C,Vitezistii!J$1)=0," ",SUMIFS(Data!$K:$K,Data!$A:$A,Vitezistii!$B28,Data!$C:$C,Vitezistii!J$1))+SUMIFS(Data!$S:$S,Data!$A:$A,Vitezistii!$B28,Data!$C:$C,Vitezistii!J$1),0)</f>
        <v>2.5</v>
      </c>
      <c r="K28" s="31">
        <f>IFERROR(IF(SUMIFS(Data!$K:$K,Data!$A:$A,Vitezistii!$B28,Data!$C:$C,Vitezistii!K$1)=0," ",SUMIFS(Data!$K:$K,Data!$A:$A,Vitezistii!$B28,Data!$C:$C,Vitezistii!K$1))+SUMIFS(Data!$S:$S,Data!$A:$A,Vitezistii!$B28,Data!$C:$C,Vitezistii!K$1),0)</f>
        <v>3</v>
      </c>
      <c r="L28" s="31">
        <f>IFERROR(IF(SUMIFS(Data!$K:$K,Data!$A:$A,Vitezistii!$B28,Data!$C:$C,Vitezistii!L$1)=0," ",SUMIFS(Data!$K:$K,Data!$A:$A,Vitezistii!$B28,Data!$C:$C,Vitezistii!L$1))+SUMIFS(Data!$S:$S,Data!$A:$A,Vitezistii!$B28,Data!$C:$C,Vitezistii!L$1),0)</f>
        <v>1.75</v>
      </c>
      <c r="M28" s="31">
        <f>IFERROR(IF(SUMIFS(Data!$K:$K,Data!$A:$A,Vitezistii!$B28,Data!$C:$C,Vitezistii!M$1)=0," ",SUMIFS(Data!$K:$K,Data!$A:$A,Vitezistii!$B28,Data!$C:$C,Vitezistii!M$1))+SUMIFS(Data!$S:$S,Data!$A:$A,Vitezistii!$B28,Data!$C:$C,Vitezistii!M$1),0)</f>
        <v>3</v>
      </c>
      <c r="N28" s="31">
        <f>IFERROR(IF(SUMIFS(Data!$K:$K,Data!$A:$A,Vitezistii!$B28,Data!$C:$C,Vitezistii!N$1)=0," ",SUMIFS(Data!$K:$K,Data!$A:$A,Vitezistii!$B28,Data!$C:$C,Vitezistii!N$1))+SUMIFS(Data!$S:$S,Data!$A:$A,Vitezistii!$B28,Data!$C:$C,Vitezistii!N$1),0)</f>
        <v>2.5</v>
      </c>
      <c r="O28" s="31">
        <f>IFERROR(IF(SUMIFS(Data!$K:$K,Data!$A:$A,Vitezistii!$B28,Data!$C:$C,Vitezistii!O$1)=0," ",SUMIFS(Data!$K:$K,Data!$A:$A,Vitezistii!$B28,Data!$C:$C,Vitezistii!O$1))+SUMIFS(Data!$S:$S,Data!$A:$A,Vitezistii!$B28,Data!$C:$C,Vitezistii!O$1),0)</f>
        <v>2</v>
      </c>
      <c r="P28" s="31">
        <f>IFERROR(IF(SUMIFS(Data!$K:$K,Data!$A:$A,Vitezistii!$B28,Data!$C:$C,Vitezistii!P$1)=0," ",SUMIFS(Data!$K:$K,Data!$A:$A,Vitezistii!$B28,Data!$C:$C,Vitezistii!P$1))+SUMIFS(Data!$S:$S,Data!$A:$A,Vitezistii!$B28,Data!$C:$C,Vitezistii!P$1),0)</f>
        <v>4.5</v>
      </c>
      <c r="Q28" s="31">
        <f>IFERROR(IF(SUMIFS(Data!$K:$K,Data!$A:$A,Vitezistii!$B28,Data!$C:$C,Vitezistii!Q$1)=0," ",SUMIFS(Data!$K:$K,Data!$A:$A,Vitezistii!$B28,Data!$C:$C,Vitezistii!Q$1))+SUMIFS(Data!$S:$S,Data!$A:$A,Vitezistii!$B28,Data!$C:$C,Vitezistii!Q$1),0)</f>
        <v>2</v>
      </c>
      <c r="R28" s="31">
        <f>SUM(C28:Q28)</f>
        <v>36.75</v>
      </c>
      <c r="S28" s="31">
        <f>SUMIFS(Data!D:D,Data!A:A,Vitezistii!B88)</f>
        <v>47.43</v>
      </c>
      <c r="T28" s="12">
        <f>SUMIFS(Data!I:I,Data!A:A,Vitezistii!B28)/COUNTIF(Data!A:A,Vitezistii!B28)</f>
        <v>3.5952539541046465E-3</v>
      </c>
    </row>
    <row r="29" spans="1:20" ht="13" x14ac:dyDescent="0.3">
      <c r="A29" s="79">
        <v>28</v>
      </c>
      <c r="B29" s="30" t="s">
        <v>339</v>
      </c>
      <c r="C29" s="31">
        <f>IFERROR(IF(SUMIFS(Data!$K:$K,Data!$A:$A,Vitezistii!$B29,Data!$C:$C,Vitezistii!C$1)=0," ",SUMIFS(Data!$K:$K,Data!$A:$A,Vitezistii!$B29,Data!$C:$C,Vitezistii!C$1))+SUMIFS(Data!$S:$S,Data!$A:$A,Vitezistii!$B29,Data!$C:$C,Vitezistii!C$1),0)</f>
        <v>3.5</v>
      </c>
      <c r="D29" s="31">
        <f>IFERROR(IF(SUMIFS(Data!$K:$K,Data!$A:$A,Vitezistii!$B29,Data!$C:$C,Vitezistii!D$1)=0," ",SUMIFS(Data!$K:$K,Data!$A:$A,Vitezistii!$B29,Data!$C:$C,Vitezistii!D$1))+SUMIFS(Data!$S:$S,Data!$A:$A,Vitezistii!$B29,Data!$C:$C,Vitezistii!D$1),0)</f>
        <v>2.5</v>
      </c>
      <c r="E29" s="31">
        <f>IFERROR(IF(SUMIFS(Data!$K:$K,Data!$A:$A,Vitezistii!$B29,Data!$C:$C,Vitezistii!E$1)=0," ",SUMIFS(Data!$K:$K,Data!$A:$A,Vitezistii!$B29,Data!$C:$C,Vitezistii!E$1))+SUMIFS(Data!$S:$S,Data!$A:$A,Vitezistii!$B29,Data!$C:$C,Vitezistii!E$1),0)</f>
        <v>2</v>
      </c>
      <c r="F29" s="31">
        <f>IFERROR(IF(SUMIFS(Data!$K:$K,Data!$A:$A,Vitezistii!$B29,Data!$C:$C,Vitezistii!F$1)=0," ",SUMIFS(Data!$K:$K,Data!$A:$A,Vitezistii!$B29,Data!$C:$C,Vitezistii!F$1))+SUMIFS(Data!$S:$S,Data!$A:$A,Vitezistii!$B29,Data!$C:$C,Vitezistii!F$1),0)</f>
        <v>2</v>
      </c>
      <c r="G29" s="31">
        <f>IFERROR(IF(SUMIFS(Data!$K:$K,Data!$A:$A,Vitezistii!$B29,Data!$C:$C,Vitezistii!G$1)=0," ",SUMIFS(Data!$K:$K,Data!$A:$A,Vitezistii!$B29,Data!$C:$C,Vitezistii!G$1))+SUMIFS(Data!$S:$S,Data!$A:$A,Vitezistii!$B29,Data!$C:$C,Vitezistii!G$1),0)</f>
        <v>3.5</v>
      </c>
      <c r="H29" s="31">
        <f>IFERROR(IF(SUMIFS(Data!$K:$K,Data!$A:$A,Vitezistii!$B29,Data!$C:$C,Vitezistii!H$1)=0," ",SUMIFS(Data!$K:$K,Data!$A:$A,Vitezistii!$B29,Data!$C:$C,Vitezistii!H$1))+SUMIFS(Data!$S:$S,Data!$A:$A,Vitezistii!$B29,Data!$C:$C,Vitezistii!H$1),0)</f>
        <v>1.5</v>
      </c>
      <c r="I29" s="31">
        <f>IFERROR(IF(SUMIFS(Data!$K:$K,Data!$A:$A,Vitezistii!$B29,Data!$C:$C,Vitezistii!I$1)=0," ",SUMIFS(Data!$K:$K,Data!$A:$A,Vitezistii!$B29,Data!$C:$C,Vitezistii!I$1))+SUMIFS(Data!$S:$S,Data!$A:$A,Vitezistii!$B29,Data!$C:$C,Vitezistii!I$1),0)</f>
        <v>1.5</v>
      </c>
      <c r="J29" s="31">
        <f>IFERROR(IF(SUMIFS(Data!$K:$K,Data!$A:$A,Vitezistii!$B29,Data!$C:$C,Vitezistii!J$1)=0," ",SUMIFS(Data!$K:$K,Data!$A:$A,Vitezistii!$B29,Data!$C:$C,Vitezistii!J$1))+SUMIFS(Data!$S:$S,Data!$A:$A,Vitezistii!$B29,Data!$C:$C,Vitezistii!J$1),0)</f>
        <v>1.5</v>
      </c>
      <c r="K29" s="31">
        <f>IFERROR(IF(SUMIFS(Data!$K:$K,Data!$A:$A,Vitezistii!$B29,Data!$C:$C,Vitezistii!K$1)=0," ",SUMIFS(Data!$K:$K,Data!$A:$A,Vitezistii!$B29,Data!$C:$C,Vitezistii!K$1))+SUMIFS(Data!$S:$S,Data!$A:$A,Vitezistii!$B29,Data!$C:$C,Vitezistii!K$1),0)</f>
        <v>3.5</v>
      </c>
      <c r="L29" s="31">
        <f>IFERROR(IF(SUMIFS(Data!$K:$K,Data!$A:$A,Vitezistii!$B29,Data!$C:$C,Vitezistii!L$1)=0," ",SUMIFS(Data!$K:$K,Data!$A:$A,Vitezistii!$B29,Data!$C:$C,Vitezistii!L$1))+SUMIFS(Data!$S:$S,Data!$A:$A,Vitezistii!$B29,Data!$C:$C,Vitezistii!L$1),0)</f>
        <v>3</v>
      </c>
      <c r="M29" s="31">
        <f>IFERROR(IF(SUMIFS(Data!$K:$K,Data!$A:$A,Vitezistii!$B29,Data!$C:$C,Vitezistii!M$1)=0," ",SUMIFS(Data!$K:$K,Data!$A:$A,Vitezistii!$B29,Data!$C:$C,Vitezistii!M$1))+SUMIFS(Data!$S:$S,Data!$A:$A,Vitezistii!$B29,Data!$C:$C,Vitezistii!M$1),0)</f>
        <v>4</v>
      </c>
      <c r="N29" s="31">
        <f>IFERROR(IF(SUMIFS(Data!$K:$K,Data!$A:$A,Vitezistii!$B29,Data!$C:$C,Vitezistii!N$1)=0," ",SUMIFS(Data!$K:$K,Data!$A:$A,Vitezistii!$B29,Data!$C:$C,Vitezistii!N$1))+SUMIFS(Data!$S:$S,Data!$A:$A,Vitezistii!$B29,Data!$C:$C,Vitezistii!N$1),0)</f>
        <v>2</v>
      </c>
      <c r="O29" s="31">
        <f>IFERROR(IF(SUMIFS(Data!$K:$K,Data!$A:$A,Vitezistii!$B29,Data!$C:$C,Vitezistii!O$1)=0," ",SUMIFS(Data!$K:$K,Data!$A:$A,Vitezistii!$B29,Data!$C:$C,Vitezistii!O$1))+SUMIFS(Data!$S:$S,Data!$A:$A,Vitezistii!$B29,Data!$C:$C,Vitezistii!O$1),0)</f>
        <v>1</v>
      </c>
      <c r="P29" s="31">
        <f>IFERROR(IF(SUMIFS(Data!$K:$K,Data!$A:$A,Vitezistii!$B29,Data!$C:$C,Vitezistii!P$1)=0," ",SUMIFS(Data!$K:$K,Data!$A:$A,Vitezistii!$B29,Data!$C:$C,Vitezistii!P$1))+SUMIFS(Data!$S:$S,Data!$A:$A,Vitezistii!$B29,Data!$C:$C,Vitezistii!P$1),0)</f>
        <v>2.5</v>
      </c>
      <c r="Q29" s="31">
        <f>IFERROR(IF(SUMIFS(Data!$K:$K,Data!$A:$A,Vitezistii!$B29,Data!$C:$C,Vitezistii!Q$1)=0," ",SUMIFS(Data!$K:$K,Data!$A:$A,Vitezistii!$B29,Data!$C:$C,Vitezistii!Q$1))+SUMIFS(Data!$S:$S,Data!$A:$A,Vitezistii!$B29,Data!$C:$C,Vitezistii!Q$1),0)</f>
        <v>2.5</v>
      </c>
      <c r="R29" s="31">
        <f>SUM(C29:Q29)</f>
        <v>36.5</v>
      </c>
      <c r="S29" s="31">
        <f>SUMIFS(Data!D:D,Data!A:A,Vitezistii!B89)</f>
        <v>118.32</v>
      </c>
      <c r="T29" s="12">
        <f>SUMIFS(Data!I:I,Data!A:A,Vitezistii!B29)/COUNTIF(Data!A:A,Vitezistii!B29)</f>
        <v>3.6519021769036305E-3</v>
      </c>
    </row>
    <row r="30" spans="1:20" ht="13" x14ac:dyDescent="0.3">
      <c r="A30" s="79">
        <v>29</v>
      </c>
      <c r="B30" s="30" t="s">
        <v>387</v>
      </c>
      <c r="C30" s="31">
        <f>IFERROR(IF(SUMIFS(Data!$K:$K,Data!$A:$A,Vitezistii!$B30,Data!$C:$C,Vitezistii!C$1)=0," ",SUMIFS(Data!$K:$K,Data!$A:$A,Vitezistii!$B30,Data!$C:$C,Vitezistii!C$1))+SUMIFS(Data!$S:$S,Data!$A:$A,Vitezistii!$B30,Data!$C:$C,Vitezistii!C$1),0)</f>
        <v>0</v>
      </c>
      <c r="D30" s="31">
        <f>IFERROR(IF(SUMIFS(Data!$K:$K,Data!$A:$A,Vitezistii!$B30,Data!$C:$C,Vitezistii!D$1)=0," ",SUMIFS(Data!$K:$K,Data!$A:$A,Vitezistii!$B30,Data!$C:$C,Vitezistii!D$1))+SUMIFS(Data!$S:$S,Data!$A:$A,Vitezistii!$B30,Data!$C:$C,Vitezistii!D$1),0)</f>
        <v>0</v>
      </c>
      <c r="E30" s="31">
        <f>IFERROR(IF(SUMIFS(Data!$K:$K,Data!$A:$A,Vitezistii!$B30,Data!$C:$C,Vitezistii!E$1)=0," ",SUMIFS(Data!$K:$K,Data!$A:$A,Vitezistii!$B30,Data!$C:$C,Vitezistii!E$1))+SUMIFS(Data!$S:$S,Data!$A:$A,Vitezistii!$B30,Data!$C:$C,Vitezistii!E$1),0)</f>
        <v>1.75</v>
      </c>
      <c r="F30" s="31">
        <f>IFERROR(IF(SUMIFS(Data!$K:$K,Data!$A:$A,Vitezistii!$B30,Data!$C:$C,Vitezistii!F$1)=0," ",SUMIFS(Data!$K:$K,Data!$A:$A,Vitezistii!$B30,Data!$C:$C,Vitezistii!F$1))+SUMIFS(Data!$S:$S,Data!$A:$A,Vitezistii!$B30,Data!$C:$C,Vitezistii!F$1),0)</f>
        <v>4</v>
      </c>
      <c r="G30" s="31">
        <f>IFERROR(IF(SUMIFS(Data!$K:$K,Data!$A:$A,Vitezistii!$B30,Data!$C:$C,Vitezistii!G$1)=0," ",SUMIFS(Data!$K:$K,Data!$A:$A,Vitezistii!$B30,Data!$C:$C,Vitezistii!G$1))+SUMIFS(Data!$S:$S,Data!$A:$A,Vitezistii!$B30,Data!$C:$C,Vitezistii!G$1),0)</f>
        <v>3.5</v>
      </c>
      <c r="H30" s="31">
        <f>IFERROR(IF(SUMIFS(Data!$K:$K,Data!$A:$A,Vitezistii!$B30,Data!$C:$C,Vitezistii!H$1)=0," ",SUMIFS(Data!$K:$K,Data!$A:$A,Vitezistii!$B30,Data!$C:$C,Vitezistii!H$1))+SUMIFS(Data!$S:$S,Data!$A:$A,Vitezistii!$B30,Data!$C:$C,Vitezistii!H$1),0)</f>
        <v>2.5</v>
      </c>
      <c r="I30" s="31">
        <f>IFERROR(IF(SUMIFS(Data!$K:$K,Data!$A:$A,Vitezistii!$B30,Data!$C:$C,Vitezistii!I$1)=0," ",SUMIFS(Data!$K:$K,Data!$A:$A,Vitezistii!$B30,Data!$C:$C,Vitezistii!I$1))+SUMIFS(Data!$S:$S,Data!$A:$A,Vitezistii!$B30,Data!$C:$C,Vitezistii!I$1),0)</f>
        <v>2.5</v>
      </c>
      <c r="J30" s="31">
        <f>IFERROR(IF(SUMIFS(Data!$K:$K,Data!$A:$A,Vitezistii!$B30,Data!$C:$C,Vitezistii!J$1)=0," ",SUMIFS(Data!$K:$K,Data!$A:$A,Vitezistii!$B30,Data!$C:$C,Vitezistii!J$1))+SUMIFS(Data!$S:$S,Data!$A:$A,Vitezistii!$B30,Data!$C:$C,Vitezistii!J$1),0)</f>
        <v>3</v>
      </c>
      <c r="K30" s="31">
        <f>IFERROR(IF(SUMIFS(Data!$K:$K,Data!$A:$A,Vitezistii!$B30,Data!$C:$C,Vitezistii!K$1)=0," ",SUMIFS(Data!$K:$K,Data!$A:$A,Vitezistii!$B30,Data!$C:$C,Vitezistii!K$1))+SUMIFS(Data!$S:$S,Data!$A:$A,Vitezistii!$B30,Data!$C:$C,Vitezistii!K$1),0)</f>
        <v>2</v>
      </c>
      <c r="L30" s="31">
        <f>IFERROR(IF(SUMIFS(Data!$K:$K,Data!$A:$A,Vitezistii!$B30,Data!$C:$C,Vitezistii!L$1)=0," ",SUMIFS(Data!$K:$K,Data!$A:$A,Vitezistii!$B30,Data!$C:$C,Vitezistii!L$1))+SUMIFS(Data!$S:$S,Data!$A:$A,Vitezistii!$B30,Data!$C:$C,Vitezistii!L$1),0)</f>
        <v>2.5</v>
      </c>
      <c r="M30" s="31">
        <f>IFERROR(IF(SUMIFS(Data!$K:$K,Data!$A:$A,Vitezistii!$B30,Data!$C:$C,Vitezistii!M$1)=0," ",SUMIFS(Data!$K:$K,Data!$A:$A,Vitezistii!$B30,Data!$C:$C,Vitezistii!M$1))+SUMIFS(Data!$S:$S,Data!$A:$A,Vitezistii!$B30,Data!$C:$C,Vitezistii!M$1),0)</f>
        <v>4</v>
      </c>
      <c r="N30" s="31">
        <f>IFERROR(IF(SUMIFS(Data!$K:$K,Data!$A:$A,Vitezistii!$B30,Data!$C:$C,Vitezistii!N$1)=0," ",SUMIFS(Data!$K:$K,Data!$A:$A,Vitezistii!$B30,Data!$C:$C,Vitezistii!N$1))+SUMIFS(Data!$S:$S,Data!$A:$A,Vitezistii!$B30,Data!$C:$C,Vitezistii!N$1),0)</f>
        <v>2.5</v>
      </c>
      <c r="O30" s="31">
        <f>IFERROR(IF(SUMIFS(Data!$K:$K,Data!$A:$A,Vitezistii!$B30,Data!$C:$C,Vitezistii!O$1)=0," ",SUMIFS(Data!$K:$K,Data!$A:$A,Vitezistii!$B30,Data!$C:$C,Vitezistii!O$1))+SUMIFS(Data!$S:$S,Data!$A:$A,Vitezistii!$B30,Data!$C:$C,Vitezistii!O$1),0)</f>
        <v>2.5</v>
      </c>
      <c r="P30" s="31">
        <f>IFERROR(IF(SUMIFS(Data!$K:$K,Data!$A:$A,Vitezistii!$B30,Data!$C:$C,Vitezistii!P$1)=0," ",SUMIFS(Data!$K:$K,Data!$A:$A,Vitezistii!$B30,Data!$C:$C,Vitezistii!P$1))+SUMIFS(Data!$S:$S,Data!$A:$A,Vitezistii!$B30,Data!$C:$C,Vitezistii!P$1),0)</f>
        <v>3</v>
      </c>
      <c r="Q30" s="31">
        <f>IFERROR(IF(SUMIFS(Data!$K:$K,Data!$A:$A,Vitezistii!$B30,Data!$C:$C,Vitezistii!Q$1)=0," ",SUMIFS(Data!$K:$K,Data!$A:$A,Vitezistii!$B30,Data!$C:$C,Vitezistii!Q$1))+SUMIFS(Data!$S:$S,Data!$A:$A,Vitezistii!$B30,Data!$C:$C,Vitezistii!Q$1),0)</f>
        <v>2.5</v>
      </c>
      <c r="R30" s="31">
        <f>SUM(C30:Q30)</f>
        <v>36.25</v>
      </c>
      <c r="S30" s="31">
        <f>SUMIFS(Data!D:D,Data!A:A,Vitezistii!B90)</f>
        <v>201.25</v>
      </c>
      <c r="T30" s="12">
        <f>SUMIFS(Data!I:I,Data!A:A,Vitezistii!B30)/COUNTIF(Data!A:A,Vitezistii!B30)</f>
        <v>3.8201466532128978E-3</v>
      </c>
    </row>
    <row r="31" spans="1:20" ht="13" x14ac:dyDescent="0.3">
      <c r="A31" s="79">
        <v>30</v>
      </c>
      <c r="B31" s="30" t="s">
        <v>353</v>
      </c>
      <c r="C31" s="31">
        <f>IFERROR(IF(SUMIFS(Data!$K:$K,Data!$A:$A,Vitezistii!$B31,Data!$C:$C,Vitezistii!C$1)=0," ",SUMIFS(Data!$K:$K,Data!$A:$A,Vitezistii!$B31,Data!$C:$C,Vitezistii!C$1))+SUMIFS(Data!$S:$S,Data!$A:$A,Vitezistii!$B31,Data!$C:$C,Vitezistii!C$1),0)</f>
        <v>2.5</v>
      </c>
      <c r="D31" s="31">
        <f>IFERROR(IF(SUMIFS(Data!$K:$K,Data!$A:$A,Vitezistii!$B31,Data!$C:$C,Vitezistii!D$1)=0," ",SUMIFS(Data!$K:$K,Data!$A:$A,Vitezistii!$B31,Data!$C:$C,Vitezistii!D$1))+SUMIFS(Data!$S:$S,Data!$A:$A,Vitezistii!$B31,Data!$C:$C,Vitezistii!D$1),0)</f>
        <v>3</v>
      </c>
      <c r="E31" s="31">
        <f>IFERROR(IF(SUMIFS(Data!$K:$K,Data!$A:$A,Vitezistii!$B31,Data!$C:$C,Vitezistii!E$1)=0," ",SUMIFS(Data!$K:$K,Data!$A:$A,Vitezistii!$B31,Data!$C:$C,Vitezistii!E$1))+SUMIFS(Data!$S:$S,Data!$A:$A,Vitezistii!$B31,Data!$C:$C,Vitezistii!E$1),0)</f>
        <v>1.25</v>
      </c>
      <c r="F31" s="31">
        <f>IFERROR(IF(SUMIFS(Data!$K:$K,Data!$A:$A,Vitezistii!$B31,Data!$C:$C,Vitezistii!F$1)=0," ",SUMIFS(Data!$K:$K,Data!$A:$A,Vitezistii!$B31,Data!$C:$C,Vitezistii!F$1))+SUMIFS(Data!$S:$S,Data!$A:$A,Vitezistii!$B31,Data!$C:$C,Vitezistii!F$1),0)</f>
        <v>1.75</v>
      </c>
      <c r="G31" s="31">
        <f>IFERROR(IF(SUMIFS(Data!$K:$K,Data!$A:$A,Vitezistii!$B31,Data!$C:$C,Vitezistii!G$1)=0," ",SUMIFS(Data!$K:$K,Data!$A:$A,Vitezistii!$B31,Data!$C:$C,Vitezistii!G$1))+SUMIFS(Data!$S:$S,Data!$A:$A,Vitezistii!$B31,Data!$C:$C,Vitezistii!G$1),0)</f>
        <v>1.75</v>
      </c>
      <c r="H31" s="31">
        <f>IFERROR(IF(SUMIFS(Data!$K:$K,Data!$A:$A,Vitezistii!$B31,Data!$C:$C,Vitezistii!H$1)=0," ",SUMIFS(Data!$K:$K,Data!$A:$A,Vitezistii!$B31,Data!$C:$C,Vitezistii!H$1))+SUMIFS(Data!$S:$S,Data!$A:$A,Vitezistii!$B31,Data!$C:$C,Vitezistii!H$1),0)</f>
        <v>2.5</v>
      </c>
      <c r="I31" s="31">
        <f>IFERROR(IF(SUMIFS(Data!$K:$K,Data!$A:$A,Vitezistii!$B31,Data!$C:$C,Vitezistii!I$1)=0," ",SUMIFS(Data!$K:$K,Data!$A:$A,Vitezistii!$B31,Data!$C:$C,Vitezistii!I$1))+SUMIFS(Data!$S:$S,Data!$A:$A,Vitezistii!$B31,Data!$C:$C,Vitezistii!I$1),0)</f>
        <v>2.5</v>
      </c>
      <c r="J31" s="31">
        <f>IFERROR(IF(SUMIFS(Data!$K:$K,Data!$A:$A,Vitezistii!$B31,Data!$C:$C,Vitezistii!J$1)=0," ",SUMIFS(Data!$K:$K,Data!$A:$A,Vitezistii!$B31,Data!$C:$C,Vitezistii!J$1))+SUMIFS(Data!$S:$S,Data!$A:$A,Vitezistii!$B31,Data!$C:$C,Vitezistii!J$1),0)</f>
        <v>1.5</v>
      </c>
      <c r="K31" s="31">
        <f>IFERROR(IF(SUMIFS(Data!$K:$K,Data!$A:$A,Vitezistii!$B31,Data!$C:$C,Vitezistii!K$1)=0," ",SUMIFS(Data!$K:$K,Data!$A:$A,Vitezistii!$B31,Data!$C:$C,Vitezistii!K$1))+SUMIFS(Data!$S:$S,Data!$A:$A,Vitezistii!$B31,Data!$C:$C,Vitezistii!K$1),0)</f>
        <v>3</v>
      </c>
      <c r="L31" s="31">
        <f>IFERROR(IF(SUMIFS(Data!$K:$K,Data!$A:$A,Vitezistii!$B31,Data!$C:$C,Vitezistii!L$1)=0," ",SUMIFS(Data!$K:$K,Data!$A:$A,Vitezistii!$B31,Data!$C:$C,Vitezistii!L$1))+SUMIFS(Data!$S:$S,Data!$A:$A,Vitezistii!$B31,Data!$C:$C,Vitezistii!L$1),0)</f>
        <v>2.5</v>
      </c>
      <c r="M31" s="31">
        <f>IFERROR(IF(SUMIFS(Data!$K:$K,Data!$A:$A,Vitezistii!$B31,Data!$C:$C,Vitezistii!M$1)=0," ",SUMIFS(Data!$K:$K,Data!$A:$A,Vitezistii!$B31,Data!$C:$C,Vitezistii!M$1))+SUMIFS(Data!$S:$S,Data!$A:$A,Vitezistii!$B31,Data!$C:$C,Vitezistii!M$1),0)</f>
        <v>4</v>
      </c>
      <c r="N31" s="31">
        <f>IFERROR(IF(SUMIFS(Data!$K:$K,Data!$A:$A,Vitezistii!$B31,Data!$C:$C,Vitezistii!N$1)=0," ",SUMIFS(Data!$K:$K,Data!$A:$A,Vitezistii!$B31,Data!$C:$C,Vitezistii!N$1))+SUMIFS(Data!$S:$S,Data!$A:$A,Vitezistii!$B31,Data!$C:$C,Vitezistii!N$1),0)</f>
        <v>1.75</v>
      </c>
      <c r="O31" s="31">
        <f>IFERROR(IF(SUMIFS(Data!$K:$K,Data!$A:$A,Vitezistii!$B31,Data!$C:$C,Vitezistii!O$1)=0," ",SUMIFS(Data!$K:$K,Data!$A:$A,Vitezistii!$B31,Data!$C:$C,Vitezistii!O$1))+SUMIFS(Data!$S:$S,Data!$A:$A,Vitezistii!$B31,Data!$C:$C,Vitezistii!O$1),0)</f>
        <v>2.5</v>
      </c>
      <c r="P31" s="31">
        <f>IFERROR(IF(SUMIFS(Data!$K:$K,Data!$A:$A,Vitezistii!$B31,Data!$C:$C,Vitezistii!P$1)=0," ",SUMIFS(Data!$K:$K,Data!$A:$A,Vitezistii!$B31,Data!$C:$C,Vitezistii!P$1))+SUMIFS(Data!$S:$S,Data!$A:$A,Vitezistii!$B31,Data!$C:$C,Vitezistii!P$1),0)</f>
        <v>3</v>
      </c>
      <c r="Q31" s="31">
        <f>IFERROR(IF(SUMIFS(Data!$K:$K,Data!$A:$A,Vitezistii!$B31,Data!$C:$C,Vitezistii!Q$1)=0," ",SUMIFS(Data!$K:$K,Data!$A:$A,Vitezistii!$B31,Data!$C:$C,Vitezistii!Q$1))+SUMIFS(Data!$S:$S,Data!$A:$A,Vitezistii!$B31,Data!$C:$C,Vitezistii!Q$1),0)</f>
        <v>2.5</v>
      </c>
      <c r="R31" s="31">
        <f>SUM(C31:Q31)</f>
        <v>36</v>
      </c>
      <c r="S31" s="31">
        <f>SUMIFS(Data!D:D,Data!A:A,Vitezistii!B91)</f>
        <v>9.5400000000000009</v>
      </c>
      <c r="T31" s="12">
        <f>SUMIFS(Data!I:I,Data!A:A,Vitezistii!B31)/COUNTIF(Data!A:A,Vitezistii!B31)</f>
        <v>3.6406795949172096E-3</v>
      </c>
    </row>
    <row r="32" spans="1:20" ht="13" x14ac:dyDescent="0.3">
      <c r="A32" s="79">
        <v>31</v>
      </c>
      <c r="B32" s="30" t="s">
        <v>225</v>
      </c>
      <c r="C32" s="31">
        <f>IFERROR(IF(SUMIFS(Data!$K:$K,Data!$A:$A,Vitezistii!$B32,Data!$C:$C,Vitezistii!C$1)=0," ",SUMIFS(Data!$K:$K,Data!$A:$A,Vitezistii!$B32,Data!$C:$C,Vitezistii!C$1))+SUMIFS(Data!$S:$S,Data!$A:$A,Vitezistii!$B32,Data!$C:$C,Vitezistii!C$1),0)</f>
        <v>1</v>
      </c>
      <c r="D32" s="31">
        <f>IFERROR(IF(SUMIFS(Data!$K:$K,Data!$A:$A,Vitezistii!$B32,Data!$C:$C,Vitezistii!D$1)=0," ",SUMIFS(Data!$K:$K,Data!$A:$A,Vitezistii!$B32,Data!$C:$C,Vitezistii!D$1))+SUMIFS(Data!$S:$S,Data!$A:$A,Vitezistii!$B32,Data!$C:$C,Vitezistii!D$1),0)</f>
        <v>3.5</v>
      </c>
      <c r="E32" s="31">
        <f>IFERROR(IF(SUMIFS(Data!$K:$K,Data!$A:$A,Vitezistii!$B32,Data!$C:$C,Vitezistii!E$1)=0," ",SUMIFS(Data!$K:$K,Data!$A:$A,Vitezistii!$B32,Data!$C:$C,Vitezistii!E$1))+SUMIFS(Data!$S:$S,Data!$A:$A,Vitezistii!$B32,Data!$C:$C,Vitezistii!E$1),0)</f>
        <v>4</v>
      </c>
      <c r="F32" s="31">
        <f>IFERROR(IF(SUMIFS(Data!$K:$K,Data!$A:$A,Vitezistii!$B32,Data!$C:$C,Vitezistii!F$1)=0," ",SUMIFS(Data!$K:$K,Data!$A:$A,Vitezistii!$B32,Data!$C:$C,Vitezistii!F$1))+SUMIFS(Data!$S:$S,Data!$A:$A,Vitezistii!$B32,Data!$C:$C,Vitezistii!F$1),0)</f>
        <v>4</v>
      </c>
      <c r="G32" s="31">
        <f>IFERROR(IF(SUMIFS(Data!$K:$K,Data!$A:$A,Vitezistii!$B32,Data!$C:$C,Vitezistii!G$1)=0," ",SUMIFS(Data!$K:$K,Data!$A:$A,Vitezistii!$B32,Data!$C:$C,Vitezistii!G$1))+SUMIFS(Data!$S:$S,Data!$A:$A,Vitezistii!$B32,Data!$C:$C,Vitezistii!G$1),0)</f>
        <v>0.25</v>
      </c>
      <c r="H32" s="31">
        <f>IFERROR(IF(SUMIFS(Data!$K:$K,Data!$A:$A,Vitezistii!$B32,Data!$C:$C,Vitezistii!H$1)=0," ",SUMIFS(Data!$K:$K,Data!$A:$A,Vitezistii!$B32,Data!$C:$C,Vitezistii!H$1))+SUMIFS(Data!$S:$S,Data!$A:$A,Vitezistii!$B32,Data!$C:$C,Vitezistii!H$1),0)</f>
        <v>3.5</v>
      </c>
      <c r="I32" s="31">
        <f>IFERROR(IF(SUMIFS(Data!$K:$K,Data!$A:$A,Vitezistii!$B32,Data!$C:$C,Vitezistii!I$1)=0," ",SUMIFS(Data!$K:$K,Data!$A:$A,Vitezistii!$B32,Data!$C:$C,Vitezistii!I$1))+SUMIFS(Data!$S:$S,Data!$A:$A,Vitezistii!$B32,Data!$C:$C,Vitezistii!I$1),0)</f>
        <v>2.5</v>
      </c>
      <c r="J32" s="31">
        <f>IFERROR(IF(SUMIFS(Data!$K:$K,Data!$A:$A,Vitezistii!$B32,Data!$C:$C,Vitezistii!J$1)=0," ",SUMIFS(Data!$K:$K,Data!$A:$A,Vitezistii!$B32,Data!$C:$C,Vitezistii!J$1))+SUMIFS(Data!$S:$S,Data!$A:$A,Vitezistii!$B32,Data!$C:$C,Vitezistii!J$1),0)</f>
        <v>0.25</v>
      </c>
      <c r="K32" s="31">
        <f>IFERROR(IF(SUMIFS(Data!$K:$K,Data!$A:$A,Vitezistii!$B32,Data!$C:$C,Vitezistii!K$1)=0," ",SUMIFS(Data!$K:$K,Data!$A:$A,Vitezistii!$B32,Data!$C:$C,Vitezistii!K$1))+SUMIFS(Data!$S:$S,Data!$A:$A,Vitezistii!$B32,Data!$C:$C,Vitezistii!K$1),0)</f>
        <v>3.5</v>
      </c>
      <c r="L32" s="31">
        <f>IFERROR(IF(SUMIFS(Data!$K:$K,Data!$A:$A,Vitezistii!$B32,Data!$C:$C,Vitezistii!L$1)=0," ",SUMIFS(Data!$K:$K,Data!$A:$A,Vitezistii!$B32,Data!$C:$C,Vitezistii!L$1))+SUMIFS(Data!$S:$S,Data!$A:$A,Vitezistii!$B32,Data!$C:$C,Vitezistii!L$1),0)</f>
        <v>1.5</v>
      </c>
      <c r="M32" s="31">
        <f>IFERROR(IF(SUMIFS(Data!$K:$K,Data!$A:$A,Vitezistii!$B32,Data!$C:$C,Vitezistii!M$1)=0," ",SUMIFS(Data!$K:$K,Data!$A:$A,Vitezistii!$B32,Data!$C:$C,Vitezistii!M$1))+SUMIFS(Data!$S:$S,Data!$A:$A,Vitezistii!$B32,Data!$C:$C,Vitezistii!M$1),0)</f>
        <v>4</v>
      </c>
      <c r="N32" s="31">
        <f>IFERROR(IF(SUMIFS(Data!$K:$K,Data!$A:$A,Vitezistii!$B32,Data!$C:$C,Vitezistii!N$1)=0," ",SUMIFS(Data!$K:$K,Data!$A:$A,Vitezistii!$B32,Data!$C:$C,Vitezistii!N$1))+SUMIFS(Data!$S:$S,Data!$A:$A,Vitezistii!$B32,Data!$C:$C,Vitezistii!N$1),0)</f>
        <v>1</v>
      </c>
      <c r="O32" s="31">
        <f>IFERROR(IF(SUMIFS(Data!$K:$K,Data!$A:$A,Vitezistii!$B32,Data!$C:$C,Vitezistii!O$1)=0," ",SUMIFS(Data!$K:$K,Data!$A:$A,Vitezistii!$B32,Data!$C:$C,Vitezistii!O$1))+SUMIFS(Data!$S:$S,Data!$A:$A,Vitezistii!$B32,Data!$C:$C,Vitezistii!O$1),0)</f>
        <v>2.5</v>
      </c>
      <c r="P32" s="31">
        <f>IFERROR(IF(SUMIFS(Data!$K:$K,Data!$A:$A,Vitezistii!$B32,Data!$C:$C,Vitezistii!P$1)=0," ",SUMIFS(Data!$K:$K,Data!$A:$A,Vitezistii!$B32,Data!$C:$C,Vitezistii!P$1))+SUMIFS(Data!$S:$S,Data!$A:$A,Vitezistii!$B32,Data!$C:$C,Vitezistii!P$1),0)</f>
        <v>2.5</v>
      </c>
      <c r="Q32" s="31">
        <f>IFERROR(IF(SUMIFS(Data!$K:$K,Data!$A:$A,Vitezistii!$B32,Data!$C:$C,Vitezistii!Q$1)=0," ",SUMIFS(Data!$K:$K,Data!$A:$A,Vitezistii!$B32,Data!$C:$C,Vitezistii!Q$1))+SUMIFS(Data!$S:$S,Data!$A:$A,Vitezistii!$B32,Data!$C:$C,Vitezistii!Q$1),0)</f>
        <v>1.5</v>
      </c>
      <c r="R32" s="31">
        <f>SUM(C32:Q32)</f>
        <v>35.5</v>
      </c>
      <c r="S32" s="31">
        <f>SUMIFS(Data!D:D,Data!A:A,Vitezistii!B92)</f>
        <v>135.56</v>
      </c>
      <c r="T32" s="12">
        <f>SUMIFS(Data!I:I,Data!A:A,Vitezistii!B32)/COUNTIF(Data!A:A,Vitezistii!B32)</f>
        <v>4.1306891638464354E-3</v>
      </c>
    </row>
    <row r="33" spans="1:20" ht="13" x14ac:dyDescent="0.3">
      <c r="A33" s="79">
        <v>32</v>
      </c>
      <c r="B33" s="30" t="s">
        <v>430</v>
      </c>
      <c r="C33" s="31">
        <f>IFERROR(IF(SUMIFS(Data!$K:$K,Data!$A:$A,Vitezistii!$B33,Data!$C:$C,Vitezistii!C$1)=0," ",SUMIFS(Data!$K:$K,Data!$A:$A,Vitezistii!$B33,Data!$C:$C,Vitezistii!C$1))+SUMIFS(Data!$S:$S,Data!$A:$A,Vitezistii!$B33,Data!$C:$C,Vitezistii!C$1),0)</f>
        <v>0</v>
      </c>
      <c r="D33" s="31">
        <f>IFERROR(IF(SUMIFS(Data!$K:$K,Data!$A:$A,Vitezistii!$B33,Data!$C:$C,Vitezistii!D$1)=0," ",SUMIFS(Data!$K:$K,Data!$A:$A,Vitezistii!$B33,Data!$C:$C,Vitezistii!D$1))+SUMIFS(Data!$S:$S,Data!$A:$A,Vitezistii!$B33,Data!$C:$C,Vitezistii!D$1),0)</f>
        <v>0</v>
      </c>
      <c r="E33" s="31">
        <f>IFERROR(IF(SUMIFS(Data!$K:$K,Data!$A:$A,Vitezistii!$B33,Data!$C:$C,Vitezistii!E$1)=0," ",SUMIFS(Data!$K:$K,Data!$A:$A,Vitezistii!$B33,Data!$C:$C,Vitezistii!E$1))+SUMIFS(Data!$S:$S,Data!$A:$A,Vitezistii!$B33,Data!$C:$C,Vitezistii!E$1),0)</f>
        <v>0</v>
      </c>
      <c r="F33" s="31">
        <f>IFERROR(IF(SUMIFS(Data!$K:$K,Data!$A:$A,Vitezistii!$B33,Data!$C:$C,Vitezistii!F$1)=0," ",SUMIFS(Data!$K:$K,Data!$A:$A,Vitezistii!$B33,Data!$C:$C,Vitezistii!F$1))+SUMIFS(Data!$S:$S,Data!$A:$A,Vitezistii!$B33,Data!$C:$C,Vitezistii!F$1),0)</f>
        <v>0</v>
      </c>
      <c r="G33" s="31">
        <f>IFERROR(IF(SUMIFS(Data!$K:$K,Data!$A:$A,Vitezistii!$B33,Data!$C:$C,Vitezistii!G$1)=0," ",SUMIFS(Data!$K:$K,Data!$A:$A,Vitezistii!$B33,Data!$C:$C,Vitezistii!G$1))+SUMIFS(Data!$S:$S,Data!$A:$A,Vitezistii!$B33,Data!$C:$C,Vitezistii!G$1),0)</f>
        <v>3</v>
      </c>
      <c r="H33" s="31">
        <f>IFERROR(IF(SUMIFS(Data!$K:$K,Data!$A:$A,Vitezistii!$B33,Data!$C:$C,Vitezistii!H$1)=0," ",SUMIFS(Data!$K:$K,Data!$A:$A,Vitezistii!$B33,Data!$C:$C,Vitezistii!H$1))+SUMIFS(Data!$S:$S,Data!$A:$A,Vitezistii!$B33,Data!$C:$C,Vitezistii!H$1),0)</f>
        <v>3</v>
      </c>
      <c r="I33" s="31">
        <f>IFERROR(IF(SUMIFS(Data!$K:$K,Data!$A:$A,Vitezistii!$B33,Data!$C:$C,Vitezistii!I$1)=0," ",SUMIFS(Data!$K:$K,Data!$A:$A,Vitezistii!$B33,Data!$C:$C,Vitezistii!I$1))+SUMIFS(Data!$S:$S,Data!$A:$A,Vitezistii!$B33,Data!$C:$C,Vitezistii!I$1),0)</f>
        <v>3</v>
      </c>
      <c r="J33" s="31">
        <f>IFERROR(IF(SUMIFS(Data!$K:$K,Data!$A:$A,Vitezistii!$B33,Data!$C:$C,Vitezistii!J$1)=0," ",SUMIFS(Data!$K:$K,Data!$A:$A,Vitezistii!$B33,Data!$C:$C,Vitezistii!J$1))+SUMIFS(Data!$S:$S,Data!$A:$A,Vitezistii!$B33,Data!$C:$C,Vitezistii!J$1),0)</f>
        <v>2</v>
      </c>
      <c r="K33" s="31">
        <f>IFERROR(IF(SUMIFS(Data!$K:$K,Data!$A:$A,Vitezistii!$B33,Data!$C:$C,Vitezistii!K$1)=0," ",SUMIFS(Data!$K:$K,Data!$A:$A,Vitezistii!$B33,Data!$C:$C,Vitezistii!K$1))+SUMIFS(Data!$S:$S,Data!$A:$A,Vitezistii!$B33,Data!$C:$C,Vitezistii!K$1),0)</f>
        <v>3</v>
      </c>
      <c r="L33" s="31">
        <f>IFERROR(IF(SUMIFS(Data!$K:$K,Data!$A:$A,Vitezistii!$B33,Data!$C:$C,Vitezistii!L$1)=0," ",SUMIFS(Data!$K:$K,Data!$A:$A,Vitezistii!$B33,Data!$C:$C,Vitezistii!L$1))+SUMIFS(Data!$S:$S,Data!$A:$A,Vitezistii!$B33,Data!$C:$C,Vitezistii!L$1),0)</f>
        <v>3</v>
      </c>
      <c r="M33" s="31">
        <f>IFERROR(IF(SUMIFS(Data!$K:$K,Data!$A:$A,Vitezistii!$B33,Data!$C:$C,Vitezistii!M$1)=0," ",SUMIFS(Data!$K:$K,Data!$A:$A,Vitezistii!$B33,Data!$C:$C,Vitezistii!M$1))+SUMIFS(Data!$S:$S,Data!$A:$A,Vitezistii!$B33,Data!$C:$C,Vitezistii!M$1),0)</f>
        <v>3.5</v>
      </c>
      <c r="N33" s="31">
        <f>IFERROR(IF(SUMIFS(Data!$K:$K,Data!$A:$A,Vitezistii!$B33,Data!$C:$C,Vitezistii!N$1)=0," ",SUMIFS(Data!$K:$K,Data!$A:$A,Vitezistii!$B33,Data!$C:$C,Vitezistii!N$1))+SUMIFS(Data!$S:$S,Data!$A:$A,Vitezistii!$B33,Data!$C:$C,Vitezistii!N$1),0)</f>
        <v>3</v>
      </c>
      <c r="O33" s="31">
        <f>IFERROR(IF(SUMIFS(Data!$K:$K,Data!$A:$A,Vitezistii!$B33,Data!$C:$C,Vitezistii!O$1)=0," ",SUMIFS(Data!$K:$K,Data!$A:$A,Vitezistii!$B33,Data!$C:$C,Vitezistii!O$1))+SUMIFS(Data!$S:$S,Data!$A:$A,Vitezistii!$B33,Data!$C:$C,Vitezistii!O$1),0)</f>
        <v>3.5</v>
      </c>
      <c r="P33" s="31">
        <f>IFERROR(IF(SUMIFS(Data!$K:$K,Data!$A:$A,Vitezistii!$B33,Data!$C:$C,Vitezistii!P$1)=0," ",SUMIFS(Data!$K:$K,Data!$A:$A,Vitezistii!$B33,Data!$C:$C,Vitezistii!P$1))+SUMIFS(Data!$S:$S,Data!$A:$A,Vitezistii!$B33,Data!$C:$C,Vitezistii!P$1),0)</f>
        <v>3</v>
      </c>
      <c r="Q33" s="31">
        <f>IFERROR(IF(SUMIFS(Data!$K:$K,Data!$A:$A,Vitezistii!$B33,Data!$C:$C,Vitezistii!Q$1)=0," ",SUMIFS(Data!$K:$K,Data!$A:$A,Vitezistii!$B33,Data!$C:$C,Vitezistii!Q$1))+SUMIFS(Data!$S:$S,Data!$A:$A,Vitezistii!$B33,Data!$C:$C,Vitezistii!Q$1),0)</f>
        <v>5.15</v>
      </c>
      <c r="R33" s="31">
        <f>SUM(C33:Q33)</f>
        <v>35.15</v>
      </c>
      <c r="S33" s="31">
        <f>SUMIFS(Data!D:D,Data!A:A,Vitezistii!B93)</f>
        <v>115.51</v>
      </c>
      <c r="T33" s="12">
        <f>SUMIFS(Data!I:I,Data!A:A,Vitezistii!B33)/COUNTIF(Data!A:A,Vitezistii!B33)</f>
        <v>3.3552713195271621E-3</v>
      </c>
    </row>
    <row r="34" spans="1:20" ht="13" x14ac:dyDescent="0.3">
      <c r="A34" s="79">
        <v>33</v>
      </c>
      <c r="B34" s="30" t="s">
        <v>137</v>
      </c>
      <c r="C34" s="31">
        <f>IFERROR(IF(SUMIFS(Data!$K:$K,Data!$A:$A,Vitezistii!$B34,Data!$C:$C,Vitezistii!C$1)=0," ",SUMIFS(Data!$K:$K,Data!$A:$A,Vitezistii!$B34,Data!$C:$C,Vitezistii!C$1))+SUMIFS(Data!$S:$S,Data!$A:$A,Vitezistii!$B34,Data!$C:$C,Vitezistii!C$1),0)</f>
        <v>1.75</v>
      </c>
      <c r="D34" s="31">
        <f>IFERROR(IF(SUMIFS(Data!$K:$K,Data!$A:$A,Vitezistii!$B34,Data!$C:$C,Vitezistii!D$1)=0," ",SUMIFS(Data!$K:$K,Data!$A:$A,Vitezistii!$B34,Data!$C:$C,Vitezistii!D$1))+SUMIFS(Data!$S:$S,Data!$A:$A,Vitezistii!$B34,Data!$C:$C,Vitezistii!D$1),0)</f>
        <v>1.5</v>
      </c>
      <c r="E34" s="31">
        <f>IFERROR(IF(SUMIFS(Data!$K:$K,Data!$A:$A,Vitezistii!$B34,Data!$C:$C,Vitezistii!E$1)=0," ",SUMIFS(Data!$K:$K,Data!$A:$A,Vitezistii!$B34,Data!$C:$C,Vitezistii!E$1))+SUMIFS(Data!$S:$S,Data!$A:$A,Vitezistii!$B34,Data!$C:$C,Vitezistii!E$1),0)</f>
        <v>1.75</v>
      </c>
      <c r="F34" s="31">
        <f>IFERROR(IF(SUMIFS(Data!$K:$K,Data!$A:$A,Vitezistii!$B34,Data!$C:$C,Vitezistii!F$1)=0," ",SUMIFS(Data!$K:$K,Data!$A:$A,Vitezistii!$B34,Data!$C:$C,Vitezistii!F$1))+SUMIFS(Data!$S:$S,Data!$A:$A,Vitezistii!$B34,Data!$C:$C,Vitezistii!F$1),0)</f>
        <v>0.25</v>
      </c>
      <c r="G34" s="31">
        <f>IFERROR(IF(SUMIFS(Data!$K:$K,Data!$A:$A,Vitezistii!$B34,Data!$C:$C,Vitezistii!G$1)=0," ",SUMIFS(Data!$K:$K,Data!$A:$A,Vitezistii!$B34,Data!$C:$C,Vitezistii!G$1))+SUMIFS(Data!$S:$S,Data!$A:$A,Vitezistii!$B34,Data!$C:$C,Vitezistii!G$1),0)</f>
        <v>2.5</v>
      </c>
      <c r="H34" s="31">
        <f>IFERROR(IF(SUMIFS(Data!$K:$K,Data!$A:$A,Vitezistii!$B34,Data!$C:$C,Vitezistii!H$1)=0," ",SUMIFS(Data!$K:$K,Data!$A:$A,Vitezistii!$B34,Data!$C:$C,Vitezistii!H$1))+SUMIFS(Data!$S:$S,Data!$A:$A,Vitezistii!$B34,Data!$C:$C,Vitezistii!H$1),0)</f>
        <v>3</v>
      </c>
      <c r="I34" s="31">
        <f>IFERROR(IF(SUMIFS(Data!$K:$K,Data!$A:$A,Vitezistii!$B34,Data!$C:$C,Vitezistii!I$1)=0," ",SUMIFS(Data!$K:$K,Data!$A:$A,Vitezistii!$B34,Data!$C:$C,Vitezistii!I$1))+SUMIFS(Data!$S:$S,Data!$A:$A,Vitezistii!$B34,Data!$C:$C,Vitezistii!I$1),0)</f>
        <v>4.5</v>
      </c>
      <c r="J34" s="31">
        <f>IFERROR(IF(SUMIFS(Data!$K:$K,Data!$A:$A,Vitezistii!$B34,Data!$C:$C,Vitezistii!J$1)=0," ",SUMIFS(Data!$K:$K,Data!$A:$A,Vitezistii!$B34,Data!$C:$C,Vitezistii!J$1))+SUMIFS(Data!$S:$S,Data!$A:$A,Vitezistii!$B34,Data!$C:$C,Vitezistii!J$1),0)</f>
        <v>0</v>
      </c>
      <c r="K34" s="31">
        <f>IFERROR(IF(SUMIFS(Data!$K:$K,Data!$A:$A,Vitezistii!$B34,Data!$C:$C,Vitezistii!K$1)=0," ",SUMIFS(Data!$K:$K,Data!$A:$A,Vitezistii!$B34,Data!$C:$C,Vitezistii!K$1))+SUMIFS(Data!$S:$S,Data!$A:$A,Vitezistii!$B34,Data!$C:$C,Vitezistii!K$1),0)</f>
        <v>3</v>
      </c>
      <c r="L34" s="31">
        <f>IFERROR(IF(SUMIFS(Data!$K:$K,Data!$A:$A,Vitezistii!$B34,Data!$C:$C,Vitezistii!L$1)=0," ",SUMIFS(Data!$K:$K,Data!$A:$A,Vitezistii!$B34,Data!$C:$C,Vitezistii!L$1))+SUMIFS(Data!$S:$S,Data!$A:$A,Vitezistii!$B34,Data!$C:$C,Vitezistii!L$1),0)</f>
        <v>2</v>
      </c>
      <c r="M34" s="31">
        <f>IFERROR(IF(SUMIFS(Data!$K:$K,Data!$A:$A,Vitezistii!$B34,Data!$C:$C,Vitezistii!M$1)=0," ",SUMIFS(Data!$K:$K,Data!$A:$A,Vitezistii!$B34,Data!$C:$C,Vitezistii!M$1))+SUMIFS(Data!$S:$S,Data!$A:$A,Vitezistii!$B34,Data!$C:$C,Vitezistii!M$1),0)</f>
        <v>4.5</v>
      </c>
      <c r="N34" s="31">
        <f>IFERROR(IF(SUMIFS(Data!$K:$K,Data!$A:$A,Vitezistii!$B34,Data!$C:$C,Vitezistii!N$1)=0," ",SUMIFS(Data!$K:$K,Data!$A:$A,Vitezistii!$B34,Data!$C:$C,Vitezistii!N$1))+SUMIFS(Data!$S:$S,Data!$A:$A,Vitezistii!$B34,Data!$C:$C,Vitezistii!N$1),0)</f>
        <v>2.5</v>
      </c>
      <c r="O34" s="31">
        <f>IFERROR(IF(SUMIFS(Data!$K:$K,Data!$A:$A,Vitezistii!$B34,Data!$C:$C,Vitezistii!O$1)=0," ",SUMIFS(Data!$K:$K,Data!$A:$A,Vitezistii!$B34,Data!$C:$C,Vitezistii!O$1))+SUMIFS(Data!$S:$S,Data!$A:$A,Vitezistii!$B34,Data!$C:$C,Vitezistii!O$1),0)</f>
        <v>3</v>
      </c>
      <c r="P34" s="31">
        <f>IFERROR(IF(SUMIFS(Data!$K:$K,Data!$A:$A,Vitezistii!$B34,Data!$C:$C,Vitezistii!P$1)=0," ",SUMIFS(Data!$K:$K,Data!$A:$A,Vitezistii!$B34,Data!$C:$C,Vitezistii!P$1))+SUMIFS(Data!$S:$S,Data!$A:$A,Vitezistii!$B34,Data!$C:$C,Vitezistii!P$1),0)</f>
        <v>1.75</v>
      </c>
      <c r="Q34" s="31">
        <f>IFERROR(IF(SUMIFS(Data!$K:$K,Data!$A:$A,Vitezistii!$B34,Data!$C:$C,Vitezistii!Q$1)=0," ",SUMIFS(Data!$K:$K,Data!$A:$A,Vitezistii!$B34,Data!$C:$C,Vitezistii!Q$1))+SUMIFS(Data!$S:$S,Data!$A:$A,Vitezistii!$B34,Data!$C:$C,Vitezistii!Q$1),0)</f>
        <v>2.5</v>
      </c>
      <c r="R34" s="31">
        <f>SUM(C34:Q34)</f>
        <v>34.5</v>
      </c>
      <c r="S34" s="31">
        <f>SUMIFS(Data!D:D,Data!A:A,Vitezistii!B94)</f>
        <v>27.69</v>
      </c>
      <c r="T34" s="12">
        <f>SUMIFS(Data!I:I,Data!A:A,Vitezistii!B34)/COUNTIF(Data!A:A,Vitezistii!B34)</f>
        <v>3.4362839434407414E-3</v>
      </c>
    </row>
    <row r="35" spans="1:20" ht="13" x14ac:dyDescent="0.3">
      <c r="A35" s="79">
        <v>34</v>
      </c>
      <c r="B35" s="30" t="s">
        <v>208</v>
      </c>
      <c r="C35" s="31">
        <f>IFERROR(IF(SUMIFS(Data!$K:$K,Data!$A:$A,Vitezistii!$B35,Data!$C:$C,Vitezistii!C$1)=0," ",SUMIFS(Data!$K:$K,Data!$A:$A,Vitezistii!$B35,Data!$C:$C,Vitezistii!C$1))+SUMIFS(Data!$S:$S,Data!$A:$A,Vitezistii!$B35,Data!$C:$C,Vitezistii!C$1),0)</f>
        <v>4</v>
      </c>
      <c r="D35" s="31">
        <f>IFERROR(IF(SUMIFS(Data!$K:$K,Data!$A:$A,Vitezistii!$B35,Data!$C:$C,Vitezistii!D$1)=0," ",SUMIFS(Data!$K:$K,Data!$A:$A,Vitezistii!$B35,Data!$C:$C,Vitezistii!D$1))+SUMIFS(Data!$S:$S,Data!$A:$A,Vitezistii!$B35,Data!$C:$C,Vitezistii!D$1),0)</f>
        <v>4</v>
      </c>
      <c r="E35" s="31">
        <f>IFERROR(IF(SUMIFS(Data!$K:$K,Data!$A:$A,Vitezistii!$B35,Data!$C:$C,Vitezistii!E$1)=0," ",SUMIFS(Data!$K:$K,Data!$A:$A,Vitezistii!$B35,Data!$C:$C,Vitezistii!E$1))+SUMIFS(Data!$S:$S,Data!$A:$A,Vitezistii!$B35,Data!$C:$C,Vitezistii!E$1),0)</f>
        <v>2.5</v>
      </c>
      <c r="F35" s="31">
        <f>IFERROR(IF(SUMIFS(Data!$K:$K,Data!$A:$A,Vitezistii!$B35,Data!$C:$C,Vitezistii!F$1)=0," ",SUMIFS(Data!$K:$K,Data!$A:$A,Vitezistii!$B35,Data!$C:$C,Vitezistii!F$1))+SUMIFS(Data!$S:$S,Data!$A:$A,Vitezistii!$B35,Data!$C:$C,Vitezistii!F$1),0)</f>
        <v>0</v>
      </c>
      <c r="G35" s="31">
        <f>IFERROR(IF(SUMIFS(Data!$K:$K,Data!$A:$A,Vitezistii!$B35,Data!$C:$C,Vitezistii!G$1)=0," ",SUMIFS(Data!$K:$K,Data!$A:$A,Vitezistii!$B35,Data!$C:$C,Vitezistii!G$1))+SUMIFS(Data!$S:$S,Data!$A:$A,Vitezistii!$B35,Data!$C:$C,Vitezistii!G$1),0)</f>
        <v>2.5</v>
      </c>
      <c r="H35" s="31">
        <f>IFERROR(IF(SUMIFS(Data!$K:$K,Data!$A:$A,Vitezistii!$B35,Data!$C:$C,Vitezistii!H$1)=0," ",SUMIFS(Data!$K:$K,Data!$A:$A,Vitezistii!$B35,Data!$C:$C,Vitezistii!H$1))+SUMIFS(Data!$S:$S,Data!$A:$A,Vitezistii!$B35,Data!$C:$C,Vitezistii!H$1),0)</f>
        <v>0</v>
      </c>
      <c r="I35" s="31">
        <f>IFERROR(IF(SUMIFS(Data!$K:$K,Data!$A:$A,Vitezistii!$B35,Data!$C:$C,Vitezistii!I$1)=0," ",SUMIFS(Data!$K:$K,Data!$A:$A,Vitezistii!$B35,Data!$C:$C,Vitezistii!I$1))+SUMIFS(Data!$S:$S,Data!$A:$A,Vitezistii!$B35,Data!$C:$C,Vitezistii!I$1),0)</f>
        <v>2</v>
      </c>
      <c r="J35" s="31">
        <f>IFERROR(IF(SUMIFS(Data!$K:$K,Data!$A:$A,Vitezistii!$B35,Data!$C:$C,Vitezistii!J$1)=0," ",SUMIFS(Data!$K:$K,Data!$A:$A,Vitezistii!$B35,Data!$C:$C,Vitezistii!J$1))+SUMIFS(Data!$S:$S,Data!$A:$A,Vitezistii!$B35,Data!$C:$C,Vitezistii!J$1),0)</f>
        <v>4.5</v>
      </c>
      <c r="K35" s="31">
        <f>IFERROR(IF(SUMIFS(Data!$K:$K,Data!$A:$A,Vitezistii!$B35,Data!$C:$C,Vitezistii!K$1)=0," ",SUMIFS(Data!$K:$K,Data!$A:$A,Vitezistii!$B35,Data!$C:$C,Vitezistii!K$1))+SUMIFS(Data!$S:$S,Data!$A:$A,Vitezistii!$B35,Data!$C:$C,Vitezistii!K$1),0)</f>
        <v>2.5</v>
      </c>
      <c r="L35" s="31">
        <f>IFERROR(IF(SUMIFS(Data!$K:$K,Data!$A:$A,Vitezistii!$B35,Data!$C:$C,Vitezistii!L$1)=0," ",SUMIFS(Data!$K:$K,Data!$A:$A,Vitezistii!$B35,Data!$C:$C,Vitezistii!L$1))+SUMIFS(Data!$S:$S,Data!$A:$A,Vitezistii!$B35,Data!$C:$C,Vitezistii!L$1),0)</f>
        <v>0</v>
      </c>
      <c r="M35" s="31">
        <f>IFERROR(IF(SUMIFS(Data!$K:$K,Data!$A:$A,Vitezistii!$B35,Data!$C:$C,Vitezistii!M$1)=0," ",SUMIFS(Data!$K:$K,Data!$A:$A,Vitezistii!$B35,Data!$C:$C,Vitezistii!M$1))+SUMIFS(Data!$S:$S,Data!$A:$A,Vitezistii!$B35,Data!$C:$C,Vitezistii!M$1),0)</f>
        <v>4</v>
      </c>
      <c r="N35" s="31">
        <f>IFERROR(IF(SUMIFS(Data!$K:$K,Data!$A:$A,Vitezistii!$B35,Data!$C:$C,Vitezistii!N$1)=0," ",SUMIFS(Data!$K:$K,Data!$A:$A,Vitezistii!$B35,Data!$C:$C,Vitezistii!N$1))+SUMIFS(Data!$S:$S,Data!$A:$A,Vitezistii!$B35,Data!$C:$C,Vitezistii!N$1),0)</f>
        <v>0</v>
      </c>
      <c r="O35" s="31">
        <f>IFERROR(IF(SUMIFS(Data!$K:$K,Data!$A:$A,Vitezistii!$B35,Data!$C:$C,Vitezistii!O$1)=0," ",SUMIFS(Data!$K:$K,Data!$A:$A,Vitezistii!$B35,Data!$C:$C,Vitezistii!O$1))+SUMIFS(Data!$S:$S,Data!$A:$A,Vitezistii!$B35,Data!$C:$C,Vitezistii!O$1),0)</f>
        <v>0.25</v>
      </c>
      <c r="P35" s="31">
        <f>IFERROR(IF(SUMIFS(Data!$K:$K,Data!$A:$A,Vitezistii!$B35,Data!$C:$C,Vitezistii!P$1)=0," ",SUMIFS(Data!$K:$K,Data!$A:$A,Vitezistii!$B35,Data!$C:$C,Vitezistii!P$1))+SUMIFS(Data!$S:$S,Data!$A:$A,Vitezistii!$B35,Data!$C:$C,Vitezistii!P$1),0)</f>
        <v>2</v>
      </c>
      <c r="Q35" s="31">
        <f>IFERROR(IF(SUMIFS(Data!$K:$K,Data!$A:$A,Vitezistii!$B35,Data!$C:$C,Vitezistii!Q$1)=0," ",SUMIFS(Data!$K:$K,Data!$A:$A,Vitezistii!$B35,Data!$C:$C,Vitezistii!Q$1))+SUMIFS(Data!$S:$S,Data!$A:$A,Vitezistii!$B35,Data!$C:$C,Vitezistii!Q$1),0)</f>
        <v>4</v>
      </c>
      <c r="R35" s="31">
        <f>SUM(C35:Q35)</f>
        <v>32.25</v>
      </c>
      <c r="S35" s="31">
        <f>SUMIFS(Data!D:D,Data!A:A,Vitezistii!B95)</f>
        <v>67.3</v>
      </c>
      <c r="T35" s="12">
        <f>SUMIFS(Data!I:I,Data!A:A,Vitezistii!B35)/COUNTIF(Data!A:A,Vitezistii!B35)</f>
        <v>4.1107175117576266E-3</v>
      </c>
    </row>
    <row r="36" spans="1:20" ht="13" x14ac:dyDescent="0.3">
      <c r="A36" s="79">
        <v>35</v>
      </c>
      <c r="B36" s="30" t="s">
        <v>357</v>
      </c>
      <c r="C36" s="31">
        <f>IFERROR(IF(SUMIFS(Data!$K:$K,Data!$A:$A,Vitezistii!$B36,Data!$C:$C,Vitezistii!C$1)=0," ",SUMIFS(Data!$K:$K,Data!$A:$A,Vitezistii!$B36,Data!$C:$C,Vitezistii!C$1))+SUMIFS(Data!$S:$S,Data!$A:$A,Vitezistii!$B36,Data!$C:$C,Vitezistii!C$1),0)</f>
        <v>4.5</v>
      </c>
      <c r="D36" s="31">
        <f>IFERROR(IF(SUMIFS(Data!$K:$K,Data!$A:$A,Vitezistii!$B36,Data!$C:$C,Vitezistii!D$1)=0," ",SUMIFS(Data!$K:$K,Data!$A:$A,Vitezistii!$B36,Data!$C:$C,Vitezistii!D$1))+SUMIFS(Data!$S:$S,Data!$A:$A,Vitezistii!$B36,Data!$C:$C,Vitezistii!D$1),0)</f>
        <v>2.5</v>
      </c>
      <c r="E36" s="31">
        <f>IFERROR(IF(SUMIFS(Data!$K:$K,Data!$A:$A,Vitezistii!$B36,Data!$C:$C,Vitezistii!E$1)=0," ",SUMIFS(Data!$K:$K,Data!$A:$A,Vitezistii!$B36,Data!$C:$C,Vitezistii!E$1))+SUMIFS(Data!$S:$S,Data!$A:$A,Vitezistii!$B36,Data!$C:$C,Vitezistii!E$1),0)</f>
        <v>0</v>
      </c>
      <c r="F36" s="31">
        <f>IFERROR(IF(SUMIFS(Data!$K:$K,Data!$A:$A,Vitezistii!$B36,Data!$C:$C,Vitezistii!F$1)=0," ",SUMIFS(Data!$K:$K,Data!$A:$A,Vitezistii!$B36,Data!$C:$C,Vitezistii!F$1))+SUMIFS(Data!$S:$S,Data!$A:$A,Vitezistii!$B36,Data!$C:$C,Vitezistii!F$1),0)</f>
        <v>1.75</v>
      </c>
      <c r="G36" s="31">
        <f>IFERROR(IF(SUMIFS(Data!$K:$K,Data!$A:$A,Vitezistii!$B36,Data!$C:$C,Vitezistii!G$1)=0," ",SUMIFS(Data!$K:$K,Data!$A:$A,Vitezistii!$B36,Data!$C:$C,Vitezistii!G$1))+SUMIFS(Data!$S:$S,Data!$A:$A,Vitezistii!$B36,Data!$C:$C,Vitezistii!G$1),0)</f>
        <v>2.5</v>
      </c>
      <c r="H36" s="31">
        <f>IFERROR(IF(SUMIFS(Data!$K:$K,Data!$A:$A,Vitezistii!$B36,Data!$C:$C,Vitezistii!H$1)=0," ",SUMIFS(Data!$K:$K,Data!$A:$A,Vitezistii!$B36,Data!$C:$C,Vitezistii!H$1))+SUMIFS(Data!$S:$S,Data!$A:$A,Vitezistii!$B36,Data!$C:$C,Vitezistii!H$1),0)</f>
        <v>2</v>
      </c>
      <c r="I36" s="31">
        <f>IFERROR(IF(SUMIFS(Data!$K:$K,Data!$A:$A,Vitezistii!$B36,Data!$C:$C,Vitezistii!I$1)=0," ",SUMIFS(Data!$K:$K,Data!$A:$A,Vitezistii!$B36,Data!$C:$C,Vitezistii!I$1))+SUMIFS(Data!$S:$S,Data!$A:$A,Vitezistii!$B36,Data!$C:$C,Vitezistii!I$1),0)</f>
        <v>2.5</v>
      </c>
      <c r="J36" s="31">
        <f>IFERROR(IF(SUMIFS(Data!$K:$K,Data!$A:$A,Vitezistii!$B36,Data!$C:$C,Vitezistii!J$1)=0," ",SUMIFS(Data!$K:$K,Data!$A:$A,Vitezistii!$B36,Data!$C:$C,Vitezistii!J$1))+SUMIFS(Data!$S:$S,Data!$A:$A,Vitezistii!$B36,Data!$C:$C,Vitezistii!J$1),0)</f>
        <v>2.5</v>
      </c>
      <c r="K36" s="31">
        <f>IFERROR(IF(SUMIFS(Data!$K:$K,Data!$A:$A,Vitezistii!$B36,Data!$C:$C,Vitezistii!K$1)=0," ",SUMIFS(Data!$K:$K,Data!$A:$A,Vitezistii!$B36,Data!$C:$C,Vitezistii!K$1))+SUMIFS(Data!$S:$S,Data!$A:$A,Vitezistii!$B36,Data!$C:$C,Vitezistii!K$1),0)</f>
        <v>2</v>
      </c>
      <c r="L36" s="31">
        <f>IFERROR(IF(SUMIFS(Data!$K:$K,Data!$A:$A,Vitezistii!$B36,Data!$C:$C,Vitezistii!L$1)=0," ",SUMIFS(Data!$K:$K,Data!$A:$A,Vitezistii!$B36,Data!$C:$C,Vitezistii!L$1))+SUMIFS(Data!$S:$S,Data!$A:$A,Vitezistii!$B36,Data!$C:$C,Vitezistii!L$1),0)</f>
        <v>3</v>
      </c>
      <c r="M36" s="31">
        <f>IFERROR(IF(SUMIFS(Data!$K:$K,Data!$A:$A,Vitezistii!$B36,Data!$C:$C,Vitezistii!M$1)=0," ",SUMIFS(Data!$K:$K,Data!$A:$A,Vitezistii!$B36,Data!$C:$C,Vitezistii!M$1))+SUMIFS(Data!$S:$S,Data!$A:$A,Vitezistii!$B36,Data!$C:$C,Vitezistii!M$1),0)</f>
        <v>4</v>
      </c>
      <c r="N36" s="31">
        <f>IFERROR(IF(SUMIFS(Data!$K:$K,Data!$A:$A,Vitezistii!$B36,Data!$C:$C,Vitezistii!N$1)=0," ",SUMIFS(Data!$K:$K,Data!$A:$A,Vitezistii!$B36,Data!$C:$C,Vitezistii!N$1))+SUMIFS(Data!$S:$S,Data!$A:$A,Vitezistii!$B36,Data!$C:$C,Vitezistii!N$1),0)</f>
        <v>2</v>
      </c>
      <c r="O36" s="31">
        <f>IFERROR(IF(SUMIFS(Data!$K:$K,Data!$A:$A,Vitezistii!$B36,Data!$C:$C,Vitezistii!O$1)=0," ",SUMIFS(Data!$K:$K,Data!$A:$A,Vitezistii!$B36,Data!$C:$C,Vitezistii!O$1))+SUMIFS(Data!$S:$S,Data!$A:$A,Vitezistii!$B36,Data!$C:$C,Vitezistii!O$1),0)</f>
        <v>1.5</v>
      </c>
      <c r="P36" s="31">
        <f>IFERROR(IF(SUMIFS(Data!$K:$K,Data!$A:$A,Vitezistii!$B36,Data!$C:$C,Vitezistii!P$1)=0," ",SUMIFS(Data!$K:$K,Data!$A:$A,Vitezistii!$B36,Data!$C:$C,Vitezistii!P$1))+SUMIFS(Data!$S:$S,Data!$A:$A,Vitezistii!$B36,Data!$C:$C,Vitezistii!P$1),0)</f>
        <v>1.25</v>
      </c>
      <c r="Q36" s="31">
        <f>IFERROR(IF(SUMIFS(Data!$K:$K,Data!$A:$A,Vitezistii!$B36,Data!$C:$C,Vitezistii!Q$1)=0," ",SUMIFS(Data!$K:$K,Data!$A:$A,Vitezistii!$B36,Data!$C:$C,Vitezistii!Q$1))+SUMIFS(Data!$S:$S,Data!$A:$A,Vitezistii!$B36,Data!$C:$C,Vitezistii!Q$1),0)</f>
        <v>0</v>
      </c>
      <c r="R36" s="31">
        <f>SUM(C36:Q36)</f>
        <v>32</v>
      </c>
      <c r="S36" s="31">
        <f>SUMIFS(Data!D:D,Data!A:A,Vitezistii!B96)</f>
        <v>10.02</v>
      </c>
      <c r="T36" s="12">
        <f>SUMIFS(Data!I:I,Data!A:A,Vitezistii!B36)/COUNTIF(Data!A:A,Vitezistii!B36)</f>
        <v>3.9685038565533881E-3</v>
      </c>
    </row>
    <row r="37" spans="1:20" ht="13" x14ac:dyDescent="0.3">
      <c r="A37" s="79">
        <v>36</v>
      </c>
      <c r="B37" s="30" t="s">
        <v>344</v>
      </c>
      <c r="C37" s="31">
        <f>IFERROR(IF(SUMIFS(Data!$K:$K,Data!$A:$A,Vitezistii!$B37,Data!$C:$C,Vitezistii!C$1)=0," ",SUMIFS(Data!$K:$K,Data!$A:$A,Vitezistii!$B37,Data!$C:$C,Vitezistii!C$1))+SUMIFS(Data!$S:$S,Data!$A:$A,Vitezistii!$B37,Data!$C:$C,Vitezistii!C$1),0)</f>
        <v>1.25</v>
      </c>
      <c r="D37" s="31">
        <f>IFERROR(IF(SUMIFS(Data!$K:$K,Data!$A:$A,Vitezistii!$B37,Data!$C:$C,Vitezistii!D$1)=0," ",SUMIFS(Data!$K:$K,Data!$A:$A,Vitezistii!$B37,Data!$C:$C,Vitezistii!D$1))+SUMIFS(Data!$S:$S,Data!$A:$A,Vitezistii!$B37,Data!$C:$C,Vitezistii!D$1),0)</f>
        <v>1.5</v>
      </c>
      <c r="E37" s="31">
        <f>IFERROR(IF(SUMIFS(Data!$K:$K,Data!$A:$A,Vitezistii!$B37,Data!$C:$C,Vitezistii!E$1)=0," ",SUMIFS(Data!$K:$K,Data!$A:$A,Vitezistii!$B37,Data!$C:$C,Vitezistii!E$1))+SUMIFS(Data!$S:$S,Data!$A:$A,Vitezistii!$B37,Data!$C:$C,Vitezistii!E$1),0)</f>
        <v>1.75</v>
      </c>
      <c r="F37" s="31">
        <f>IFERROR(IF(SUMIFS(Data!$K:$K,Data!$A:$A,Vitezistii!$B37,Data!$C:$C,Vitezistii!F$1)=0," ",SUMIFS(Data!$K:$K,Data!$A:$A,Vitezistii!$B37,Data!$C:$C,Vitezistii!F$1))+SUMIFS(Data!$S:$S,Data!$A:$A,Vitezistii!$B37,Data!$C:$C,Vitezistii!F$1),0)</f>
        <v>2</v>
      </c>
      <c r="G37" s="31">
        <f>IFERROR(IF(SUMIFS(Data!$K:$K,Data!$A:$A,Vitezistii!$B37,Data!$C:$C,Vitezistii!G$1)=0," ",SUMIFS(Data!$K:$K,Data!$A:$A,Vitezistii!$B37,Data!$C:$C,Vitezistii!G$1))+SUMIFS(Data!$S:$S,Data!$A:$A,Vitezistii!$B37,Data!$C:$C,Vitezistii!G$1),0)</f>
        <v>2.5</v>
      </c>
      <c r="H37" s="31">
        <f>IFERROR(IF(SUMIFS(Data!$K:$K,Data!$A:$A,Vitezistii!$B37,Data!$C:$C,Vitezistii!H$1)=0," ",SUMIFS(Data!$K:$K,Data!$A:$A,Vitezistii!$B37,Data!$C:$C,Vitezistii!H$1))+SUMIFS(Data!$S:$S,Data!$A:$A,Vitezistii!$B37,Data!$C:$C,Vitezistii!H$1),0)</f>
        <v>1.75</v>
      </c>
      <c r="I37" s="31">
        <f>IFERROR(IF(SUMIFS(Data!$K:$K,Data!$A:$A,Vitezistii!$B37,Data!$C:$C,Vitezistii!I$1)=0," ",SUMIFS(Data!$K:$K,Data!$A:$A,Vitezistii!$B37,Data!$C:$C,Vitezistii!I$1))+SUMIFS(Data!$S:$S,Data!$A:$A,Vitezistii!$B37,Data!$C:$C,Vitezistii!I$1),0)</f>
        <v>2</v>
      </c>
      <c r="J37" s="31">
        <f>IFERROR(IF(SUMIFS(Data!$K:$K,Data!$A:$A,Vitezistii!$B37,Data!$C:$C,Vitezistii!J$1)=0," ",SUMIFS(Data!$K:$K,Data!$A:$A,Vitezistii!$B37,Data!$C:$C,Vitezistii!J$1))+SUMIFS(Data!$S:$S,Data!$A:$A,Vitezistii!$B37,Data!$C:$C,Vitezistii!J$1),0)</f>
        <v>2</v>
      </c>
      <c r="K37" s="31">
        <f>IFERROR(IF(SUMIFS(Data!$K:$K,Data!$A:$A,Vitezistii!$B37,Data!$C:$C,Vitezistii!K$1)=0," ",SUMIFS(Data!$K:$K,Data!$A:$A,Vitezistii!$B37,Data!$C:$C,Vitezistii!K$1))+SUMIFS(Data!$S:$S,Data!$A:$A,Vitezistii!$B37,Data!$C:$C,Vitezistii!K$1),0)</f>
        <v>2.5</v>
      </c>
      <c r="L37" s="31">
        <f>IFERROR(IF(SUMIFS(Data!$K:$K,Data!$A:$A,Vitezistii!$B37,Data!$C:$C,Vitezistii!L$1)=0," ",SUMIFS(Data!$K:$K,Data!$A:$A,Vitezistii!$B37,Data!$C:$C,Vitezistii!L$1))+SUMIFS(Data!$S:$S,Data!$A:$A,Vitezistii!$B37,Data!$C:$C,Vitezistii!L$1),0)</f>
        <v>3</v>
      </c>
      <c r="M37" s="31">
        <f>IFERROR(IF(SUMIFS(Data!$K:$K,Data!$A:$A,Vitezistii!$B37,Data!$C:$C,Vitezistii!M$1)=0," ",SUMIFS(Data!$K:$K,Data!$A:$A,Vitezistii!$B37,Data!$C:$C,Vitezistii!M$1))+SUMIFS(Data!$S:$S,Data!$A:$A,Vitezistii!$B37,Data!$C:$C,Vitezistii!M$1),0)</f>
        <v>3</v>
      </c>
      <c r="N37" s="31">
        <f>IFERROR(IF(SUMIFS(Data!$K:$K,Data!$A:$A,Vitezistii!$B37,Data!$C:$C,Vitezistii!N$1)=0," ",SUMIFS(Data!$K:$K,Data!$A:$A,Vitezistii!$B37,Data!$C:$C,Vitezistii!N$1))+SUMIFS(Data!$S:$S,Data!$A:$A,Vitezistii!$B37,Data!$C:$C,Vitezistii!N$1),0)</f>
        <v>3</v>
      </c>
      <c r="O37" s="31">
        <f>IFERROR(IF(SUMIFS(Data!$K:$K,Data!$A:$A,Vitezistii!$B37,Data!$C:$C,Vitezistii!O$1)=0," ",SUMIFS(Data!$K:$K,Data!$A:$A,Vitezistii!$B37,Data!$C:$C,Vitezistii!O$1))+SUMIFS(Data!$S:$S,Data!$A:$A,Vitezistii!$B37,Data!$C:$C,Vitezistii!O$1),0)</f>
        <v>0.25</v>
      </c>
      <c r="P37" s="31">
        <f>IFERROR(IF(SUMIFS(Data!$K:$K,Data!$A:$A,Vitezistii!$B37,Data!$C:$C,Vitezistii!P$1)=0," ",SUMIFS(Data!$K:$K,Data!$A:$A,Vitezistii!$B37,Data!$C:$C,Vitezistii!P$1))+SUMIFS(Data!$S:$S,Data!$A:$A,Vitezistii!$B37,Data!$C:$C,Vitezistii!P$1),0)</f>
        <v>2</v>
      </c>
      <c r="Q37" s="31">
        <f>IFERROR(IF(SUMIFS(Data!$K:$K,Data!$A:$A,Vitezistii!$B37,Data!$C:$C,Vitezistii!Q$1)=0," ",SUMIFS(Data!$K:$K,Data!$A:$A,Vitezistii!$B37,Data!$C:$C,Vitezistii!Q$1))+SUMIFS(Data!$S:$S,Data!$A:$A,Vitezistii!$B37,Data!$C:$C,Vitezistii!Q$1),0)</f>
        <v>2.5</v>
      </c>
      <c r="R37" s="31">
        <f>SUM(C37:Q37)</f>
        <v>31</v>
      </c>
      <c r="S37" s="31">
        <f>SUMIFS(Data!D:D,Data!A:A,Vitezistii!B97)</f>
        <v>10.8</v>
      </c>
      <c r="T37" s="12">
        <f>SUMIFS(Data!I:I,Data!A:A,Vitezistii!B37)/COUNTIF(Data!A:A,Vitezistii!B37)</f>
        <v>4.1749518524504953E-3</v>
      </c>
    </row>
    <row r="38" spans="1:20" ht="13" x14ac:dyDescent="0.3">
      <c r="A38" s="79">
        <v>37</v>
      </c>
      <c r="B38" s="30" t="s">
        <v>331</v>
      </c>
      <c r="C38" s="31">
        <f>IFERROR(IF(SUMIFS(Data!$K:$K,Data!$A:$A,Vitezistii!$B38,Data!$C:$C,Vitezistii!C$1)=0," ",SUMIFS(Data!$K:$K,Data!$A:$A,Vitezistii!$B38,Data!$C:$C,Vitezistii!C$1))+SUMIFS(Data!$S:$S,Data!$A:$A,Vitezistii!$B38,Data!$C:$C,Vitezistii!C$1),0)</f>
        <v>2.5</v>
      </c>
      <c r="D38" s="31">
        <f>IFERROR(IF(SUMIFS(Data!$K:$K,Data!$A:$A,Vitezistii!$B38,Data!$C:$C,Vitezistii!D$1)=0," ",SUMIFS(Data!$K:$K,Data!$A:$A,Vitezistii!$B38,Data!$C:$C,Vitezistii!D$1))+SUMIFS(Data!$S:$S,Data!$A:$A,Vitezistii!$B38,Data!$C:$C,Vitezistii!D$1),0)</f>
        <v>1.5</v>
      </c>
      <c r="E38" s="31">
        <f>IFERROR(IF(SUMIFS(Data!$K:$K,Data!$A:$A,Vitezistii!$B38,Data!$C:$C,Vitezistii!E$1)=0," ",SUMIFS(Data!$K:$K,Data!$A:$A,Vitezistii!$B38,Data!$C:$C,Vitezistii!E$1))+SUMIFS(Data!$S:$S,Data!$A:$A,Vitezistii!$B38,Data!$C:$C,Vitezistii!E$1),0)</f>
        <v>1.75</v>
      </c>
      <c r="F38" s="31">
        <f>IFERROR(IF(SUMIFS(Data!$K:$K,Data!$A:$A,Vitezistii!$B38,Data!$C:$C,Vitezistii!F$1)=0," ",SUMIFS(Data!$K:$K,Data!$A:$A,Vitezistii!$B38,Data!$C:$C,Vitezistii!F$1))+SUMIFS(Data!$S:$S,Data!$A:$A,Vitezistii!$B38,Data!$C:$C,Vitezistii!F$1),0)</f>
        <v>0.5</v>
      </c>
      <c r="G38" s="31">
        <f>IFERROR(IF(SUMIFS(Data!$K:$K,Data!$A:$A,Vitezistii!$B38,Data!$C:$C,Vitezistii!G$1)=0," ",SUMIFS(Data!$K:$K,Data!$A:$A,Vitezistii!$B38,Data!$C:$C,Vitezistii!G$1))+SUMIFS(Data!$S:$S,Data!$A:$A,Vitezistii!$B38,Data!$C:$C,Vitezistii!G$1),0)</f>
        <v>4</v>
      </c>
      <c r="H38" s="31">
        <f>IFERROR(IF(SUMIFS(Data!$K:$K,Data!$A:$A,Vitezistii!$B38,Data!$C:$C,Vitezistii!H$1)=0," ",SUMIFS(Data!$K:$K,Data!$A:$A,Vitezistii!$B38,Data!$C:$C,Vitezistii!H$1))+SUMIFS(Data!$S:$S,Data!$A:$A,Vitezistii!$B38,Data!$C:$C,Vitezistii!H$1),0)</f>
        <v>1.25</v>
      </c>
      <c r="I38" s="31">
        <f>IFERROR(IF(SUMIFS(Data!$K:$K,Data!$A:$A,Vitezistii!$B38,Data!$C:$C,Vitezistii!I$1)=0," ",SUMIFS(Data!$K:$K,Data!$A:$A,Vitezistii!$B38,Data!$C:$C,Vitezistii!I$1))+SUMIFS(Data!$S:$S,Data!$A:$A,Vitezistii!$B38,Data!$C:$C,Vitezistii!I$1),0)</f>
        <v>1.75</v>
      </c>
      <c r="J38" s="31">
        <f>IFERROR(IF(SUMIFS(Data!$K:$K,Data!$A:$A,Vitezistii!$B38,Data!$C:$C,Vitezistii!J$1)=0," ",SUMIFS(Data!$K:$K,Data!$A:$A,Vitezistii!$B38,Data!$C:$C,Vitezistii!J$1))+SUMIFS(Data!$S:$S,Data!$A:$A,Vitezistii!$B38,Data!$C:$C,Vitezistii!J$1),0)</f>
        <v>1.75</v>
      </c>
      <c r="K38" s="31">
        <f>IFERROR(IF(SUMIFS(Data!$K:$K,Data!$A:$A,Vitezistii!$B38,Data!$C:$C,Vitezistii!K$1)=0," ",SUMIFS(Data!$K:$K,Data!$A:$A,Vitezistii!$B38,Data!$C:$C,Vitezistii!K$1))+SUMIFS(Data!$S:$S,Data!$A:$A,Vitezistii!$B38,Data!$C:$C,Vitezistii!K$1),0)</f>
        <v>1.75</v>
      </c>
      <c r="L38" s="31">
        <f>IFERROR(IF(SUMIFS(Data!$K:$K,Data!$A:$A,Vitezistii!$B38,Data!$C:$C,Vitezistii!L$1)=0," ",SUMIFS(Data!$K:$K,Data!$A:$A,Vitezistii!$B38,Data!$C:$C,Vitezistii!L$1))+SUMIFS(Data!$S:$S,Data!$A:$A,Vitezistii!$B38,Data!$C:$C,Vitezistii!L$1),0)</f>
        <v>1.75</v>
      </c>
      <c r="M38" s="31">
        <f>IFERROR(IF(SUMIFS(Data!$K:$K,Data!$A:$A,Vitezistii!$B38,Data!$C:$C,Vitezistii!M$1)=0," ",SUMIFS(Data!$K:$K,Data!$A:$A,Vitezistii!$B38,Data!$C:$C,Vitezistii!M$1))+SUMIFS(Data!$S:$S,Data!$A:$A,Vitezistii!$B38,Data!$C:$C,Vitezistii!M$1),0)</f>
        <v>3</v>
      </c>
      <c r="N38" s="31">
        <f>IFERROR(IF(SUMIFS(Data!$K:$K,Data!$A:$A,Vitezistii!$B38,Data!$C:$C,Vitezistii!N$1)=0," ",SUMIFS(Data!$K:$K,Data!$A:$A,Vitezistii!$B38,Data!$C:$C,Vitezistii!N$1))+SUMIFS(Data!$S:$S,Data!$A:$A,Vitezistii!$B38,Data!$C:$C,Vitezistii!N$1),0)</f>
        <v>1.5</v>
      </c>
      <c r="O38" s="31">
        <f>IFERROR(IF(SUMIFS(Data!$K:$K,Data!$A:$A,Vitezistii!$B38,Data!$C:$C,Vitezistii!O$1)=0," ",SUMIFS(Data!$K:$K,Data!$A:$A,Vitezistii!$B38,Data!$C:$C,Vitezistii!O$1))+SUMIFS(Data!$S:$S,Data!$A:$A,Vitezistii!$B38,Data!$C:$C,Vitezistii!O$1),0)</f>
        <v>0.25</v>
      </c>
      <c r="P38" s="31">
        <f>IFERROR(IF(SUMIFS(Data!$K:$K,Data!$A:$A,Vitezistii!$B38,Data!$C:$C,Vitezistii!P$1)=0," ",SUMIFS(Data!$K:$K,Data!$A:$A,Vitezistii!$B38,Data!$C:$C,Vitezistii!P$1))+SUMIFS(Data!$S:$S,Data!$A:$A,Vitezistii!$B38,Data!$C:$C,Vitezistii!P$1),0)</f>
        <v>4.5</v>
      </c>
      <c r="Q38" s="31">
        <f>IFERROR(IF(SUMIFS(Data!$K:$K,Data!$A:$A,Vitezistii!$B38,Data!$C:$C,Vitezistii!Q$1)=0," ",SUMIFS(Data!$K:$K,Data!$A:$A,Vitezistii!$B38,Data!$C:$C,Vitezistii!Q$1))+SUMIFS(Data!$S:$S,Data!$A:$A,Vitezistii!$B38,Data!$C:$C,Vitezistii!Q$1),0)</f>
        <v>3</v>
      </c>
      <c r="R38" s="31">
        <f>SUM(C38:Q38)</f>
        <v>30.75</v>
      </c>
      <c r="S38" s="31">
        <f>SUMIFS(Data!D:D,Data!A:A,Vitezistii!B98)</f>
        <v>46.54</v>
      </c>
      <c r="T38" s="12">
        <f>SUMIFS(Data!I:I,Data!A:A,Vitezistii!B38)/COUNTIF(Data!A:A,Vitezistii!B38)</f>
        <v>4.2383869295122721E-3</v>
      </c>
    </row>
    <row r="39" spans="1:20" ht="13" x14ac:dyDescent="0.3">
      <c r="A39" s="79">
        <v>38</v>
      </c>
      <c r="B39" s="30" t="s">
        <v>51</v>
      </c>
      <c r="C39" s="31">
        <f>IFERROR(IF(SUMIFS(Data!$K:$K,Data!$A:$A,Vitezistii!$B39,Data!$C:$C,Vitezistii!C$1)=0," ",SUMIFS(Data!$K:$K,Data!$A:$A,Vitezistii!$B39,Data!$C:$C,Vitezistii!C$1))+SUMIFS(Data!$S:$S,Data!$A:$A,Vitezistii!$B39,Data!$C:$C,Vitezistii!C$1),0)</f>
        <v>1.5</v>
      </c>
      <c r="D39" s="31">
        <f>IFERROR(IF(SUMIFS(Data!$K:$K,Data!$A:$A,Vitezistii!$B39,Data!$C:$C,Vitezistii!D$1)=0," ",SUMIFS(Data!$K:$K,Data!$A:$A,Vitezistii!$B39,Data!$C:$C,Vitezistii!D$1))+SUMIFS(Data!$S:$S,Data!$A:$A,Vitezistii!$B39,Data!$C:$C,Vitezistii!D$1),0)</f>
        <v>1.75</v>
      </c>
      <c r="E39" s="31">
        <f>IFERROR(IF(SUMIFS(Data!$K:$K,Data!$A:$A,Vitezistii!$B39,Data!$C:$C,Vitezistii!E$1)=0," ",SUMIFS(Data!$K:$K,Data!$A:$A,Vitezistii!$B39,Data!$C:$C,Vitezistii!E$1))+SUMIFS(Data!$S:$S,Data!$A:$A,Vitezistii!$B39,Data!$C:$C,Vitezistii!E$1),0)</f>
        <v>2</v>
      </c>
      <c r="F39" s="31">
        <f>IFERROR(IF(SUMIFS(Data!$K:$K,Data!$A:$A,Vitezistii!$B39,Data!$C:$C,Vitezistii!F$1)=0," ",SUMIFS(Data!$K:$K,Data!$A:$A,Vitezistii!$B39,Data!$C:$C,Vitezistii!F$1))+SUMIFS(Data!$S:$S,Data!$A:$A,Vitezistii!$B39,Data!$C:$C,Vitezistii!F$1),0)</f>
        <v>4</v>
      </c>
      <c r="G39" s="31">
        <f>IFERROR(IF(SUMIFS(Data!$K:$K,Data!$A:$A,Vitezistii!$B39,Data!$C:$C,Vitezistii!G$1)=0," ",SUMIFS(Data!$K:$K,Data!$A:$A,Vitezistii!$B39,Data!$C:$C,Vitezistii!G$1))+SUMIFS(Data!$S:$S,Data!$A:$A,Vitezistii!$B39,Data!$C:$C,Vitezistii!G$1),0)</f>
        <v>1.75</v>
      </c>
      <c r="H39" s="31">
        <f>IFERROR(IF(SUMIFS(Data!$K:$K,Data!$A:$A,Vitezistii!$B39,Data!$C:$C,Vitezistii!H$1)=0," ",SUMIFS(Data!$K:$K,Data!$A:$A,Vitezistii!$B39,Data!$C:$C,Vitezistii!H$1))+SUMIFS(Data!$S:$S,Data!$A:$A,Vitezistii!$B39,Data!$C:$C,Vitezistii!H$1),0)</f>
        <v>1.25</v>
      </c>
      <c r="I39" s="31">
        <f>IFERROR(IF(SUMIFS(Data!$K:$K,Data!$A:$A,Vitezistii!$B39,Data!$C:$C,Vitezistii!I$1)=0," ",SUMIFS(Data!$K:$K,Data!$A:$A,Vitezistii!$B39,Data!$C:$C,Vitezistii!I$1))+SUMIFS(Data!$S:$S,Data!$A:$A,Vitezistii!$B39,Data!$C:$C,Vitezistii!I$1),0)</f>
        <v>1</v>
      </c>
      <c r="J39" s="31">
        <f>IFERROR(IF(SUMIFS(Data!$K:$K,Data!$A:$A,Vitezistii!$B39,Data!$C:$C,Vitezistii!J$1)=0," ",SUMIFS(Data!$K:$K,Data!$A:$A,Vitezistii!$B39,Data!$C:$C,Vitezistii!J$1))+SUMIFS(Data!$S:$S,Data!$A:$A,Vitezistii!$B39,Data!$C:$C,Vitezistii!J$1),0)</f>
        <v>3.5</v>
      </c>
      <c r="K39" s="31">
        <f>IFERROR(IF(SUMIFS(Data!$K:$K,Data!$A:$A,Vitezistii!$B39,Data!$C:$C,Vitezistii!K$1)=0," ",SUMIFS(Data!$K:$K,Data!$A:$A,Vitezistii!$B39,Data!$C:$C,Vitezistii!K$1))+SUMIFS(Data!$S:$S,Data!$A:$A,Vitezistii!$B39,Data!$C:$C,Vitezistii!K$1),0)</f>
        <v>0</v>
      </c>
      <c r="L39" s="31">
        <f>IFERROR(IF(SUMIFS(Data!$K:$K,Data!$A:$A,Vitezistii!$B39,Data!$C:$C,Vitezistii!L$1)=0," ",SUMIFS(Data!$K:$K,Data!$A:$A,Vitezistii!$B39,Data!$C:$C,Vitezistii!L$1))+SUMIFS(Data!$S:$S,Data!$A:$A,Vitezistii!$B39,Data!$C:$C,Vitezistii!L$1),0)</f>
        <v>1.75</v>
      </c>
      <c r="M39" s="31">
        <f>IFERROR(IF(SUMIFS(Data!$K:$K,Data!$A:$A,Vitezistii!$B39,Data!$C:$C,Vitezistii!M$1)=0," ",SUMIFS(Data!$K:$K,Data!$A:$A,Vitezistii!$B39,Data!$C:$C,Vitezistii!M$1))+SUMIFS(Data!$S:$S,Data!$A:$A,Vitezistii!$B39,Data!$C:$C,Vitezistii!M$1),0)</f>
        <v>0.25</v>
      </c>
      <c r="N39" s="31">
        <f>IFERROR(IF(SUMIFS(Data!$K:$K,Data!$A:$A,Vitezistii!$B39,Data!$C:$C,Vitezistii!N$1)=0," ",SUMIFS(Data!$K:$K,Data!$A:$A,Vitezistii!$B39,Data!$C:$C,Vitezistii!N$1))+SUMIFS(Data!$S:$S,Data!$A:$A,Vitezistii!$B39,Data!$C:$C,Vitezistii!N$1),0)</f>
        <v>5.9</v>
      </c>
      <c r="O39" s="31">
        <f>IFERROR(IF(SUMIFS(Data!$K:$K,Data!$A:$A,Vitezistii!$B39,Data!$C:$C,Vitezistii!O$1)=0," ",SUMIFS(Data!$K:$K,Data!$A:$A,Vitezistii!$B39,Data!$C:$C,Vitezistii!O$1))+SUMIFS(Data!$S:$S,Data!$A:$A,Vitezistii!$B39,Data!$C:$C,Vitezistii!O$1),0)</f>
        <v>2</v>
      </c>
      <c r="P39" s="31">
        <f>IFERROR(IF(SUMIFS(Data!$K:$K,Data!$A:$A,Vitezistii!$B39,Data!$C:$C,Vitezistii!P$1)=0," ",SUMIFS(Data!$K:$K,Data!$A:$A,Vitezistii!$B39,Data!$C:$C,Vitezistii!P$1))+SUMIFS(Data!$S:$S,Data!$A:$A,Vitezistii!$B39,Data!$C:$C,Vitezistii!P$1),0)</f>
        <v>1.75</v>
      </c>
      <c r="Q39" s="31">
        <f>IFERROR(IF(SUMIFS(Data!$K:$K,Data!$A:$A,Vitezistii!$B39,Data!$C:$C,Vitezistii!Q$1)=0," ",SUMIFS(Data!$K:$K,Data!$A:$A,Vitezistii!$B39,Data!$C:$C,Vitezistii!Q$1))+SUMIFS(Data!$S:$S,Data!$A:$A,Vitezistii!$B39,Data!$C:$C,Vitezistii!Q$1),0)</f>
        <v>1.75</v>
      </c>
      <c r="R39" s="31">
        <f>SUM(C39:Q39)</f>
        <v>30.15</v>
      </c>
      <c r="S39" s="31">
        <f>SUMIFS(Data!D:D,Data!A:A,Vitezistii!B99)</f>
        <v>19.309999999999999</v>
      </c>
      <c r="T39" s="12">
        <f>SUMIFS(Data!I:I,Data!A:A,Vitezistii!B39)/COUNTIF(Data!A:A,Vitezistii!B39)</f>
        <v>4.0273972169161077E-3</v>
      </c>
    </row>
    <row r="40" spans="1:20" ht="13" x14ac:dyDescent="0.3">
      <c r="A40" s="79">
        <v>39</v>
      </c>
      <c r="B40" s="30" t="s">
        <v>227</v>
      </c>
      <c r="C40" s="31">
        <f>IFERROR(IF(SUMIFS(Data!$K:$K,Data!$A:$A,Vitezistii!$B40,Data!$C:$C,Vitezistii!C$1)=0," ",SUMIFS(Data!$K:$K,Data!$A:$A,Vitezistii!$B40,Data!$C:$C,Vitezistii!C$1))+SUMIFS(Data!$S:$S,Data!$A:$A,Vitezistii!$B40,Data!$C:$C,Vitezistii!C$1),0)</f>
        <v>2</v>
      </c>
      <c r="D40" s="31">
        <f>IFERROR(IF(SUMIFS(Data!$K:$K,Data!$A:$A,Vitezistii!$B40,Data!$C:$C,Vitezistii!D$1)=0," ",SUMIFS(Data!$K:$K,Data!$A:$A,Vitezistii!$B40,Data!$C:$C,Vitezistii!D$1))+SUMIFS(Data!$S:$S,Data!$A:$A,Vitezistii!$B40,Data!$C:$C,Vitezistii!D$1),0)</f>
        <v>2</v>
      </c>
      <c r="E40" s="31">
        <f>IFERROR(IF(SUMIFS(Data!$K:$K,Data!$A:$A,Vitezistii!$B40,Data!$C:$C,Vitezistii!E$1)=0," ",SUMIFS(Data!$K:$K,Data!$A:$A,Vitezistii!$B40,Data!$C:$C,Vitezistii!E$1))+SUMIFS(Data!$S:$S,Data!$A:$A,Vitezistii!$B40,Data!$C:$C,Vitezistii!E$1),0)</f>
        <v>2</v>
      </c>
      <c r="F40" s="31">
        <f>IFERROR(IF(SUMIFS(Data!$K:$K,Data!$A:$A,Vitezistii!$B40,Data!$C:$C,Vitezistii!F$1)=0," ",SUMIFS(Data!$K:$K,Data!$A:$A,Vitezistii!$B40,Data!$C:$C,Vitezistii!F$1))+SUMIFS(Data!$S:$S,Data!$A:$A,Vitezistii!$B40,Data!$C:$C,Vitezistii!F$1),0)</f>
        <v>1.5</v>
      </c>
      <c r="G40" s="31">
        <f>IFERROR(IF(SUMIFS(Data!$K:$K,Data!$A:$A,Vitezistii!$B40,Data!$C:$C,Vitezistii!G$1)=0," ",SUMIFS(Data!$K:$K,Data!$A:$A,Vitezistii!$B40,Data!$C:$C,Vitezistii!G$1))+SUMIFS(Data!$S:$S,Data!$A:$A,Vitezistii!$B40,Data!$C:$C,Vitezistii!G$1),0)</f>
        <v>1.75</v>
      </c>
      <c r="H40" s="31">
        <f>IFERROR(IF(SUMIFS(Data!$K:$K,Data!$A:$A,Vitezistii!$B40,Data!$C:$C,Vitezistii!H$1)=0," ",SUMIFS(Data!$K:$K,Data!$A:$A,Vitezistii!$B40,Data!$C:$C,Vitezistii!H$1))+SUMIFS(Data!$S:$S,Data!$A:$A,Vitezistii!$B40,Data!$C:$C,Vitezistii!H$1),0)</f>
        <v>4.5</v>
      </c>
      <c r="I40" s="31">
        <f>IFERROR(IF(SUMIFS(Data!$K:$K,Data!$A:$A,Vitezistii!$B40,Data!$C:$C,Vitezistii!I$1)=0," ",SUMIFS(Data!$K:$K,Data!$A:$A,Vitezistii!$B40,Data!$C:$C,Vitezistii!I$1))+SUMIFS(Data!$S:$S,Data!$A:$A,Vitezistii!$B40,Data!$C:$C,Vitezistii!I$1),0)</f>
        <v>2.5</v>
      </c>
      <c r="J40" s="31">
        <f>IFERROR(IF(SUMIFS(Data!$K:$K,Data!$A:$A,Vitezistii!$B40,Data!$C:$C,Vitezistii!J$1)=0," ",SUMIFS(Data!$K:$K,Data!$A:$A,Vitezistii!$B40,Data!$C:$C,Vitezistii!J$1))+SUMIFS(Data!$S:$S,Data!$A:$A,Vitezistii!$B40,Data!$C:$C,Vitezistii!J$1),0)</f>
        <v>1.75</v>
      </c>
      <c r="K40" s="31">
        <f>IFERROR(IF(SUMIFS(Data!$K:$K,Data!$A:$A,Vitezistii!$B40,Data!$C:$C,Vitezistii!K$1)=0," ",SUMIFS(Data!$K:$K,Data!$A:$A,Vitezistii!$B40,Data!$C:$C,Vitezistii!K$1))+SUMIFS(Data!$S:$S,Data!$A:$A,Vitezistii!$B40,Data!$C:$C,Vitezistii!K$1),0)</f>
        <v>2</v>
      </c>
      <c r="L40" s="31">
        <f>IFERROR(IF(SUMIFS(Data!$K:$K,Data!$A:$A,Vitezistii!$B40,Data!$C:$C,Vitezistii!L$1)=0," ",SUMIFS(Data!$K:$K,Data!$A:$A,Vitezistii!$B40,Data!$C:$C,Vitezistii!L$1))+SUMIFS(Data!$S:$S,Data!$A:$A,Vitezistii!$B40,Data!$C:$C,Vitezistii!L$1),0)</f>
        <v>2</v>
      </c>
      <c r="M40" s="31">
        <f>IFERROR(IF(SUMIFS(Data!$K:$K,Data!$A:$A,Vitezistii!$B40,Data!$C:$C,Vitezistii!M$1)=0," ",SUMIFS(Data!$K:$K,Data!$A:$A,Vitezistii!$B40,Data!$C:$C,Vitezistii!M$1))+SUMIFS(Data!$S:$S,Data!$A:$A,Vitezistii!$B40,Data!$C:$C,Vitezistii!M$1),0)</f>
        <v>0.25</v>
      </c>
      <c r="N40" s="31">
        <f>IFERROR(IF(SUMIFS(Data!$K:$K,Data!$A:$A,Vitezistii!$B40,Data!$C:$C,Vitezistii!N$1)=0," ",SUMIFS(Data!$K:$K,Data!$A:$A,Vitezistii!$B40,Data!$C:$C,Vitezistii!N$1))+SUMIFS(Data!$S:$S,Data!$A:$A,Vitezistii!$B40,Data!$C:$C,Vitezistii!N$1),0)</f>
        <v>4.5</v>
      </c>
      <c r="O40" s="31">
        <f>IFERROR(IF(SUMIFS(Data!$K:$K,Data!$A:$A,Vitezistii!$B40,Data!$C:$C,Vitezistii!O$1)=0," ",SUMIFS(Data!$K:$K,Data!$A:$A,Vitezistii!$B40,Data!$C:$C,Vitezistii!O$1))+SUMIFS(Data!$S:$S,Data!$A:$A,Vitezistii!$B40,Data!$C:$C,Vitezistii!O$1),0)</f>
        <v>1</v>
      </c>
      <c r="P40" s="31">
        <f>IFERROR(IF(SUMIFS(Data!$K:$K,Data!$A:$A,Vitezistii!$B40,Data!$C:$C,Vitezistii!P$1)=0," ",SUMIFS(Data!$K:$K,Data!$A:$A,Vitezistii!$B40,Data!$C:$C,Vitezistii!P$1))+SUMIFS(Data!$S:$S,Data!$A:$A,Vitezistii!$B40,Data!$C:$C,Vitezistii!P$1),0)</f>
        <v>1.75</v>
      </c>
      <c r="Q40" s="31">
        <f>IFERROR(IF(SUMIFS(Data!$K:$K,Data!$A:$A,Vitezistii!$B40,Data!$C:$C,Vitezistii!Q$1)=0," ",SUMIFS(Data!$K:$K,Data!$A:$A,Vitezistii!$B40,Data!$C:$C,Vitezistii!Q$1))+SUMIFS(Data!$S:$S,Data!$A:$A,Vitezistii!$B40,Data!$C:$C,Vitezistii!Q$1),0)</f>
        <v>0.5</v>
      </c>
      <c r="R40" s="31">
        <f>SUM(C40:Q40)</f>
        <v>30</v>
      </c>
      <c r="S40" s="31">
        <f>SUMIFS(Data!D:D,Data!A:A,Vitezistii!B100)</f>
        <v>37.58</v>
      </c>
      <c r="T40" s="12">
        <f>SUMIFS(Data!I:I,Data!A:A,Vitezistii!B40)/COUNTIF(Data!A:A,Vitezistii!B40)</f>
        <v>3.8754302521268741E-3</v>
      </c>
    </row>
    <row r="41" spans="1:20" ht="13" x14ac:dyDescent="0.3">
      <c r="A41" s="79">
        <v>40</v>
      </c>
      <c r="B41" s="30" t="s">
        <v>356</v>
      </c>
      <c r="C41" s="31">
        <f>IFERROR(IF(SUMIFS(Data!$K:$K,Data!$A:$A,Vitezistii!$B41,Data!$C:$C,Vitezistii!C$1)=0," ",SUMIFS(Data!$K:$K,Data!$A:$A,Vitezistii!$B41,Data!$C:$C,Vitezistii!C$1))+SUMIFS(Data!$S:$S,Data!$A:$A,Vitezistii!$B41,Data!$C:$C,Vitezistii!C$1),0)</f>
        <v>2.5</v>
      </c>
      <c r="D41" s="31">
        <f>IFERROR(IF(SUMIFS(Data!$K:$K,Data!$A:$A,Vitezistii!$B41,Data!$C:$C,Vitezistii!D$1)=0," ",SUMIFS(Data!$K:$K,Data!$A:$A,Vitezistii!$B41,Data!$C:$C,Vitezistii!D$1))+SUMIFS(Data!$S:$S,Data!$A:$A,Vitezistii!$B41,Data!$C:$C,Vitezistii!D$1),0)</f>
        <v>2</v>
      </c>
      <c r="E41" s="31">
        <f>IFERROR(IF(SUMIFS(Data!$K:$K,Data!$A:$A,Vitezistii!$B41,Data!$C:$C,Vitezistii!E$1)=0," ",SUMIFS(Data!$K:$K,Data!$A:$A,Vitezistii!$B41,Data!$C:$C,Vitezistii!E$1))+SUMIFS(Data!$S:$S,Data!$A:$A,Vitezistii!$B41,Data!$C:$C,Vitezistii!E$1),0)</f>
        <v>1.5</v>
      </c>
      <c r="F41" s="31">
        <f>IFERROR(IF(SUMIFS(Data!$K:$K,Data!$A:$A,Vitezistii!$B41,Data!$C:$C,Vitezistii!F$1)=0," ",SUMIFS(Data!$K:$K,Data!$A:$A,Vitezistii!$B41,Data!$C:$C,Vitezistii!F$1))+SUMIFS(Data!$S:$S,Data!$A:$A,Vitezistii!$B41,Data!$C:$C,Vitezistii!F$1),0)</f>
        <v>1.5</v>
      </c>
      <c r="G41" s="31">
        <f>IFERROR(IF(SUMIFS(Data!$K:$K,Data!$A:$A,Vitezistii!$B41,Data!$C:$C,Vitezistii!G$1)=0," ",SUMIFS(Data!$K:$K,Data!$A:$A,Vitezistii!$B41,Data!$C:$C,Vitezistii!G$1))+SUMIFS(Data!$S:$S,Data!$A:$A,Vitezistii!$B41,Data!$C:$C,Vitezistii!G$1),0)</f>
        <v>1.5</v>
      </c>
      <c r="H41" s="31">
        <f>IFERROR(IF(SUMIFS(Data!$K:$K,Data!$A:$A,Vitezistii!$B41,Data!$C:$C,Vitezistii!H$1)=0," ",SUMIFS(Data!$K:$K,Data!$A:$A,Vitezistii!$B41,Data!$C:$C,Vitezistii!H$1))+SUMIFS(Data!$S:$S,Data!$A:$A,Vitezistii!$B41,Data!$C:$C,Vitezistii!H$1),0)</f>
        <v>2.5</v>
      </c>
      <c r="I41" s="31">
        <f>IFERROR(IF(SUMIFS(Data!$K:$K,Data!$A:$A,Vitezistii!$B41,Data!$C:$C,Vitezistii!I$1)=0," ",SUMIFS(Data!$K:$K,Data!$A:$A,Vitezistii!$B41,Data!$C:$C,Vitezistii!I$1))+SUMIFS(Data!$S:$S,Data!$A:$A,Vitezistii!$B41,Data!$C:$C,Vitezistii!I$1),0)</f>
        <v>2.5</v>
      </c>
      <c r="J41" s="31">
        <f>IFERROR(IF(SUMIFS(Data!$K:$K,Data!$A:$A,Vitezistii!$B41,Data!$C:$C,Vitezistii!J$1)=0," ",SUMIFS(Data!$K:$K,Data!$A:$A,Vitezistii!$B41,Data!$C:$C,Vitezistii!J$1))+SUMIFS(Data!$S:$S,Data!$A:$A,Vitezistii!$B41,Data!$C:$C,Vitezistii!J$1),0)</f>
        <v>1.5</v>
      </c>
      <c r="K41" s="31">
        <f>IFERROR(IF(SUMIFS(Data!$K:$K,Data!$A:$A,Vitezistii!$B41,Data!$C:$C,Vitezistii!K$1)=0," ",SUMIFS(Data!$K:$K,Data!$A:$A,Vitezistii!$B41,Data!$C:$C,Vitezistii!K$1))+SUMIFS(Data!$S:$S,Data!$A:$A,Vitezistii!$B41,Data!$C:$C,Vitezistii!K$1),0)</f>
        <v>0</v>
      </c>
      <c r="L41" s="31">
        <f>IFERROR(IF(SUMIFS(Data!$K:$K,Data!$A:$A,Vitezistii!$B41,Data!$C:$C,Vitezistii!L$1)=0," ",SUMIFS(Data!$K:$K,Data!$A:$A,Vitezistii!$B41,Data!$C:$C,Vitezistii!L$1))+SUMIFS(Data!$S:$S,Data!$A:$A,Vitezistii!$B41,Data!$C:$C,Vitezistii!L$1),0)</f>
        <v>3</v>
      </c>
      <c r="M41" s="31">
        <f>IFERROR(IF(SUMIFS(Data!$K:$K,Data!$A:$A,Vitezistii!$B41,Data!$C:$C,Vitezistii!M$1)=0," ",SUMIFS(Data!$K:$K,Data!$A:$A,Vitezistii!$B41,Data!$C:$C,Vitezistii!M$1))+SUMIFS(Data!$S:$S,Data!$A:$A,Vitezistii!$B41,Data!$C:$C,Vitezistii!M$1),0)</f>
        <v>3.5</v>
      </c>
      <c r="N41" s="31">
        <f>IFERROR(IF(SUMIFS(Data!$K:$K,Data!$A:$A,Vitezistii!$B41,Data!$C:$C,Vitezistii!N$1)=0," ",SUMIFS(Data!$K:$K,Data!$A:$A,Vitezistii!$B41,Data!$C:$C,Vitezistii!N$1))+SUMIFS(Data!$S:$S,Data!$A:$A,Vitezistii!$B41,Data!$C:$C,Vitezistii!N$1),0)</f>
        <v>1.75</v>
      </c>
      <c r="O41" s="31">
        <f>IFERROR(IF(SUMIFS(Data!$K:$K,Data!$A:$A,Vitezistii!$B41,Data!$C:$C,Vitezistii!O$1)=0," ",SUMIFS(Data!$K:$K,Data!$A:$A,Vitezistii!$B41,Data!$C:$C,Vitezistii!O$1))+SUMIFS(Data!$S:$S,Data!$A:$A,Vitezistii!$B41,Data!$C:$C,Vitezistii!O$1),0)</f>
        <v>0.25</v>
      </c>
      <c r="P41" s="31">
        <f>IFERROR(IF(SUMIFS(Data!$K:$K,Data!$A:$A,Vitezistii!$B41,Data!$C:$C,Vitezistii!P$1)=0," ",SUMIFS(Data!$K:$K,Data!$A:$A,Vitezistii!$B41,Data!$C:$C,Vitezistii!P$1))+SUMIFS(Data!$S:$S,Data!$A:$A,Vitezistii!$B41,Data!$C:$C,Vitezistii!P$1),0)</f>
        <v>3</v>
      </c>
      <c r="Q41" s="31">
        <f>IFERROR(IF(SUMIFS(Data!$K:$K,Data!$A:$A,Vitezistii!$B41,Data!$C:$C,Vitezistii!Q$1)=0," ",SUMIFS(Data!$K:$K,Data!$A:$A,Vitezistii!$B41,Data!$C:$C,Vitezistii!Q$1))+SUMIFS(Data!$S:$S,Data!$A:$A,Vitezistii!$B41,Data!$C:$C,Vitezistii!Q$1),0)</f>
        <v>3</v>
      </c>
      <c r="R41" s="31">
        <f>SUM(C41:Q41)</f>
        <v>30</v>
      </c>
      <c r="S41" s="31">
        <f>SUMIFS(Data!D:D,Data!A:A,Vitezistii!B101)</f>
        <v>26.77</v>
      </c>
      <c r="T41" s="12">
        <f>SUMIFS(Data!I:I,Data!A:A,Vitezistii!B41)/COUNTIF(Data!A:A,Vitezistii!B41)</f>
        <v>4.0158603114018639E-3</v>
      </c>
    </row>
    <row r="42" spans="1:20" ht="13" x14ac:dyDescent="0.3">
      <c r="A42" s="79">
        <v>41</v>
      </c>
      <c r="B42" s="30" t="s">
        <v>333</v>
      </c>
      <c r="C42" s="31">
        <f>IFERROR(IF(SUMIFS(Data!$K:$K,Data!$A:$A,Vitezistii!$B42,Data!$C:$C,Vitezistii!C$1)=0," ",SUMIFS(Data!$K:$K,Data!$A:$A,Vitezistii!$B42,Data!$C:$C,Vitezistii!C$1))+SUMIFS(Data!$S:$S,Data!$A:$A,Vitezistii!$B42,Data!$C:$C,Vitezistii!C$1),0)</f>
        <v>2</v>
      </c>
      <c r="D42" s="31">
        <f>IFERROR(IF(SUMIFS(Data!$K:$K,Data!$A:$A,Vitezistii!$B42,Data!$C:$C,Vitezistii!D$1)=0," ",SUMIFS(Data!$K:$K,Data!$A:$A,Vitezistii!$B42,Data!$C:$C,Vitezistii!D$1))+SUMIFS(Data!$S:$S,Data!$A:$A,Vitezistii!$B42,Data!$C:$C,Vitezistii!D$1),0)</f>
        <v>2</v>
      </c>
      <c r="E42" s="31">
        <f>IFERROR(IF(SUMIFS(Data!$K:$K,Data!$A:$A,Vitezistii!$B42,Data!$C:$C,Vitezistii!E$1)=0," ",SUMIFS(Data!$K:$K,Data!$A:$A,Vitezistii!$B42,Data!$C:$C,Vitezistii!E$1))+SUMIFS(Data!$S:$S,Data!$A:$A,Vitezistii!$B42,Data!$C:$C,Vitezistii!E$1),0)</f>
        <v>1.25</v>
      </c>
      <c r="F42" s="31">
        <f>IFERROR(IF(SUMIFS(Data!$K:$K,Data!$A:$A,Vitezistii!$B42,Data!$C:$C,Vitezistii!F$1)=0," ",SUMIFS(Data!$K:$K,Data!$A:$A,Vitezistii!$B42,Data!$C:$C,Vitezistii!F$1))+SUMIFS(Data!$S:$S,Data!$A:$A,Vitezistii!$B42,Data!$C:$C,Vitezistii!F$1),0)</f>
        <v>1.75</v>
      </c>
      <c r="G42" s="31">
        <f>IFERROR(IF(SUMIFS(Data!$K:$K,Data!$A:$A,Vitezistii!$B42,Data!$C:$C,Vitezistii!G$1)=0," ",SUMIFS(Data!$K:$K,Data!$A:$A,Vitezistii!$B42,Data!$C:$C,Vitezistii!G$1))+SUMIFS(Data!$S:$S,Data!$A:$A,Vitezistii!$B42,Data!$C:$C,Vitezistii!G$1),0)</f>
        <v>2.5</v>
      </c>
      <c r="H42" s="31">
        <f>IFERROR(IF(SUMIFS(Data!$K:$K,Data!$A:$A,Vitezistii!$B42,Data!$C:$C,Vitezistii!H$1)=0," ",SUMIFS(Data!$K:$K,Data!$A:$A,Vitezistii!$B42,Data!$C:$C,Vitezistii!H$1))+SUMIFS(Data!$S:$S,Data!$A:$A,Vitezistii!$B42,Data!$C:$C,Vitezistii!H$1),0)</f>
        <v>2</v>
      </c>
      <c r="I42" s="31">
        <f>IFERROR(IF(SUMIFS(Data!$K:$K,Data!$A:$A,Vitezistii!$B42,Data!$C:$C,Vitezistii!I$1)=0," ",SUMIFS(Data!$K:$K,Data!$A:$A,Vitezistii!$B42,Data!$C:$C,Vitezistii!I$1))+SUMIFS(Data!$S:$S,Data!$A:$A,Vitezistii!$B42,Data!$C:$C,Vitezistii!I$1),0)</f>
        <v>1.75</v>
      </c>
      <c r="J42" s="31">
        <f>IFERROR(IF(SUMIFS(Data!$K:$K,Data!$A:$A,Vitezistii!$B42,Data!$C:$C,Vitezistii!J$1)=0," ",SUMIFS(Data!$K:$K,Data!$A:$A,Vitezistii!$B42,Data!$C:$C,Vitezistii!J$1))+SUMIFS(Data!$S:$S,Data!$A:$A,Vitezistii!$B42,Data!$C:$C,Vitezistii!J$1),0)</f>
        <v>1</v>
      </c>
      <c r="K42" s="31">
        <f>IFERROR(IF(SUMIFS(Data!$K:$K,Data!$A:$A,Vitezistii!$B42,Data!$C:$C,Vitezistii!K$1)=0," ",SUMIFS(Data!$K:$K,Data!$A:$A,Vitezistii!$B42,Data!$C:$C,Vitezistii!K$1))+SUMIFS(Data!$S:$S,Data!$A:$A,Vitezistii!$B42,Data!$C:$C,Vitezistii!K$1),0)</f>
        <v>1.5</v>
      </c>
      <c r="L42" s="31">
        <f>IFERROR(IF(SUMIFS(Data!$K:$K,Data!$A:$A,Vitezistii!$B42,Data!$C:$C,Vitezistii!L$1)=0," ",SUMIFS(Data!$K:$K,Data!$A:$A,Vitezistii!$B42,Data!$C:$C,Vitezistii!L$1))+SUMIFS(Data!$S:$S,Data!$A:$A,Vitezistii!$B42,Data!$C:$C,Vitezistii!L$1),0)</f>
        <v>2</v>
      </c>
      <c r="M42" s="31">
        <f>IFERROR(IF(SUMIFS(Data!$K:$K,Data!$A:$A,Vitezistii!$B42,Data!$C:$C,Vitezistii!M$1)=0," ",SUMIFS(Data!$K:$K,Data!$A:$A,Vitezistii!$B42,Data!$C:$C,Vitezistii!M$1))+SUMIFS(Data!$S:$S,Data!$A:$A,Vitezistii!$B42,Data!$C:$C,Vitezistii!M$1),0)</f>
        <v>2.5</v>
      </c>
      <c r="N42" s="31">
        <f>IFERROR(IF(SUMIFS(Data!$K:$K,Data!$A:$A,Vitezistii!$B42,Data!$C:$C,Vitezistii!N$1)=0," ",SUMIFS(Data!$K:$K,Data!$A:$A,Vitezistii!$B42,Data!$C:$C,Vitezistii!N$1))+SUMIFS(Data!$S:$S,Data!$A:$A,Vitezistii!$B42,Data!$C:$C,Vitezistii!N$1),0)</f>
        <v>1.5</v>
      </c>
      <c r="O42" s="31">
        <f>IFERROR(IF(SUMIFS(Data!$K:$K,Data!$A:$A,Vitezistii!$B42,Data!$C:$C,Vitezistii!O$1)=0," ",SUMIFS(Data!$K:$K,Data!$A:$A,Vitezistii!$B42,Data!$C:$C,Vitezistii!O$1))+SUMIFS(Data!$S:$S,Data!$A:$A,Vitezistii!$B42,Data!$C:$C,Vitezistii!O$1),0)</f>
        <v>1.75</v>
      </c>
      <c r="P42" s="31">
        <f>IFERROR(IF(SUMIFS(Data!$K:$K,Data!$A:$A,Vitezistii!$B42,Data!$C:$C,Vitezistii!P$1)=0," ",SUMIFS(Data!$K:$K,Data!$A:$A,Vitezistii!$B42,Data!$C:$C,Vitezistii!P$1))+SUMIFS(Data!$S:$S,Data!$A:$A,Vitezistii!$B42,Data!$C:$C,Vitezistii!P$1),0)</f>
        <v>3</v>
      </c>
      <c r="Q42" s="31">
        <f>IFERROR(IF(SUMIFS(Data!$K:$K,Data!$A:$A,Vitezistii!$B42,Data!$C:$C,Vitezistii!Q$1)=0," ",SUMIFS(Data!$K:$K,Data!$A:$A,Vitezistii!$B42,Data!$C:$C,Vitezistii!Q$1))+SUMIFS(Data!$S:$S,Data!$A:$A,Vitezistii!$B42,Data!$C:$C,Vitezistii!Q$1),0)</f>
        <v>3</v>
      </c>
      <c r="R42" s="31">
        <f>SUM(C42:Q42)</f>
        <v>29.5</v>
      </c>
      <c r="S42" s="31">
        <f>SUMIFS(Data!D:D,Data!A:A,Vitezistii!B102)</f>
        <v>198.53000000000003</v>
      </c>
      <c r="T42" s="12">
        <f>SUMIFS(Data!I:I,Data!A:A,Vitezistii!B42)/COUNTIF(Data!A:A,Vitezistii!B42)</f>
        <v>3.8644463332413812E-3</v>
      </c>
    </row>
    <row r="43" spans="1:20" ht="13" x14ac:dyDescent="0.3">
      <c r="A43" s="79">
        <v>42</v>
      </c>
      <c r="B43" s="30" t="s">
        <v>275</v>
      </c>
      <c r="C43" s="31">
        <f>IFERROR(IF(SUMIFS(Data!$K:$K,Data!$A:$A,Vitezistii!$B43,Data!$C:$C,Vitezistii!C$1)=0," ",SUMIFS(Data!$K:$K,Data!$A:$A,Vitezistii!$B43,Data!$C:$C,Vitezistii!C$1))+SUMIFS(Data!$S:$S,Data!$A:$A,Vitezistii!$B43,Data!$C:$C,Vitezistii!C$1),0)</f>
        <v>1.5</v>
      </c>
      <c r="D43" s="31">
        <f>IFERROR(IF(SUMIFS(Data!$K:$K,Data!$A:$A,Vitezistii!$B43,Data!$C:$C,Vitezistii!D$1)=0," ",SUMIFS(Data!$K:$K,Data!$A:$A,Vitezistii!$B43,Data!$C:$C,Vitezistii!D$1))+SUMIFS(Data!$S:$S,Data!$A:$A,Vitezistii!$B43,Data!$C:$C,Vitezistii!D$1),0)</f>
        <v>2.5</v>
      </c>
      <c r="E43" s="31">
        <f>IFERROR(IF(SUMIFS(Data!$K:$K,Data!$A:$A,Vitezistii!$B43,Data!$C:$C,Vitezistii!E$1)=0," ",SUMIFS(Data!$K:$K,Data!$A:$A,Vitezistii!$B43,Data!$C:$C,Vitezistii!E$1))+SUMIFS(Data!$S:$S,Data!$A:$A,Vitezistii!$B43,Data!$C:$C,Vitezistii!E$1),0)</f>
        <v>0.25</v>
      </c>
      <c r="F43" s="31">
        <f>IFERROR(IF(SUMIFS(Data!$K:$K,Data!$A:$A,Vitezistii!$B43,Data!$C:$C,Vitezistii!F$1)=0," ",SUMIFS(Data!$K:$K,Data!$A:$A,Vitezistii!$B43,Data!$C:$C,Vitezistii!F$1))+SUMIFS(Data!$S:$S,Data!$A:$A,Vitezistii!$B43,Data!$C:$C,Vitezistii!F$1),0)</f>
        <v>3.5</v>
      </c>
      <c r="G43" s="31">
        <f>IFERROR(IF(SUMIFS(Data!$K:$K,Data!$A:$A,Vitezistii!$B43,Data!$C:$C,Vitezistii!G$1)=0," ",SUMIFS(Data!$K:$K,Data!$A:$A,Vitezistii!$B43,Data!$C:$C,Vitezistii!G$1))+SUMIFS(Data!$S:$S,Data!$A:$A,Vitezistii!$B43,Data!$C:$C,Vitezistii!G$1),0)</f>
        <v>2.5</v>
      </c>
      <c r="H43" s="31">
        <f>IFERROR(IF(SUMIFS(Data!$K:$K,Data!$A:$A,Vitezistii!$B43,Data!$C:$C,Vitezistii!H$1)=0," ",SUMIFS(Data!$K:$K,Data!$A:$A,Vitezistii!$B43,Data!$C:$C,Vitezistii!H$1))+SUMIFS(Data!$S:$S,Data!$A:$A,Vitezistii!$B43,Data!$C:$C,Vitezistii!H$1),0)</f>
        <v>2.5</v>
      </c>
      <c r="I43" s="31">
        <f>IFERROR(IF(SUMIFS(Data!$K:$K,Data!$A:$A,Vitezistii!$B43,Data!$C:$C,Vitezistii!I$1)=0," ",SUMIFS(Data!$K:$K,Data!$A:$A,Vitezistii!$B43,Data!$C:$C,Vitezistii!I$1))+SUMIFS(Data!$S:$S,Data!$A:$A,Vitezistii!$B43,Data!$C:$C,Vitezistii!I$1),0)</f>
        <v>2.5</v>
      </c>
      <c r="J43" s="31">
        <f>IFERROR(IF(SUMIFS(Data!$K:$K,Data!$A:$A,Vitezistii!$B43,Data!$C:$C,Vitezistii!J$1)=0," ",SUMIFS(Data!$K:$K,Data!$A:$A,Vitezistii!$B43,Data!$C:$C,Vitezistii!J$1))+SUMIFS(Data!$S:$S,Data!$A:$A,Vitezistii!$B43,Data!$C:$C,Vitezistii!J$1),0)</f>
        <v>0</v>
      </c>
      <c r="K43" s="31">
        <f>IFERROR(IF(SUMIFS(Data!$K:$K,Data!$A:$A,Vitezistii!$B43,Data!$C:$C,Vitezistii!K$1)=0," ",SUMIFS(Data!$K:$K,Data!$A:$A,Vitezistii!$B43,Data!$C:$C,Vitezistii!K$1))+SUMIFS(Data!$S:$S,Data!$A:$A,Vitezistii!$B43,Data!$C:$C,Vitezistii!K$1),0)</f>
        <v>0</v>
      </c>
      <c r="L43" s="31">
        <f>IFERROR(IF(SUMIFS(Data!$K:$K,Data!$A:$A,Vitezistii!$B43,Data!$C:$C,Vitezistii!L$1)=0," ",SUMIFS(Data!$K:$K,Data!$A:$A,Vitezistii!$B43,Data!$C:$C,Vitezistii!L$1))+SUMIFS(Data!$S:$S,Data!$A:$A,Vitezistii!$B43,Data!$C:$C,Vitezistii!L$1),0)</f>
        <v>1.25</v>
      </c>
      <c r="M43" s="31">
        <f>IFERROR(IF(SUMIFS(Data!$K:$K,Data!$A:$A,Vitezistii!$B43,Data!$C:$C,Vitezistii!M$1)=0," ",SUMIFS(Data!$K:$K,Data!$A:$A,Vitezistii!$B43,Data!$C:$C,Vitezistii!M$1))+SUMIFS(Data!$S:$S,Data!$A:$A,Vitezistii!$B43,Data!$C:$C,Vitezistii!M$1),0)</f>
        <v>4.5</v>
      </c>
      <c r="N43" s="31">
        <f>IFERROR(IF(SUMIFS(Data!$K:$K,Data!$A:$A,Vitezistii!$B43,Data!$C:$C,Vitezistii!N$1)=0," ",SUMIFS(Data!$K:$K,Data!$A:$A,Vitezistii!$B43,Data!$C:$C,Vitezistii!N$1))+SUMIFS(Data!$S:$S,Data!$A:$A,Vitezistii!$B43,Data!$C:$C,Vitezistii!N$1),0)</f>
        <v>4.5</v>
      </c>
      <c r="O43" s="31">
        <f>IFERROR(IF(SUMIFS(Data!$K:$K,Data!$A:$A,Vitezistii!$B43,Data!$C:$C,Vitezistii!O$1)=0," ",SUMIFS(Data!$K:$K,Data!$A:$A,Vitezistii!$B43,Data!$C:$C,Vitezistii!O$1))+SUMIFS(Data!$S:$S,Data!$A:$A,Vitezistii!$B43,Data!$C:$C,Vitezistii!O$1),0)</f>
        <v>0</v>
      </c>
      <c r="P43" s="31">
        <f>IFERROR(IF(SUMIFS(Data!$K:$K,Data!$A:$A,Vitezistii!$B43,Data!$C:$C,Vitezistii!P$1)=0," ",SUMIFS(Data!$K:$K,Data!$A:$A,Vitezistii!$B43,Data!$C:$C,Vitezistii!P$1))+SUMIFS(Data!$S:$S,Data!$A:$A,Vitezistii!$B43,Data!$C:$C,Vitezistii!P$1),0)</f>
        <v>2.5</v>
      </c>
      <c r="Q43" s="31">
        <f>IFERROR(IF(SUMIFS(Data!$K:$K,Data!$A:$A,Vitezistii!$B43,Data!$C:$C,Vitezistii!Q$1)=0," ",SUMIFS(Data!$K:$K,Data!$A:$A,Vitezistii!$B43,Data!$C:$C,Vitezistii!Q$1))+SUMIFS(Data!$S:$S,Data!$A:$A,Vitezistii!$B43,Data!$C:$C,Vitezistii!Q$1),0)</f>
        <v>0.25</v>
      </c>
      <c r="R43" s="31">
        <f>SUM(C43:Q43)</f>
        <v>28.25</v>
      </c>
      <c r="S43" s="31">
        <f>SUMIFS(Data!D:D,Data!A:A,Vitezistii!B103)</f>
        <v>5</v>
      </c>
      <c r="T43" s="12">
        <f>SUMIFS(Data!I:I,Data!A:A,Vitezistii!B43)/COUNTIF(Data!A:A,Vitezistii!B43)</f>
        <v>3.9624435872188607E-3</v>
      </c>
    </row>
    <row r="44" spans="1:20" ht="13" x14ac:dyDescent="0.3">
      <c r="A44" s="79">
        <v>43</v>
      </c>
      <c r="B44" s="30" t="s">
        <v>332</v>
      </c>
      <c r="C44" s="31">
        <f>IFERROR(IF(SUMIFS(Data!$K:$K,Data!$A:$A,Vitezistii!$B44,Data!$C:$C,Vitezistii!C$1)=0," ",SUMIFS(Data!$K:$K,Data!$A:$A,Vitezistii!$B44,Data!$C:$C,Vitezistii!C$1))+SUMIFS(Data!$S:$S,Data!$A:$A,Vitezistii!$B44,Data!$C:$C,Vitezistii!C$1),0)</f>
        <v>3</v>
      </c>
      <c r="D44" s="31">
        <f>IFERROR(IF(SUMIFS(Data!$K:$K,Data!$A:$A,Vitezistii!$B44,Data!$C:$C,Vitezistii!D$1)=0," ",SUMIFS(Data!$K:$K,Data!$A:$A,Vitezistii!$B44,Data!$C:$C,Vitezistii!D$1))+SUMIFS(Data!$S:$S,Data!$A:$A,Vitezistii!$B44,Data!$C:$C,Vitezistii!D$1),0)</f>
        <v>1.75</v>
      </c>
      <c r="E44" s="31">
        <f>IFERROR(IF(SUMIFS(Data!$K:$K,Data!$A:$A,Vitezistii!$B44,Data!$C:$C,Vitezistii!E$1)=0," ",SUMIFS(Data!$K:$K,Data!$A:$A,Vitezistii!$B44,Data!$C:$C,Vitezistii!E$1))+SUMIFS(Data!$S:$S,Data!$A:$A,Vitezistii!$B44,Data!$C:$C,Vitezistii!E$1),0)</f>
        <v>2.5</v>
      </c>
      <c r="F44" s="31">
        <f>IFERROR(IF(SUMIFS(Data!$K:$K,Data!$A:$A,Vitezistii!$B44,Data!$C:$C,Vitezistii!F$1)=0," ",SUMIFS(Data!$K:$K,Data!$A:$A,Vitezistii!$B44,Data!$C:$C,Vitezistii!F$1))+SUMIFS(Data!$S:$S,Data!$A:$A,Vitezistii!$B44,Data!$C:$C,Vitezistii!F$1),0)</f>
        <v>1.25</v>
      </c>
      <c r="G44" s="31">
        <f>IFERROR(IF(SUMIFS(Data!$K:$K,Data!$A:$A,Vitezistii!$B44,Data!$C:$C,Vitezistii!G$1)=0," ",SUMIFS(Data!$K:$K,Data!$A:$A,Vitezistii!$B44,Data!$C:$C,Vitezistii!G$1))+SUMIFS(Data!$S:$S,Data!$A:$A,Vitezistii!$B44,Data!$C:$C,Vitezistii!G$1),0)</f>
        <v>1</v>
      </c>
      <c r="H44" s="31">
        <f>IFERROR(IF(SUMIFS(Data!$K:$K,Data!$A:$A,Vitezistii!$B44,Data!$C:$C,Vitezistii!H$1)=0," ",SUMIFS(Data!$K:$K,Data!$A:$A,Vitezistii!$B44,Data!$C:$C,Vitezistii!H$1))+SUMIFS(Data!$S:$S,Data!$A:$A,Vitezistii!$B44,Data!$C:$C,Vitezistii!H$1),0)</f>
        <v>2</v>
      </c>
      <c r="I44" s="31">
        <f>IFERROR(IF(SUMIFS(Data!$K:$K,Data!$A:$A,Vitezistii!$B44,Data!$C:$C,Vitezistii!I$1)=0," ",SUMIFS(Data!$K:$K,Data!$A:$A,Vitezistii!$B44,Data!$C:$C,Vitezistii!I$1))+SUMIFS(Data!$S:$S,Data!$A:$A,Vitezistii!$B44,Data!$C:$C,Vitezistii!I$1),0)</f>
        <v>0.75</v>
      </c>
      <c r="J44" s="31">
        <f>IFERROR(IF(SUMIFS(Data!$K:$K,Data!$A:$A,Vitezistii!$B44,Data!$C:$C,Vitezistii!J$1)=0," ",SUMIFS(Data!$K:$K,Data!$A:$A,Vitezistii!$B44,Data!$C:$C,Vitezistii!J$1))+SUMIFS(Data!$S:$S,Data!$A:$A,Vitezistii!$B44,Data!$C:$C,Vitezistii!J$1),0)</f>
        <v>0.25</v>
      </c>
      <c r="K44" s="31">
        <f>IFERROR(IF(SUMIFS(Data!$K:$K,Data!$A:$A,Vitezistii!$B44,Data!$C:$C,Vitezistii!K$1)=0," ",SUMIFS(Data!$K:$K,Data!$A:$A,Vitezistii!$B44,Data!$C:$C,Vitezistii!K$1))+SUMIFS(Data!$S:$S,Data!$A:$A,Vitezistii!$B44,Data!$C:$C,Vitezistii!K$1),0)</f>
        <v>1.25</v>
      </c>
      <c r="L44" s="31">
        <f>IFERROR(IF(SUMIFS(Data!$K:$K,Data!$A:$A,Vitezistii!$B44,Data!$C:$C,Vitezistii!L$1)=0," ",SUMIFS(Data!$K:$K,Data!$A:$A,Vitezistii!$B44,Data!$C:$C,Vitezistii!L$1))+SUMIFS(Data!$S:$S,Data!$A:$A,Vitezistii!$B44,Data!$C:$C,Vitezistii!L$1),0)</f>
        <v>3</v>
      </c>
      <c r="M44" s="31">
        <f>IFERROR(IF(SUMIFS(Data!$K:$K,Data!$A:$A,Vitezistii!$B44,Data!$C:$C,Vitezistii!M$1)=0," ",SUMIFS(Data!$K:$K,Data!$A:$A,Vitezistii!$B44,Data!$C:$C,Vitezistii!M$1))+SUMIFS(Data!$S:$S,Data!$A:$A,Vitezistii!$B44,Data!$C:$C,Vitezistii!M$1),0)</f>
        <v>3</v>
      </c>
      <c r="N44" s="31">
        <f>IFERROR(IF(SUMIFS(Data!$K:$K,Data!$A:$A,Vitezistii!$B44,Data!$C:$C,Vitezistii!N$1)=0," ",SUMIFS(Data!$K:$K,Data!$A:$A,Vitezistii!$B44,Data!$C:$C,Vitezistii!N$1))+SUMIFS(Data!$S:$S,Data!$A:$A,Vitezistii!$B44,Data!$C:$C,Vitezistii!N$1),0)</f>
        <v>0.75</v>
      </c>
      <c r="O44" s="31">
        <f>IFERROR(IF(SUMIFS(Data!$K:$K,Data!$A:$A,Vitezistii!$B44,Data!$C:$C,Vitezistii!O$1)=0," ",SUMIFS(Data!$K:$K,Data!$A:$A,Vitezistii!$B44,Data!$C:$C,Vitezistii!O$1))+SUMIFS(Data!$S:$S,Data!$A:$A,Vitezistii!$B44,Data!$C:$C,Vitezistii!O$1),0)</f>
        <v>0</v>
      </c>
      <c r="P44" s="31">
        <f>IFERROR(IF(SUMIFS(Data!$K:$K,Data!$A:$A,Vitezistii!$B44,Data!$C:$C,Vitezistii!P$1)=0," ",SUMIFS(Data!$K:$K,Data!$A:$A,Vitezistii!$B44,Data!$C:$C,Vitezistii!P$1))+SUMIFS(Data!$S:$S,Data!$A:$A,Vitezistii!$B44,Data!$C:$C,Vitezistii!P$1),0)</f>
        <v>2.5</v>
      </c>
      <c r="Q44" s="31">
        <f>IFERROR(IF(SUMIFS(Data!$K:$K,Data!$A:$A,Vitezistii!$B44,Data!$C:$C,Vitezistii!Q$1)=0," ",SUMIFS(Data!$K:$K,Data!$A:$A,Vitezistii!$B44,Data!$C:$C,Vitezistii!Q$1))+SUMIFS(Data!$S:$S,Data!$A:$A,Vitezistii!$B44,Data!$C:$C,Vitezistii!Q$1),0)</f>
        <v>3</v>
      </c>
      <c r="R44" s="31">
        <f>SUM(C44:Q44)</f>
        <v>26</v>
      </c>
      <c r="S44" s="31">
        <f>SUMIFS(Data!D:D,Data!A:A,Vitezistii!B104)</f>
        <v>62.760000000000005</v>
      </c>
      <c r="T44" s="12">
        <f>SUMIFS(Data!I:I,Data!A:A,Vitezistii!B44)/COUNTIF(Data!A:A,Vitezistii!B44)</f>
        <v>4.1646610532252056E-3</v>
      </c>
    </row>
    <row r="45" spans="1:20" ht="13" x14ac:dyDescent="0.3">
      <c r="A45" s="79">
        <v>44</v>
      </c>
      <c r="B45" s="30" t="s">
        <v>116</v>
      </c>
      <c r="C45" s="31">
        <f>IFERROR(IF(SUMIFS(Data!$K:$K,Data!$A:$A,Vitezistii!$B45,Data!$C:$C,Vitezistii!C$1)=0," ",SUMIFS(Data!$K:$K,Data!$A:$A,Vitezistii!$B45,Data!$C:$C,Vitezistii!C$1))+SUMIFS(Data!$S:$S,Data!$A:$A,Vitezistii!$B45,Data!$C:$C,Vitezistii!C$1),0)</f>
        <v>1.75</v>
      </c>
      <c r="D45" s="31">
        <f>IFERROR(IF(SUMIFS(Data!$K:$K,Data!$A:$A,Vitezistii!$B45,Data!$C:$C,Vitezistii!D$1)=0," ",SUMIFS(Data!$K:$K,Data!$A:$A,Vitezistii!$B45,Data!$C:$C,Vitezistii!D$1))+SUMIFS(Data!$S:$S,Data!$A:$A,Vitezistii!$B45,Data!$C:$C,Vitezistii!D$1),0)</f>
        <v>2</v>
      </c>
      <c r="E45" s="31">
        <f>IFERROR(IF(SUMIFS(Data!$K:$K,Data!$A:$A,Vitezistii!$B45,Data!$C:$C,Vitezistii!E$1)=0," ",SUMIFS(Data!$K:$K,Data!$A:$A,Vitezistii!$B45,Data!$C:$C,Vitezistii!E$1))+SUMIFS(Data!$S:$S,Data!$A:$A,Vitezistii!$B45,Data!$C:$C,Vitezistii!E$1),0)</f>
        <v>0.75</v>
      </c>
      <c r="F45" s="31">
        <f>IFERROR(IF(SUMIFS(Data!$K:$K,Data!$A:$A,Vitezistii!$B45,Data!$C:$C,Vitezistii!F$1)=0," ",SUMIFS(Data!$K:$K,Data!$A:$A,Vitezistii!$B45,Data!$C:$C,Vitezistii!F$1))+SUMIFS(Data!$S:$S,Data!$A:$A,Vitezistii!$B45,Data!$C:$C,Vitezistii!F$1),0)</f>
        <v>0</v>
      </c>
      <c r="G45" s="31">
        <f>IFERROR(IF(SUMIFS(Data!$K:$K,Data!$A:$A,Vitezistii!$B45,Data!$C:$C,Vitezistii!G$1)=0," ",SUMIFS(Data!$K:$K,Data!$A:$A,Vitezistii!$B45,Data!$C:$C,Vitezistii!G$1))+SUMIFS(Data!$S:$S,Data!$A:$A,Vitezistii!$B45,Data!$C:$C,Vitezistii!G$1),0)</f>
        <v>4.5</v>
      </c>
      <c r="H45" s="31">
        <f>IFERROR(IF(SUMIFS(Data!$K:$K,Data!$A:$A,Vitezistii!$B45,Data!$C:$C,Vitezistii!H$1)=0," ",SUMIFS(Data!$K:$K,Data!$A:$A,Vitezistii!$B45,Data!$C:$C,Vitezistii!H$1))+SUMIFS(Data!$S:$S,Data!$A:$A,Vitezistii!$B45,Data!$C:$C,Vitezistii!H$1),0)</f>
        <v>2</v>
      </c>
      <c r="I45" s="31">
        <f>IFERROR(IF(SUMIFS(Data!$K:$K,Data!$A:$A,Vitezistii!$B45,Data!$C:$C,Vitezistii!I$1)=0," ",SUMIFS(Data!$K:$K,Data!$A:$A,Vitezistii!$B45,Data!$C:$C,Vitezistii!I$1))+SUMIFS(Data!$S:$S,Data!$A:$A,Vitezistii!$B45,Data!$C:$C,Vitezistii!I$1),0)</f>
        <v>2.5</v>
      </c>
      <c r="J45" s="31">
        <f>IFERROR(IF(SUMIFS(Data!$K:$K,Data!$A:$A,Vitezistii!$B45,Data!$C:$C,Vitezistii!J$1)=0," ",SUMIFS(Data!$K:$K,Data!$A:$A,Vitezistii!$B45,Data!$C:$C,Vitezistii!J$1))+SUMIFS(Data!$S:$S,Data!$A:$A,Vitezistii!$B45,Data!$C:$C,Vitezistii!J$1),0)</f>
        <v>2</v>
      </c>
      <c r="K45" s="31">
        <f>IFERROR(IF(SUMIFS(Data!$K:$K,Data!$A:$A,Vitezistii!$B45,Data!$C:$C,Vitezistii!K$1)=0," ",SUMIFS(Data!$K:$K,Data!$A:$A,Vitezistii!$B45,Data!$C:$C,Vitezistii!K$1))+SUMIFS(Data!$S:$S,Data!$A:$A,Vitezistii!$B45,Data!$C:$C,Vitezistii!K$1),0)</f>
        <v>1.75</v>
      </c>
      <c r="L45" s="31">
        <f>IFERROR(IF(SUMIFS(Data!$K:$K,Data!$A:$A,Vitezistii!$B45,Data!$C:$C,Vitezistii!L$1)=0," ",SUMIFS(Data!$K:$K,Data!$A:$A,Vitezistii!$B45,Data!$C:$C,Vitezistii!L$1))+SUMIFS(Data!$S:$S,Data!$A:$A,Vitezistii!$B45,Data!$C:$C,Vitezistii!L$1),0)</f>
        <v>0</v>
      </c>
      <c r="M45" s="31">
        <f>IFERROR(IF(SUMIFS(Data!$K:$K,Data!$A:$A,Vitezistii!$B45,Data!$C:$C,Vitezistii!M$1)=0," ",SUMIFS(Data!$K:$K,Data!$A:$A,Vitezistii!$B45,Data!$C:$C,Vitezistii!M$1))+SUMIFS(Data!$S:$S,Data!$A:$A,Vitezistii!$B45,Data!$C:$C,Vitezistii!M$1),0)</f>
        <v>1.5</v>
      </c>
      <c r="N45" s="31">
        <f>IFERROR(IF(SUMIFS(Data!$K:$K,Data!$A:$A,Vitezistii!$B45,Data!$C:$C,Vitezistii!N$1)=0," ",SUMIFS(Data!$K:$K,Data!$A:$A,Vitezistii!$B45,Data!$C:$C,Vitezistii!N$1))+SUMIFS(Data!$S:$S,Data!$A:$A,Vitezistii!$B45,Data!$C:$C,Vitezistii!N$1),0)</f>
        <v>2.5</v>
      </c>
      <c r="O45" s="31">
        <f>IFERROR(IF(SUMIFS(Data!$K:$K,Data!$A:$A,Vitezistii!$B45,Data!$C:$C,Vitezistii!O$1)=0," ",SUMIFS(Data!$K:$K,Data!$A:$A,Vitezistii!$B45,Data!$C:$C,Vitezistii!O$1))+SUMIFS(Data!$S:$S,Data!$A:$A,Vitezistii!$B45,Data!$C:$C,Vitezistii!O$1),0)</f>
        <v>0.25</v>
      </c>
      <c r="P45" s="31">
        <f>IFERROR(IF(SUMIFS(Data!$K:$K,Data!$A:$A,Vitezistii!$B45,Data!$C:$C,Vitezistii!P$1)=0," ",SUMIFS(Data!$K:$K,Data!$A:$A,Vitezistii!$B45,Data!$C:$C,Vitezistii!P$1))+SUMIFS(Data!$S:$S,Data!$A:$A,Vitezistii!$B45,Data!$C:$C,Vitezistii!P$1),0)</f>
        <v>1.75</v>
      </c>
      <c r="Q45" s="31">
        <f>IFERROR(IF(SUMIFS(Data!$K:$K,Data!$A:$A,Vitezistii!$B45,Data!$C:$C,Vitezistii!Q$1)=0," ",SUMIFS(Data!$K:$K,Data!$A:$A,Vitezistii!$B45,Data!$C:$C,Vitezistii!Q$1))+SUMIFS(Data!$S:$S,Data!$A:$A,Vitezistii!$B45,Data!$C:$C,Vitezistii!Q$1),0)</f>
        <v>2.5</v>
      </c>
      <c r="R45" s="31">
        <f>SUM(C45:Q45)</f>
        <v>25.75</v>
      </c>
      <c r="S45" s="31">
        <f>SUMIFS(Data!D:D,Data!A:A,Vitezistii!B105)</f>
        <v>122.39999999999999</v>
      </c>
      <c r="T45" s="12">
        <f>SUMIFS(Data!I:I,Data!A:A,Vitezistii!B45)/COUNTIF(Data!A:A,Vitezistii!B45)</f>
        <v>3.9009702039745917E-3</v>
      </c>
    </row>
    <row r="46" spans="1:20" ht="13" x14ac:dyDescent="0.3">
      <c r="A46" s="79">
        <v>45</v>
      </c>
      <c r="B46" s="30" t="s">
        <v>375</v>
      </c>
      <c r="C46" s="31">
        <f>IFERROR(IF(SUMIFS(Data!$K:$K,Data!$A:$A,Vitezistii!$B46,Data!$C:$C,Vitezistii!C$1)=0," ",SUMIFS(Data!$K:$K,Data!$A:$A,Vitezistii!$B46,Data!$C:$C,Vitezistii!C$1))+SUMIFS(Data!$S:$S,Data!$A:$A,Vitezistii!$B46,Data!$C:$C,Vitezistii!C$1),0)</f>
        <v>0.25</v>
      </c>
      <c r="D46" s="31">
        <f>IFERROR(IF(SUMIFS(Data!$K:$K,Data!$A:$A,Vitezistii!$B46,Data!$C:$C,Vitezistii!D$1)=0," ",SUMIFS(Data!$K:$K,Data!$A:$A,Vitezistii!$B46,Data!$C:$C,Vitezistii!D$1))+SUMIFS(Data!$S:$S,Data!$A:$A,Vitezistii!$B46,Data!$C:$C,Vitezistii!D$1),0)</f>
        <v>1.25</v>
      </c>
      <c r="E46" s="31">
        <f>IFERROR(IF(SUMIFS(Data!$K:$K,Data!$A:$A,Vitezistii!$B46,Data!$C:$C,Vitezistii!E$1)=0," ",SUMIFS(Data!$K:$K,Data!$A:$A,Vitezistii!$B46,Data!$C:$C,Vitezistii!E$1))+SUMIFS(Data!$S:$S,Data!$A:$A,Vitezistii!$B46,Data!$C:$C,Vitezistii!E$1),0)</f>
        <v>1.75</v>
      </c>
      <c r="F46" s="31">
        <f>IFERROR(IF(SUMIFS(Data!$K:$K,Data!$A:$A,Vitezistii!$B46,Data!$C:$C,Vitezistii!F$1)=0," ",SUMIFS(Data!$K:$K,Data!$A:$A,Vitezistii!$B46,Data!$C:$C,Vitezistii!F$1))+SUMIFS(Data!$S:$S,Data!$A:$A,Vitezistii!$B46,Data!$C:$C,Vitezistii!F$1),0)</f>
        <v>4.5</v>
      </c>
      <c r="G46" s="31">
        <f>IFERROR(IF(SUMIFS(Data!$K:$K,Data!$A:$A,Vitezistii!$B46,Data!$C:$C,Vitezistii!G$1)=0," ",SUMIFS(Data!$K:$K,Data!$A:$A,Vitezistii!$B46,Data!$C:$C,Vitezistii!G$1))+SUMIFS(Data!$S:$S,Data!$A:$A,Vitezistii!$B46,Data!$C:$C,Vitezistii!G$1),0)</f>
        <v>3</v>
      </c>
      <c r="H46" s="31">
        <f>IFERROR(IF(SUMIFS(Data!$K:$K,Data!$A:$A,Vitezistii!$B46,Data!$C:$C,Vitezistii!H$1)=0," ",SUMIFS(Data!$K:$K,Data!$A:$A,Vitezistii!$B46,Data!$C:$C,Vitezistii!H$1))+SUMIFS(Data!$S:$S,Data!$A:$A,Vitezistii!$B46,Data!$C:$C,Vitezistii!H$1),0)</f>
        <v>0</v>
      </c>
      <c r="I46" s="31">
        <f>IFERROR(IF(SUMIFS(Data!$K:$K,Data!$A:$A,Vitezistii!$B46,Data!$C:$C,Vitezistii!I$1)=0," ",SUMIFS(Data!$K:$K,Data!$A:$A,Vitezistii!$B46,Data!$C:$C,Vitezistii!I$1))+SUMIFS(Data!$S:$S,Data!$A:$A,Vitezistii!$B46,Data!$C:$C,Vitezistii!I$1),0)</f>
        <v>1.5</v>
      </c>
      <c r="J46" s="31">
        <f>IFERROR(IF(SUMIFS(Data!$K:$K,Data!$A:$A,Vitezistii!$B46,Data!$C:$C,Vitezistii!J$1)=0," ",SUMIFS(Data!$K:$K,Data!$A:$A,Vitezistii!$B46,Data!$C:$C,Vitezistii!J$1))+SUMIFS(Data!$S:$S,Data!$A:$A,Vitezistii!$B46,Data!$C:$C,Vitezistii!J$1),0)</f>
        <v>0.25</v>
      </c>
      <c r="K46" s="31">
        <f>IFERROR(IF(SUMIFS(Data!$K:$K,Data!$A:$A,Vitezistii!$B46,Data!$C:$C,Vitezistii!K$1)=0," ",SUMIFS(Data!$K:$K,Data!$A:$A,Vitezistii!$B46,Data!$C:$C,Vitezistii!K$1))+SUMIFS(Data!$S:$S,Data!$A:$A,Vitezistii!$B46,Data!$C:$C,Vitezistii!K$1),0)</f>
        <v>0</v>
      </c>
      <c r="L46" s="31">
        <f>IFERROR(IF(SUMIFS(Data!$K:$K,Data!$A:$A,Vitezistii!$B46,Data!$C:$C,Vitezistii!L$1)=0," ",SUMIFS(Data!$K:$K,Data!$A:$A,Vitezistii!$B46,Data!$C:$C,Vitezistii!L$1))+SUMIFS(Data!$S:$S,Data!$A:$A,Vitezistii!$B46,Data!$C:$C,Vitezistii!L$1),0)</f>
        <v>4.5</v>
      </c>
      <c r="M46" s="31">
        <f>IFERROR(IF(SUMIFS(Data!$K:$K,Data!$A:$A,Vitezistii!$B46,Data!$C:$C,Vitezistii!M$1)=0," ",SUMIFS(Data!$K:$K,Data!$A:$A,Vitezistii!$B46,Data!$C:$C,Vitezistii!M$1))+SUMIFS(Data!$S:$S,Data!$A:$A,Vitezistii!$B46,Data!$C:$C,Vitezistii!M$1),0)</f>
        <v>0.25</v>
      </c>
      <c r="N46" s="31">
        <f>IFERROR(IF(SUMIFS(Data!$K:$K,Data!$A:$A,Vitezistii!$B46,Data!$C:$C,Vitezistii!N$1)=0," ",SUMIFS(Data!$K:$K,Data!$A:$A,Vitezistii!$B46,Data!$C:$C,Vitezistii!N$1))+SUMIFS(Data!$S:$S,Data!$A:$A,Vitezistii!$B46,Data!$C:$C,Vitezistii!N$1),0)</f>
        <v>3</v>
      </c>
      <c r="O46" s="31">
        <f>IFERROR(IF(SUMIFS(Data!$K:$K,Data!$A:$A,Vitezistii!$B46,Data!$C:$C,Vitezistii!O$1)=0," ",SUMIFS(Data!$K:$K,Data!$A:$A,Vitezistii!$B46,Data!$C:$C,Vitezistii!O$1))+SUMIFS(Data!$S:$S,Data!$A:$A,Vitezistii!$B46,Data!$C:$C,Vitezistii!O$1),0)</f>
        <v>3.5</v>
      </c>
      <c r="P46" s="31">
        <f>IFERROR(IF(SUMIFS(Data!$K:$K,Data!$A:$A,Vitezistii!$B46,Data!$C:$C,Vitezistii!P$1)=0," ",SUMIFS(Data!$K:$K,Data!$A:$A,Vitezistii!$B46,Data!$C:$C,Vitezistii!P$1))+SUMIFS(Data!$S:$S,Data!$A:$A,Vitezistii!$B46,Data!$C:$C,Vitezistii!P$1),0)</f>
        <v>0.25</v>
      </c>
      <c r="Q46" s="31">
        <f>IFERROR(IF(SUMIFS(Data!$K:$K,Data!$A:$A,Vitezistii!$B46,Data!$C:$C,Vitezistii!Q$1)=0," ",SUMIFS(Data!$K:$K,Data!$A:$A,Vitezistii!$B46,Data!$C:$C,Vitezistii!Q$1))+SUMIFS(Data!$S:$S,Data!$A:$A,Vitezistii!$B46,Data!$C:$C,Vitezistii!Q$1),0)</f>
        <v>0.25</v>
      </c>
      <c r="R46" s="31">
        <f>SUM(C46:Q46)</f>
        <v>24.25</v>
      </c>
      <c r="S46" s="31">
        <f>SUMIFS(Data!D:D,Data!A:A,Vitezistii!B106)</f>
        <v>38.46</v>
      </c>
      <c r="T46" s="12">
        <f>SUMIFS(Data!I:I,Data!A:A,Vitezistii!B46)/COUNTIF(Data!A:A,Vitezistii!B46)</f>
        <v>4.5091249975468574E-3</v>
      </c>
    </row>
    <row r="47" spans="1:20" ht="13" x14ac:dyDescent="0.3">
      <c r="A47" s="79">
        <v>46</v>
      </c>
      <c r="B47" s="30" t="s">
        <v>300</v>
      </c>
      <c r="C47" s="31">
        <f>IFERROR(IF(SUMIFS(Data!$K:$K,Data!$A:$A,Vitezistii!$B47,Data!$C:$C,Vitezistii!C$1)=0," ",SUMIFS(Data!$K:$K,Data!$A:$A,Vitezistii!$B47,Data!$C:$C,Vitezistii!C$1))+SUMIFS(Data!$S:$S,Data!$A:$A,Vitezistii!$B47,Data!$C:$C,Vitezistii!C$1),0)</f>
        <v>2.5</v>
      </c>
      <c r="D47" s="31">
        <f>IFERROR(IF(SUMIFS(Data!$K:$K,Data!$A:$A,Vitezistii!$B47,Data!$C:$C,Vitezistii!D$1)=0," ",SUMIFS(Data!$K:$K,Data!$A:$A,Vitezistii!$B47,Data!$C:$C,Vitezistii!D$1))+SUMIFS(Data!$S:$S,Data!$A:$A,Vitezistii!$B47,Data!$C:$C,Vitezistii!D$1),0)</f>
        <v>0</v>
      </c>
      <c r="E47" s="31">
        <f>IFERROR(IF(SUMIFS(Data!$K:$K,Data!$A:$A,Vitezistii!$B47,Data!$C:$C,Vitezistii!E$1)=0," ",SUMIFS(Data!$K:$K,Data!$A:$A,Vitezistii!$B47,Data!$C:$C,Vitezistii!E$1))+SUMIFS(Data!$S:$S,Data!$A:$A,Vitezistii!$B47,Data!$C:$C,Vitezistii!E$1),0)</f>
        <v>2.5</v>
      </c>
      <c r="F47" s="31">
        <f>IFERROR(IF(SUMIFS(Data!$K:$K,Data!$A:$A,Vitezistii!$B47,Data!$C:$C,Vitezistii!F$1)=0," ",SUMIFS(Data!$K:$K,Data!$A:$A,Vitezistii!$B47,Data!$C:$C,Vitezistii!F$1))+SUMIFS(Data!$S:$S,Data!$A:$A,Vitezistii!$B47,Data!$C:$C,Vitezistii!F$1),0)</f>
        <v>1.75</v>
      </c>
      <c r="G47" s="31">
        <f>IFERROR(IF(SUMIFS(Data!$K:$K,Data!$A:$A,Vitezistii!$B47,Data!$C:$C,Vitezistii!G$1)=0," ",SUMIFS(Data!$K:$K,Data!$A:$A,Vitezistii!$B47,Data!$C:$C,Vitezistii!G$1))+SUMIFS(Data!$S:$S,Data!$A:$A,Vitezistii!$B47,Data!$C:$C,Vitezistii!G$1),0)</f>
        <v>0</v>
      </c>
      <c r="H47" s="31">
        <f>IFERROR(IF(SUMIFS(Data!$K:$K,Data!$A:$A,Vitezistii!$B47,Data!$C:$C,Vitezistii!H$1)=0," ",SUMIFS(Data!$K:$K,Data!$A:$A,Vitezistii!$B47,Data!$C:$C,Vitezistii!H$1))+SUMIFS(Data!$S:$S,Data!$A:$A,Vitezistii!$B47,Data!$C:$C,Vitezistii!H$1),0)</f>
        <v>0</v>
      </c>
      <c r="I47" s="31">
        <f>IFERROR(IF(SUMIFS(Data!$K:$K,Data!$A:$A,Vitezistii!$B47,Data!$C:$C,Vitezistii!I$1)=0," ",SUMIFS(Data!$K:$K,Data!$A:$A,Vitezistii!$B47,Data!$C:$C,Vitezistii!I$1))+SUMIFS(Data!$S:$S,Data!$A:$A,Vitezistii!$B47,Data!$C:$C,Vitezistii!I$1),0)</f>
        <v>0</v>
      </c>
      <c r="J47" s="31">
        <f>IFERROR(IF(SUMIFS(Data!$K:$K,Data!$A:$A,Vitezistii!$B47,Data!$C:$C,Vitezistii!J$1)=0," ",SUMIFS(Data!$K:$K,Data!$A:$A,Vitezistii!$B47,Data!$C:$C,Vitezistii!J$1))+SUMIFS(Data!$S:$S,Data!$A:$A,Vitezistii!$B47,Data!$C:$C,Vitezistii!J$1),0)</f>
        <v>0.25</v>
      </c>
      <c r="K47" s="31">
        <f>IFERROR(IF(SUMIFS(Data!$K:$K,Data!$A:$A,Vitezistii!$B47,Data!$C:$C,Vitezistii!K$1)=0," ",SUMIFS(Data!$K:$K,Data!$A:$A,Vitezistii!$B47,Data!$C:$C,Vitezistii!K$1))+SUMIFS(Data!$S:$S,Data!$A:$A,Vitezistii!$B47,Data!$C:$C,Vitezistii!K$1),0)</f>
        <v>0</v>
      </c>
      <c r="L47" s="31">
        <f>IFERROR(IF(SUMIFS(Data!$K:$K,Data!$A:$A,Vitezistii!$B47,Data!$C:$C,Vitezistii!L$1)=0," ",SUMIFS(Data!$K:$K,Data!$A:$A,Vitezistii!$B47,Data!$C:$C,Vitezistii!L$1))+SUMIFS(Data!$S:$S,Data!$A:$A,Vitezistii!$B47,Data!$C:$C,Vitezistii!L$1),0)</f>
        <v>0</v>
      </c>
      <c r="M47" s="31">
        <f>IFERROR(IF(SUMIFS(Data!$K:$K,Data!$A:$A,Vitezistii!$B47,Data!$C:$C,Vitezistii!M$1)=0," ",SUMIFS(Data!$K:$K,Data!$A:$A,Vitezistii!$B47,Data!$C:$C,Vitezistii!M$1))+SUMIFS(Data!$S:$S,Data!$A:$A,Vitezistii!$B47,Data!$C:$C,Vitezistii!M$1),0)</f>
        <v>4</v>
      </c>
      <c r="N47" s="31">
        <f>IFERROR(IF(SUMIFS(Data!$K:$K,Data!$A:$A,Vitezistii!$B47,Data!$C:$C,Vitezistii!N$1)=0," ",SUMIFS(Data!$K:$K,Data!$A:$A,Vitezistii!$B47,Data!$C:$C,Vitezistii!N$1))+SUMIFS(Data!$S:$S,Data!$A:$A,Vitezistii!$B47,Data!$C:$C,Vitezistii!N$1),0)</f>
        <v>3.5</v>
      </c>
      <c r="O47" s="31">
        <f>IFERROR(IF(SUMIFS(Data!$K:$K,Data!$A:$A,Vitezistii!$B47,Data!$C:$C,Vitezistii!O$1)=0," ",SUMIFS(Data!$K:$K,Data!$A:$A,Vitezistii!$B47,Data!$C:$C,Vitezistii!O$1))+SUMIFS(Data!$S:$S,Data!$A:$A,Vitezistii!$B47,Data!$C:$C,Vitezistii!O$1),0)</f>
        <v>1.25</v>
      </c>
      <c r="P47" s="31">
        <f>IFERROR(IF(SUMIFS(Data!$K:$K,Data!$A:$A,Vitezistii!$B47,Data!$C:$C,Vitezistii!P$1)=0," ",SUMIFS(Data!$K:$K,Data!$A:$A,Vitezistii!$B47,Data!$C:$C,Vitezistii!P$1))+SUMIFS(Data!$S:$S,Data!$A:$A,Vitezistii!$B47,Data!$C:$C,Vitezistii!P$1),0)</f>
        <v>5.15</v>
      </c>
      <c r="Q47" s="31">
        <f>IFERROR(IF(SUMIFS(Data!$K:$K,Data!$A:$A,Vitezistii!$B47,Data!$C:$C,Vitezistii!Q$1)=0," ",SUMIFS(Data!$K:$K,Data!$A:$A,Vitezistii!$B47,Data!$C:$C,Vitezistii!Q$1))+SUMIFS(Data!$S:$S,Data!$A:$A,Vitezistii!$B47,Data!$C:$C,Vitezistii!Q$1),0)</f>
        <v>3</v>
      </c>
      <c r="R47" s="31">
        <f>SUM(C47:Q47)</f>
        <v>23.9</v>
      </c>
      <c r="S47" s="31">
        <f>SUMIFS(Data!D:D,Data!A:A,Vitezistii!B107)</f>
        <v>5.04</v>
      </c>
      <c r="T47" s="12">
        <f>SUMIFS(Data!I:I,Data!A:A,Vitezistii!B47)/COUNTIF(Data!A:A,Vitezistii!B47)</f>
        <v>3.6957900494896411E-3</v>
      </c>
    </row>
    <row r="48" spans="1:20" ht="13" x14ac:dyDescent="0.3">
      <c r="A48" s="79">
        <v>47</v>
      </c>
      <c r="B48" s="30" t="s">
        <v>122</v>
      </c>
      <c r="C48" s="31">
        <f>IFERROR(IF(SUMIFS(Data!$K:$K,Data!$A:$A,Vitezistii!$B48,Data!$C:$C,Vitezistii!C$1)=0," ",SUMIFS(Data!$K:$K,Data!$A:$A,Vitezistii!$B48,Data!$C:$C,Vitezistii!C$1))+SUMIFS(Data!$S:$S,Data!$A:$A,Vitezistii!$B48,Data!$C:$C,Vitezistii!C$1),0)</f>
        <v>0</v>
      </c>
      <c r="D48" s="31">
        <f>IFERROR(IF(SUMIFS(Data!$K:$K,Data!$A:$A,Vitezistii!$B48,Data!$C:$C,Vitezistii!D$1)=0," ",SUMIFS(Data!$K:$K,Data!$A:$A,Vitezistii!$B48,Data!$C:$C,Vitezistii!D$1))+SUMIFS(Data!$S:$S,Data!$A:$A,Vitezistii!$B48,Data!$C:$C,Vitezistii!D$1),0)</f>
        <v>2</v>
      </c>
      <c r="E48" s="31">
        <f>IFERROR(IF(SUMIFS(Data!$K:$K,Data!$A:$A,Vitezistii!$B48,Data!$C:$C,Vitezistii!E$1)=0," ",SUMIFS(Data!$K:$K,Data!$A:$A,Vitezistii!$B48,Data!$C:$C,Vitezistii!E$1))+SUMIFS(Data!$S:$S,Data!$A:$A,Vitezistii!$B48,Data!$C:$C,Vitezistii!E$1),0)</f>
        <v>3</v>
      </c>
      <c r="F48" s="31">
        <f>IFERROR(IF(SUMIFS(Data!$K:$K,Data!$A:$A,Vitezistii!$B48,Data!$C:$C,Vitezistii!F$1)=0," ",SUMIFS(Data!$K:$K,Data!$A:$A,Vitezistii!$B48,Data!$C:$C,Vitezistii!F$1))+SUMIFS(Data!$S:$S,Data!$A:$A,Vitezistii!$B48,Data!$C:$C,Vitezistii!F$1),0)</f>
        <v>2</v>
      </c>
      <c r="G48" s="31">
        <f>IFERROR(IF(SUMIFS(Data!$K:$K,Data!$A:$A,Vitezistii!$B48,Data!$C:$C,Vitezistii!G$1)=0," ",SUMIFS(Data!$K:$K,Data!$A:$A,Vitezistii!$B48,Data!$C:$C,Vitezistii!G$1))+SUMIFS(Data!$S:$S,Data!$A:$A,Vitezistii!$B48,Data!$C:$C,Vitezistii!G$1),0)</f>
        <v>2</v>
      </c>
      <c r="H48" s="31">
        <f>IFERROR(IF(SUMIFS(Data!$K:$K,Data!$A:$A,Vitezistii!$B48,Data!$C:$C,Vitezistii!H$1)=0," ",SUMIFS(Data!$K:$K,Data!$A:$A,Vitezistii!$B48,Data!$C:$C,Vitezistii!H$1))+SUMIFS(Data!$S:$S,Data!$A:$A,Vitezistii!$B48,Data!$C:$C,Vitezistii!H$1),0)</f>
        <v>0</v>
      </c>
      <c r="I48" s="31">
        <f>IFERROR(IF(SUMIFS(Data!$K:$K,Data!$A:$A,Vitezistii!$B48,Data!$C:$C,Vitezistii!I$1)=0," ",SUMIFS(Data!$K:$K,Data!$A:$A,Vitezistii!$B48,Data!$C:$C,Vitezistii!I$1))+SUMIFS(Data!$S:$S,Data!$A:$A,Vitezistii!$B48,Data!$C:$C,Vitezistii!I$1),0)</f>
        <v>2</v>
      </c>
      <c r="J48" s="31">
        <f>IFERROR(IF(SUMIFS(Data!$K:$K,Data!$A:$A,Vitezistii!$B48,Data!$C:$C,Vitezistii!J$1)=0," ",SUMIFS(Data!$K:$K,Data!$A:$A,Vitezistii!$B48,Data!$C:$C,Vitezistii!J$1))+SUMIFS(Data!$S:$S,Data!$A:$A,Vitezistii!$B48,Data!$C:$C,Vitezistii!J$1),0)</f>
        <v>0</v>
      </c>
      <c r="K48" s="31">
        <f>IFERROR(IF(SUMIFS(Data!$K:$K,Data!$A:$A,Vitezistii!$B48,Data!$C:$C,Vitezistii!K$1)=0," ",SUMIFS(Data!$K:$K,Data!$A:$A,Vitezistii!$B48,Data!$C:$C,Vitezistii!K$1))+SUMIFS(Data!$S:$S,Data!$A:$A,Vitezistii!$B48,Data!$C:$C,Vitezistii!K$1),0)</f>
        <v>1</v>
      </c>
      <c r="L48" s="31">
        <f>IFERROR(IF(SUMIFS(Data!$K:$K,Data!$A:$A,Vitezistii!$B48,Data!$C:$C,Vitezistii!L$1)=0," ",SUMIFS(Data!$K:$K,Data!$A:$A,Vitezistii!$B48,Data!$C:$C,Vitezistii!L$1))+SUMIFS(Data!$S:$S,Data!$A:$A,Vitezistii!$B48,Data!$C:$C,Vitezistii!L$1),0)</f>
        <v>1.25</v>
      </c>
      <c r="M48" s="31">
        <f>IFERROR(IF(SUMIFS(Data!$K:$K,Data!$A:$A,Vitezistii!$B48,Data!$C:$C,Vitezistii!M$1)=0," ",SUMIFS(Data!$K:$K,Data!$A:$A,Vitezistii!$B48,Data!$C:$C,Vitezistii!M$1))+SUMIFS(Data!$S:$S,Data!$A:$A,Vitezistii!$B48,Data!$C:$C,Vitezistii!M$1),0)</f>
        <v>3.5</v>
      </c>
      <c r="N48" s="31">
        <f>IFERROR(IF(SUMIFS(Data!$K:$K,Data!$A:$A,Vitezistii!$B48,Data!$C:$C,Vitezistii!N$1)=0," ",SUMIFS(Data!$K:$K,Data!$A:$A,Vitezistii!$B48,Data!$C:$C,Vitezistii!N$1))+SUMIFS(Data!$S:$S,Data!$A:$A,Vitezistii!$B48,Data!$C:$C,Vitezistii!N$1),0)</f>
        <v>1.25</v>
      </c>
      <c r="O48" s="31">
        <f>IFERROR(IF(SUMIFS(Data!$K:$K,Data!$A:$A,Vitezistii!$B48,Data!$C:$C,Vitezistii!O$1)=0," ",SUMIFS(Data!$K:$K,Data!$A:$A,Vitezistii!$B48,Data!$C:$C,Vitezistii!O$1))+SUMIFS(Data!$S:$S,Data!$A:$A,Vitezistii!$B48,Data!$C:$C,Vitezistii!O$1),0)</f>
        <v>0.25</v>
      </c>
      <c r="P48" s="31">
        <f>IFERROR(IF(SUMIFS(Data!$K:$K,Data!$A:$A,Vitezistii!$B48,Data!$C:$C,Vitezistii!P$1)=0," ",SUMIFS(Data!$K:$K,Data!$A:$A,Vitezistii!$B48,Data!$C:$C,Vitezistii!P$1))+SUMIFS(Data!$S:$S,Data!$A:$A,Vitezistii!$B48,Data!$C:$C,Vitezistii!P$1),0)</f>
        <v>4</v>
      </c>
      <c r="Q48" s="31">
        <f>IFERROR(IF(SUMIFS(Data!$K:$K,Data!$A:$A,Vitezistii!$B48,Data!$C:$C,Vitezistii!Q$1)=0," ",SUMIFS(Data!$K:$K,Data!$A:$A,Vitezistii!$B48,Data!$C:$C,Vitezistii!Q$1))+SUMIFS(Data!$S:$S,Data!$A:$A,Vitezistii!$B48,Data!$C:$C,Vitezistii!Q$1),0)</f>
        <v>1</v>
      </c>
      <c r="R48" s="31">
        <f>SUM(C48:Q48)</f>
        <v>23.25</v>
      </c>
      <c r="S48" s="31">
        <f>SUMIFS(Data!D:D,Data!A:A,Vitezistii!B108)</f>
        <v>24.25</v>
      </c>
      <c r="T48" s="12">
        <f>SUMIFS(Data!I:I,Data!A:A,Vitezistii!B48)/COUNTIF(Data!A:A,Vitezistii!B48)</f>
        <v>4.3288982234835297E-3</v>
      </c>
    </row>
    <row r="49" spans="1:20" ht="13" x14ac:dyDescent="0.3">
      <c r="A49" s="79">
        <v>48</v>
      </c>
      <c r="B49" s="30" t="s">
        <v>49</v>
      </c>
      <c r="C49" s="31">
        <f>IFERROR(IF(SUMIFS(Data!$K:$K,Data!$A:$A,Vitezistii!$B49,Data!$C:$C,Vitezistii!C$1)=0," ",SUMIFS(Data!$K:$K,Data!$A:$A,Vitezistii!$B49,Data!$C:$C,Vitezistii!C$1))+SUMIFS(Data!$S:$S,Data!$A:$A,Vitezistii!$B49,Data!$C:$C,Vitezistii!C$1),0)</f>
        <v>0</v>
      </c>
      <c r="D49" s="31">
        <f>IFERROR(IF(SUMIFS(Data!$K:$K,Data!$A:$A,Vitezistii!$B49,Data!$C:$C,Vitezistii!D$1)=0," ",SUMIFS(Data!$K:$K,Data!$A:$A,Vitezistii!$B49,Data!$C:$C,Vitezistii!D$1))+SUMIFS(Data!$S:$S,Data!$A:$A,Vitezistii!$B49,Data!$C:$C,Vitezistii!D$1),0)</f>
        <v>5.45</v>
      </c>
      <c r="E49" s="31">
        <f>IFERROR(IF(SUMIFS(Data!$K:$K,Data!$A:$A,Vitezistii!$B49,Data!$C:$C,Vitezistii!E$1)=0," ",SUMIFS(Data!$K:$K,Data!$A:$A,Vitezistii!$B49,Data!$C:$C,Vitezistii!E$1))+SUMIFS(Data!$S:$S,Data!$A:$A,Vitezistii!$B49,Data!$C:$C,Vitezistii!E$1),0)</f>
        <v>0.25</v>
      </c>
      <c r="F49" s="31">
        <f>IFERROR(IF(SUMIFS(Data!$K:$K,Data!$A:$A,Vitezistii!$B49,Data!$C:$C,Vitezistii!F$1)=0," ",SUMIFS(Data!$K:$K,Data!$A:$A,Vitezistii!$B49,Data!$C:$C,Vitezistii!F$1))+SUMIFS(Data!$S:$S,Data!$A:$A,Vitezistii!$B49,Data!$C:$C,Vitezistii!F$1),0)</f>
        <v>0</v>
      </c>
      <c r="G49" s="31">
        <f>IFERROR(IF(SUMIFS(Data!$K:$K,Data!$A:$A,Vitezistii!$B49,Data!$C:$C,Vitezistii!G$1)=0," ",SUMIFS(Data!$K:$K,Data!$A:$A,Vitezistii!$B49,Data!$C:$C,Vitezistii!G$1))+SUMIFS(Data!$S:$S,Data!$A:$A,Vitezistii!$B49,Data!$C:$C,Vitezistii!G$1),0)</f>
        <v>0</v>
      </c>
      <c r="H49" s="31">
        <f>IFERROR(IF(SUMIFS(Data!$K:$K,Data!$A:$A,Vitezistii!$B49,Data!$C:$C,Vitezistii!H$1)=0," ",SUMIFS(Data!$K:$K,Data!$A:$A,Vitezistii!$B49,Data!$C:$C,Vitezistii!H$1))+SUMIFS(Data!$S:$S,Data!$A:$A,Vitezistii!$B49,Data!$C:$C,Vitezistii!H$1),0)</f>
        <v>1.25</v>
      </c>
      <c r="I49" s="31">
        <f>IFERROR(IF(SUMIFS(Data!$K:$K,Data!$A:$A,Vitezistii!$B49,Data!$C:$C,Vitezistii!I$1)=0," ",SUMIFS(Data!$K:$K,Data!$A:$A,Vitezistii!$B49,Data!$C:$C,Vitezistii!I$1))+SUMIFS(Data!$S:$S,Data!$A:$A,Vitezistii!$B49,Data!$C:$C,Vitezistii!I$1),0)</f>
        <v>1.5</v>
      </c>
      <c r="J49" s="31">
        <f>IFERROR(IF(SUMIFS(Data!$K:$K,Data!$A:$A,Vitezistii!$B49,Data!$C:$C,Vitezistii!J$1)=0," ",SUMIFS(Data!$K:$K,Data!$A:$A,Vitezistii!$B49,Data!$C:$C,Vitezistii!J$1))+SUMIFS(Data!$S:$S,Data!$A:$A,Vitezistii!$B49,Data!$C:$C,Vitezistii!J$1),0)</f>
        <v>0</v>
      </c>
      <c r="K49" s="31">
        <f>IFERROR(IF(SUMIFS(Data!$K:$K,Data!$A:$A,Vitezistii!$B49,Data!$C:$C,Vitezistii!K$1)=0," ",SUMIFS(Data!$K:$K,Data!$A:$A,Vitezistii!$B49,Data!$C:$C,Vitezistii!K$1))+SUMIFS(Data!$S:$S,Data!$A:$A,Vitezistii!$B49,Data!$C:$C,Vitezistii!K$1),0)</f>
        <v>4.5</v>
      </c>
      <c r="L49" s="31">
        <f>IFERROR(IF(SUMIFS(Data!$K:$K,Data!$A:$A,Vitezistii!$B49,Data!$C:$C,Vitezistii!L$1)=0," ",SUMIFS(Data!$K:$K,Data!$A:$A,Vitezistii!$B49,Data!$C:$C,Vitezistii!L$1))+SUMIFS(Data!$S:$S,Data!$A:$A,Vitezistii!$B49,Data!$C:$C,Vitezistii!L$1),0)</f>
        <v>0.25</v>
      </c>
      <c r="M49" s="31">
        <f>IFERROR(IF(SUMIFS(Data!$K:$K,Data!$A:$A,Vitezistii!$B49,Data!$C:$C,Vitezistii!M$1)=0," ",SUMIFS(Data!$K:$K,Data!$A:$A,Vitezistii!$B49,Data!$C:$C,Vitezistii!M$1))+SUMIFS(Data!$S:$S,Data!$A:$A,Vitezistii!$B49,Data!$C:$C,Vitezistii!M$1),0)</f>
        <v>4.5</v>
      </c>
      <c r="N49" s="31">
        <f>IFERROR(IF(SUMIFS(Data!$K:$K,Data!$A:$A,Vitezistii!$B49,Data!$C:$C,Vitezistii!N$1)=0," ",SUMIFS(Data!$K:$K,Data!$A:$A,Vitezistii!$B49,Data!$C:$C,Vitezistii!N$1))+SUMIFS(Data!$S:$S,Data!$A:$A,Vitezistii!$B49,Data!$C:$C,Vitezistii!N$1),0)</f>
        <v>0</v>
      </c>
      <c r="O49" s="31">
        <f>IFERROR(IF(SUMIFS(Data!$K:$K,Data!$A:$A,Vitezistii!$B49,Data!$C:$C,Vitezistii!O$1)=0," ",SUMIFS(Data!$K:$K,Data!$A:$A,Vitezistii!$B49,Data!$C:$C,Vitezistii!O$1))+SUMIFS(Data!$S:$S,Data!$A:$A,Vitezistii!$B49,Data!$C:$C,Vitezistii!O$1),0)</f>
        <v>1.75</v>
      </c>
      <c r="P49" s="31">
        <f>IFERROR(IF(SUMIFS(Data!$K:$K,Data!$A:$A,Vitezistii!$B49,Data!$C:$C,Vitezistii!P$1)=0," ",SUMIFS(Data!$K:$K,Data!$A:$A,Vitezistii!$B49,Data!$C:$C,Vitezistii!P$1))+SUMIFS(Data!$S:$S,Data!$A:$A,Vitezistii!$B49,Data!$C:$C,Vitezistii!P$1),0)</f>
        <v>0.25</v>
      </c>
      <c r="Q49" s="31">
        <f>IFERROR(IF(SUMIFS(Data!$K:$K,Data!$A:$A,Vitezistii!$B49,Data!$C:$C,Vitezistii!Q$1)=0," ",SUMIFS(Data!$K:$K,Data!$A:$A,Vitezistii!$B49,Data!$C:$C,Vitezistii!Q$1))+SUMIFS(Data!$S:$S,Data!$A:$A,Vitezistii!$B49,Data!$C:$C,Vitezistii!Q$1),0)</f>
        <v>3.5</v>
      </c>
      <c r="R49" s="31">
        <f>SUM(C49:Q49)</f>
        <v>23.2</v>
      </c>
      <c r="S49" s="31">
        <f>SUMIFS(Data!D:D,Data!A:A,Vitezistii!B109)</f>
        <v>29.62</v>
      </c>
      <c r="T49" s="12">
        <f>SUMIFS(Data!I:I,Data!A:A,Vitezistii!B49)/COUNTIF(Data!A:A,Vitezistii!B49)</f>
        <v>4.7868360138900298E-3</v>
      </c>
    </row>
    <row r="50" spans="1:20" ht="13" x14ac:dyDescent="0.3">
      <c r="A50" s="79">
        <v>49</v>
      </c>
      <c r="B50" s="30" t="s">
        <v>355</v>
      </c>
      <c r="C50" s="31">
        <f>IFERROR(IF(SUMIFS(Data!$K:$K,Data!$A:$A,Vitezistii!$B50,Data!$C:$C,Vitezistii!C$1)=0," ",SUMIFS(Data!$K:$K,Data!$A:$A,Vitezistii!$B50,Data!$C:$C,Vitezistii!C$1))+SUMIFS(Data!$S:$S,Data!$A:$A,Vitezistii!$B50,Data!$C:$C,Vitezistii!C$1),0)</f>
        <v>1.75</v>
      </c>
      <c r="D50" s="31">
        <f>IFERROR(IF(SUMIFS(Data!$K:$K,Data!$A:$A,Vitezistii!$B50,Data!$C:$C,Vitezistii!D$1)=0," ",SUMIFS(Data!$K:$K,Data!$A:$A,Vitezistii!$B50,Data!$C:$C,Vitezistii!D$1))+SUMIFS(Data!$S:$S,Data!$A:$A,Vitezistii!$B50,Data!$C:$C,Vitezistii!D$1),0)</f>
        <v>0.25</v>
      </c>
      <c r="E50" s="31">
        <f>IFERROR(IF(SUMIFS(Data!$K:$K,Data!$A:$A,Vitezistii!$B50,Data!$C:$C,Vitezistii!E$1)=0," ",SUMIFS(Data!$K:$K,Data!$A:$A,Vitezistii!$B50,Data!$C:$C,Vitezistii!E$1))+SUMIFS(Data!$S:$S,Data!$A:$A,Vitezistii!$B50,Data!$C:$C,Vitezistii!E$1),0)</f>
        <v>1.5</v>
      </c>
      <c r="F50" s="31">
        <f>IFERROR(IF(SUMIFS(Data!$K:$K,Data!$A:$A,Vitezistii!$B50,Data!$C:$C,Vitezistii!F$1)=0," ",SUMIFS(Data!$K:$K,Data!$A:$A,Vitezistii!$B50,Data!$C:$C,Vitezistii!F$1))+SUMIFS(Data!$S:$S,Data!$A:$A,Vitezistii!$B50,Data!$C:$C,Vitezistii!F$1),0)</f>
        <v>3</v>
      </c>
      <c r="G50" s="31">
        <f>IFERROR(IF(SUMIFS(Data!$K:$K,Data!$A:$A,Vitezistii!$B50,Data!$C:$C,Vitezistii!G$1)=0," ",SUMIFS(Data!$K:$K,Data!$A:$A,Vitezistii!$B50,Data!$C:$C,Vitezistii!G$1))+SUMIFS(Data!$S:$S,Data!$A:$A,Vitezistii!$B50,Data!$C:$C,Vitezistii!G$1),0)</f>
        <v>3.5</v>
      </c>
      <c r="H50" s="31">
        <f>IFERROR(IF(SUMIFS(Data!$K:$K,Data!$A:$A,Vitezistii!$B50,Data!$C:$C,Vitezistii!H$1)=0," ",SUMIFS(Data!$K:$K,Data!$A:$A,Vitezistii!$B50,Data!$C:$C,Vitezistii!H$1))+SUMIFS(Data!$S:$S,Data!$A:$A,Vitezistii!$B50,Data!$C:$C,Vitezistii!H$1),0)</f>
        <v>0.75</v>
      </c>
      <c r="I50" s="31">
        <f>IFERROR(IF(SUMIFS(Data!$K:$K,Data!$A:$A,Vitezistii!$B50,Data!$C:$C,Vitezistii!I$1)=0," ",SUMIFS(Data!$K:$K,Data!$A:$A,Vitezistii!$B50,Data!$C:$C,Vitezistii!I$1))+SUMIFS(Data!$S:$S,Data!$A:$A,Vitezistii!$B50,Data!$C:$C,Vitezistii!I$1),0)</f>
        <v>1</v>
      </c>
      <c r="J50" s="31">
        <f>IFERROR(IF(SUMIFS(Data!$K:$K,Data!$A:$A,Vitezistii!$B50,Data!$C:$C,Vitezistii!J$1)=0," ",SUMIFS(Data!$K:$K,Data!$A:$A,Vitezistii!$B50,Data!$C:$C,Vitezistii!J$1))+SUMIFS(Data!$S:$S,Data!$A:$A,Vitezistii!$B50,Data!$C:$C,Vitezistii!J$1),0)</f>
        <v>1.25</v>
      </c>
      <c r="K50" s="31">
        <f>IFERROR(IF(SUMIFS(Data!$K:$K,Data!$A:$A,Vitezistii!$B50,Data!$C:$C,Vitezistii!K$1)=0," ",SUMIFS(Data!$K:$K,Data!$A:$A,Vitezistii!$B50,Data!$C:$C,Vitezistii!K$1))+SUMIFS(Data!$S:$S,Data!$A:$A,Vitezistii!$B50,Data!$C:$C,Vitezistii!K$1),0)</f>
        <v>1.5</v>
      </c>
      <c r="L50" s="31">
        <f>IFERROR(IF(SUMIFS(Data!$K:$K,Data!$A:$A,Vitezistii!$B50,Data!$C:$C,Vitezistii!L$1)=0," ",SUMIFS(Data!$K:$K,Data!$A:$A,Vitezistii!$B50,Data!$C:$C,Vitezistii!L$1))+SUMIFS(Data!$S:$S,Data!$A:$A,Vitezistii!$B50,Data!$C:$C,Vitezistii!L$1),0)</f>
        <v>0.25</v>
      </c>
      <c r="M50" s="31">
        <f>IFERROR(IF(SUMIFS(Data!$K:$K,Data!$A:$A,Vitezistii!$B50,Data!$C:$C,Vitezistii!M$1)=0," ",SUMIFS(Data!$K:$K,Data!$A:$A,Vitezistii!$B50,Data!$C:$C,Vitezistii!M$1))+SUMIFS(Data!$S:$S,Data!$A:$A,Vitezistii!$B50,Data!$C:$C,Vitezistii!M$1),0)</f>
        <v>3</v>
      </c>
      <c r="N50" s="31">
        <f>IFERROR(IF(SUMIFS(Data!$K:$K,Data!$A:$A,Vitezistii!$B50,Data!$C:$C,Vitezistii!N$1)=0," ",SUMIFS(Data!$K:$K,Data!$A:$A,Vitezistii!$B50,Data!$C:$C,Vitezistii!N$1))+SUMIFS(Data!$S:$S,Data!$A:$A,Vitezistii!$B50,Data!$C:$C,Vitezistii!N$1),0)</f>
        <v>0.75</v>
      </c>
      <c r="O50" s="31">
        <f>IFERROR(IF(SUMIFS(Data!$K:$K,Data!$A:$A,Vitezistii!$B50,Data!$C:$C,Vitezistii!O$1)=0," ",SUMIFS(Data!$K:$K,Data!$A:$A,Vitezistii!$B50,Data!$C:$C,Vitezistii!O$1))+SUMIFS(Data!$S:$S,Data!$A:$A,Vitezistii!$B50,Data!$C:$C,Vitezistii!O$1),0)</f>
        <v>1.75</v>
      </c>
      <c r="P50" s="31">
        <f>IFERROR(IF(SUMIFS(Data!$K:$K,Data!$A:$A,Vitezistii!$B50,Data!$C:$C,Vitezistii!P$1)=0," ",SUMIFS(Data!$K:$K,Data!$A:$A,Vitezistii!$B50,Data!$C:$C,Vitezistii!P$1))+SUMIFS(Data!$S:$S,Data!$A:$A,Vitezistii!$B50,Data!$C:$C,Vitezistii!P$1),0)</f>
        <v>2</v>
      </c>
      <c r="Q50" s="31">
        <f>IFERROR(IF(SUMIFS(Data!$K:$K,Data!$A:$A,Vitezistii!$B50,Data!$C:$C,Vitezistii!Q$1)=0," ",SUMIFS(Data!$K:$K,Data!$A:$A,Vitezistii!$B50,Data!$C:$C,Vitezistii!Q$1))+SUMIFS(Data!$S:$S,Data!$A:$A,Vitezistii!$B50,Data!$C:$C,Vitezistii!Q$1),0)</f>
        <v>0.75</v>
      </c>
      <c r="R50" s="31">
        <f>SUM(C50:Q50)</f>
        <v>23</v>
      </c>
      <c r="S50" s="31">
        <f>SUMIFS(Data!D:D,Data!A:A,Vitezistii!B110)</f>
        <v>146.29999999999998</v>
      </c>
      <c r="T50" s="12">
        <f>SUMIFS(Data!I:I,Data!A:A,Vitezistii!B50)/COUNTIF(Data!A:A,Vitezistii!B50)</f>
        <v>4.5209201214779513E-3</v>
      </c>
    </row>
    <row r="51" spans="1:20" ht="13" x14ac:dyDescent="0.3">
      <c r="A51" s="79">
        <v>50</v>
      </c>
      <c r="B51" s="30" t="s">
        <v>170</v>
      </c>
      <c r="C51" s="31">
        <f>IFERROR(IF(SUMIFS(Data!$K:$K,Data!$A:$A,Vitezistii!$B51,Data!$C:$C,Vitezistii!C$1)=0," ",SUMIFS(Data!$K:$K,Data!$A:$A,Vitezistii!$B51,Data!$C:$C,Vitezistii!C$1))+SUMIFS(Data!$S:$S,Data!$A:$A,Vitezistii!$B51,Data!$C:$C,Vitezistii!C$1),0)</f>
        <v>2</v>
      </c>
      <c r="D51" s="31">
        <f>IFERROR(IF(SUMIFS(Data!$K:$K,Data!$A:$A,Vitezistii!$B51,Data!$C:$C,Vitezistii!D$1)=0," ",SUMIFS(Data!$K:$K,Data!$A:$A,Vitezistii!$B51,Data!$C:$C,Vitezistii!D$1))+SUMIFS(Data!$S:$S,Data!$A:$A,Vitezistii!$B51,Data!$C:$C,Vitezistii!D$1),0)</f>
        <v>2</v>
      </c>
      <c r="E51" s="31">
        <f>IFERROR(IF(SUMIFS(Data!$K:$K,Data!$A:$A,Vitezistii!$B51,Data!$C:$C,Vitezistii!E$1)=0," ",SUMIFS(Data!$K:$K,Data!$A:$A,Vitezistii!$B51,Data!$C:$C,Vitezistii!E$1))+SUMIFS(Data!$S:$S,Data!$A:$A,Vitezistii!$B51,Data!$C:$C,Vitezistii!E$1),0)</f>
        <v>0.25</v>
      </c>
      <c r="F51" s="31">
        <f>IFERROR(IF(SUMIFS(Data!$K:$K,Data!$A:$A,Vitezistii!$B51,Data!$C:$C,Vitezistii!F$1)=0," ",SUMIFS(Data!$K:$K,Data!$A:$A,Vitezistii!$B51,Data!$C:$C,Vitezistii!F$1))+SUMIFS(Data!$S:$S,Data!$A:$A,Vitezistii!$B51,Data!$C:$C,Vitezistii!F$1),0)</f>
        <v>3</v>
      </c>
      <c r="G51" s="31">
        <f>IFERROR(IF(SUMIFS(Data!$K:$K,Data!$A:$A,Vitezistii!$B51,Data!$C:$C,Vitezistii!G$1)=0," ",SUMIFS(Data!$K:$K,Data!$A:$A,Vitezistii!$B51,Data!$C:$C,Vitezistii!G$1))+SUMIFS(Data!$S:$S,Data!$A:$A,Vitezistii!$B51,Data!$C:$C,Vitezistii!G$1),0)</f>
        <v>2</v>
      </c>
      <c r="H51" s="31">
        <f>IFERROR(IF(SUMIFS(Data!$K:$K,Data!$A:$A,Vitezistii!$B51,Data!$C:$C,Vitezistii!H$1)=0," ",SUMIFS(Data!$K:$K,Data!$A:$A,Vitezistii!$B51,Data!$C:$C,Vitezistii!H$1))+SUMIFS(Data!$S:$S,Data!$A:$A,Vitezistii!$B51,Data!$C:$C,Vitezistii!H$1),0)</f>
        <v>0</v>
      </c>
      <c r="I51" s="31">
        <f>IFERROR(IF(SUMIFS(Data!$K:$K,Data!$A:$A,Vitezistii!$B51,Data!$C:$C,Vitezistii!I$1)=0," ",SUMIFS(Data!$K:$K,Data!$A:$A,Vitezistii!$B51,Data!$C:$C,Vitezistii!I$1))+SUMIFS(Data!$S:$S,Data!$A:$A,Vitezistii!$B51,Data!$C:$C,Vitezistii!I$1),0)</f>
        <v>3.5</v>
      </c>
      <c r="J51" s="31">
        <f>IFERROR(IF(SUMIFS(Data!$K:$K,Data!$A:$A,Vitezistii!$B51,Data!$C:$C,Vitezistii!J$1)=0," ",SUMIFS(Data!$K:$K,Data!$A:$A,Vitezistii!$B51,Data!$C:$C,Vitezistii!J$1))+SUMIFS(Data!$S:$S,Data!$A:$A,Vitezistii!$B51,Data!$C:$C,Vitezistii!J$1),0)</f>
        <v>0.25</v>
      </c>
      <c r="K51" s="31">
        <f>IFERROR(IF(SUMIFS(Data!$K:$K,Data!$A:$A,Vitezistii!$B51,Data!$C:$C,Vitezistii!K$1)=0," ",SUMIFS(Data!$K:$K,Data!$A:$A,Vitezistii!$B51,Data!$C:$C,Vitezistii!K$1))+SUMIFS(Data!$S:$S,Data!$A:$A,Vitezistii!$B51,Data!$C:$C,Vitezistii!K$1),0)</f>
        <v>0</v>
      </c>
      <c r="L51" s="31">
        <f>IFERROR(IF(SUMIFS(Data!$K:$K,Data!$A:$A,Vitezistii!$B51,Data!$C:$C,Vitezistii!L$1)=0," ",SUMIFS(Data!$K:$K,Data!$A:$A,Vitezistii!$B51,Data!$C:$C,Vitezistii!L$1))+SUMIFS(Data!$S:$S,Data!$A:$A,Vitezistii!$B51,Data!$C:$C,Vitezistii!L$1),0)</f>
        <v>1.75</v>
      </c>
      <c r="M51" s="31">
        <f>IFERROR(IF(SUMIFS(Data!$K:$K,Data!$A:$A,Vitezistii!$B51,Data!$C:$C,Vitezistii!M$1)=0," ",SUMIFS(Data!$K:$K,Data!$A:$A,Vitezistii!$B51,Data!$C:$C,Vitezistii!M$1))+SUMIFS(Data!$S:$S,Data!$A:$A,Vitezistii!$B51,Data!$C:$C,Vitezistii!M$1),0)</f>
        <v>0</v>
      </c>
      <c r="N51" s="31">
        <f>IFERROR(IF(SUMIFS(Data!$K:$K,Data!$A:$A,Vitezistii!$B51,Data!$C:$C,Vitezistii!N$1)=0," ",SUMIFS(Data!$K:$K,Data!$A:$A,Vitezistii!$B51,Data!$C:$C,Vitezistii!N$1))+SUMIFS(Data!$S:$S,Data!$A:$A,Vitezistii!$B51,Data!$C:$C,Vitezistii!N$1),0)</f>
        <v>1.75</v>
      </c>
      <c r="O51" s="31">
        <f>IFERROR(IF(SUMIFS(Data!$K:$K,Data!$A:$A,Vitezistii!$B51,Data!$C:$C,Vitezistii!O$1)=0," ",SUMIFS(Data!$K:$K,Data!$A:$A,Vitezistii!$B51,Data!$C:$C,Vitezistii!O$1))+SUMIFS(Data!$S:$S,Data!$A:$A,Vitezistii!$B51,Data!$C:$C,Vitezistii!O$1),0)</f>
        <v>1.75</v>
      </c>
      <c r="P51" s="31">
        <f>IFERROR(IF(SUMIFS(Data!$K:$K,Data!$A:$A,Vitezistii!$B51,Data!$C:$C,Vitezistii!P$1)=0," ",SUMIFS(Data!$K:$K,Data!$A:$A,Vitezistii!$B51,Data!$C:$C,Vitezistii!P$1))+SUMIFS(Data!$S:$S,Data!$A:$A,Vitezistii!$B51,Data!$C:$C,Vitezistii!P$1),0)</f>
        <v>2</v>
      </c>
      <c r="Q51" s="31">
        <f>IFERROR(IF(SUMIFS(Data!$K:$K,Data!$A:$A,Vitezistii!$B51,Data!$C:$C,Vitezistii!Q$1)=0," ",SUMIFS(Data!$K:$K,Data!$A:$A,Vitezistii!$B51,Data!$C:$C,Vitezistii!Q$1))+SUMIFS(Data!$S:$S,Data!$A:$A,Vitezistii!$B51,Data!$C:$C,Vitezistii!Q$1),0)</f>
        <v>2.5</v>
      </c>
      <c r="R51" s="31">
        <f>SUM(C51:Q51)</f>
        <v>22.75</v>
      </c>
      <c r="S51" s="31">
        <f>SUMIFS(Data!D:D,Data!A:A,Vitezistii!B111)</f>
        <v>10</v>
      </c>
      <c r="T51" s="12">
        <f>SUMIFS(Data!I:I,Data!A:A,Vitezistii!B51)/COUNTIF(Data!A:A,Vitezistii!B51)</f>
        <v>4.2535113110609996E-3</v>
      </c>
    </row>
    <row r="52" spans="1:20" ht="13" x14ac:dyDescent="0.3">
      <c r="A52" s="79">
        <v>51</v>
      </c>
      <c r="B52" s="30" t="s">
        <v>241</v>
      </c>
      <c r="C52" s="31">
        <f>IFERROR(IF(SUMIFS(Data!$K:$K,Data!$A:$A,Vitezistii!$B52,Data!$C:$C,Vitezistii!C$1)=0," ",SUMIFS(Data!$K:$K,Data!$A:$A,Vitezistii!$B52,Data!$C:$C,Vitezistii!C$1))+SUMIFS(Data!$S:$S,Data!$A:$A,Vitezistii!$B52,Data!$C:$C,Vitezistii!C$1),0)</f>
        <v>1.5</v>
      </c>
      <c r="D52" s="31">
        <f>IFERROR(IF(SUMIFS(Data!$K:$K,Data!$A:$A,Vitezistii!$B52,Data!$C:$C,Vitezistii!D$1)=0," ",SUMIFS(Data!$K:$K,Data!$A:$A,Vitezistii!$B52,Data!$C:$C,Vitezistii!D$1))+SUMIFS(Data!$S:$S,Data!$A:$A,Vitezistii!$B52,Data!$C:$C,Vitezistii!D$1),0)</f>
        <v>3</v>
      </c>
      <c r="E52" s="31">
        <f>IFERROR(IF(SUMIFS(Data!$K:$K,Data!$A:$A,Vitezistii!$B52,Data!$C:$C,Vitezistii!E$1)=0," ",SUMIFS(Data!$K:$K,Data!$A:$A,Vitezistii!$B52,Data!$C:$C,Vitezistii!E$1))+SUMIFS(Data!$S:$S,Data!$A:$A,Vitezistii!$B52,Data!$C:$C,Vitezistii!E$1),0)</f>
        <v>1.5</v>
      </c>
      <c r="F52" s="31">
        <f>IFERROR(IF(SUMIFS(Data!$K:$K,Data!$A:$A,Vitezistii!$B52,Data!$C:$C,Vitezistii!F$1)=0," ",SUMIFS(Data!$K:$K,Data!$A:$A,Vitezistii!$B52,Data!$C:$C,Vitezistii!F$1))+SUMIFS(Data!$S:$S,Data!$A:$A,Vitezistii!$B52,Data!$C:$C,Vitezistii!F$1),0)</f>
        <v>0</v>
      </c>
      <c r="G52" s="31">
        <f>IFERROR(IF(SUMIFS(Data!$K:$K,Data!$A:$A,Vitezistii!$B52,Data!$C:$C,Vitezistii!G$1)=0," ",SUMIFS(Data!$K:$K,Data!$A:$A,Vitezistii!$B52,Data!$C:$C,Vitezistii!G$1))+SUMIFS(Data!$S:$S,Data!$A:$A,Vitezistii!$B52,Data!$C:$C,Vitezistii!G$1),0)</f>
        <v>0</v>
      </c>
      <c r="H52" s="31">
        <f>IFERROR(IF(SUMIFS(Data!$K:$K,Data!$A:$A,Vitezistii!$B52,Data!$C:$C,Vitezistii!H$1)=0," ",SUMIFS(Data!$K:$K,Data!$A:$A,Vitezistii!$B52,Data!$C:$C,Vitezistii!H$1))+SUMIFS(Data!$S:$S,Data!$A:$A,Vitezistii!$B52,Data!$C:$C,Vitezistii!H$1),0)</f>
        <v>1.75</v>
      </c>
      <c r="I52" s="31">
        <f>IFERROR(IF(SUMIFS(Data!$K:$K,Data!$A:$A,Vitezistii!$B52,Data!$C:$C,Vitezistii!I$1)=0," ",SUMIFS(Data!$K:$K,Data!$A:$A,Vitezistii!$B52,Data!$C:$C,Vitezistii!I$1))+SUMIFS(Data!$S:$S,Data!$A:$A,Vitezistii!$B52,Data!$C:$C,Vitezistii!I$1),0)</f>
        <v>0</v>
      </c>
      <c r="J52" s="31">
        <f>IFERROR(IF(SUMIFS(Data!$K:$K,Data!$A:$A,Vitezistii!$B52,Data!$C:$C,Vitezistii!J$1)=0," ",SUMIFS(Data!$K:$K,Data!$A:$A,Vitezistii!$B52,Data!$C:$C,Vitezistii!J$1))+SUMIFS(Data!$S:$S,Data!$A:$A,Vitezistii!$B52,Data!$C:$C,Vitezistii!J$1),0)</f>
        <v>0</v>
      </c>
      <c r="K52" s="31">
        <f>IFERROR(IF(SUMIFS(Data!$K:$K,Data!$A:$A,Vitezistii!$B52,Data!$C:$C,Vitezistii!K$1)=0," ",SUMIFS(Data!$K:$K,Data!$A:$A,Vitezistii!$B52,Data!$C:$C,Vitezistii!K$1))+SUMIFS(Data!$S:$S,Data!$A:$A,Vitezistii!$B52,Data!$C:$C,Vitezistii!K$1),0)</f>
        <v>3</v>
      </c>
      <c r="L52" s="31">
        <f>IFERROR(IF(SUMIFS(Data!$K:$K,Data!$A:$A,Vitezistii!$B52,Data!$C:$C,Vitezistii!L$1)=0," ",SUMIFS(Data!$K:$K,Data!$A:$A,Vitezistii!$B52,Data!$C:$C,Vitezistii!L$1))+SUMIFS(Data!$S:$S,Data!$A:$A,Vitezistii!$B52,Data!$C:$C,Vitezistii!L$1),0)</f>
        <v>1.75</v>
      </c>
      <c r="M52" s="31">
        <f>IFERROR(IF(SUMIFS(Data!$K:$K,Data!$A:$A,Vitezistii!$B52,Data!$C:$C,Vitezistii!M$1)=0," ",SUMIFS(Data!$K:$K,Data!$A:$A,Vitezistii!$B52,Data!$C:$C,Vitezistii!M$1))+SUMIFS(Data!$S:$S,Data!$A:$A,Vitezistii!$B52,Data!$C:$C,Vitezistii!M$1),0)</f>
        <v>2</v>
      </c>
      <c r="N52" s="31">
        <f>IFERROR(IF(SUMIFS(Data!$K:$K,Data!$A:$A,Vitezistii!$B52,Data!$C:$C,Vitezistii!N$1)=0," ",SUMIFS(Data!$K:$K,Data!$A:$A,Vitezistii!$B52,Data!$C:$C,Vitezistii!N$1))+SUMIFS(Data!$S:$S,Data!$A:$A,Vitezistii!$B52,Data!$C:$C,Vitezistii!N$1),0)</f>
        <v>1.5</v>
      </c>
      <c r="O52" s="31">
        <f>IFERROR(IF(SUMIFS(Data!$K:$K,Data!$A:$A,Vitezistii!$B52,Data!$C:$C,Vitezistii!O$1)=0," ",SUMIFS(Data!$K:$K,Data!$A:$A,Vitezistii!$B52,Data!$C:$C,Vitezistii!O$1))+SUMIFS(Data!$S:$S,Data!$A:$A,Vitezistii!$B52,Data!$C:$C,Vitezistii!O$1),0)</f>
        <v>0.25</v>
      </c>
      <c r="P52" s="31">
        <f>IFERROR(IF(SUMIFS(Data!$K:$K,Data!$A:$A,Vitezistii!$B52,Data!$C:$C,Vitezistii!P$1)=0," ",SUMIFS(Data!$K:$K,Data!$A:$A,Vitezistii!$B52,Data!$C:$C,Vitezistii!P$1))+SUMIFS(Data!$S:$S,Data!$A:$A,Vitezistii!$B52,Data!$C:$C,Vitezistii!P$1),0)</f>
        <v>4.5</v>
      </c>
      <c r="Q52" s="31">
        <f>IFERROR(IF(SUMIFS(Data!$K:$K,Data!$A:$A,Vitezistii!$B52,Data!$C:$C,Vitezistii!Q$1)=0," ",SUMIFS(Data!$K:$K,Data!$A:$A,Vitezistii!$B52,Data!$C:$C,Vitezistii!Q$1))+SUMIFS(Data!$S:$S,Data!$A:$A,Vitezistii!$B52,Data!$C:$C,Vitezistii!Q$1),0)</f>
        <v>1.25</v>
      </c>
      <c r="R52" s="31">
        <f>SUM(C52:Q52)</f>
        <v>22</v>
      </c>
      <c r="S52" s="31">
        <f>SUMIFS(Data!D:D,Data!A:A,Vitezistii!B112)</f>
        <v>64.108472222222218</v>
      </c>
      <c r="T52" s="12">
        <f>SUMIFS(Data!I:I,Data!A:A,Vitezistii!B52)/COUNTIF(Data!A:A,Vitezistii!B52)</f>
        <v>4.1364699184791185E-3</v>
      </c>
    </row>
    <row r="53" spans="1:20" ht="13" x14ac:dyDescent="0.3">
      <c r="A53" s="79">
        <v>52</v>
      </c>
      <c r="B53" s="30" t="s">
        <v>132</v>
      </c>
      <c r="C53" s="31">
        <f>IFERROR(IF(SUMIFS(Data!$K:$K,Data!$A:$A,Vitezistii!$B53,Data!$C:$C,Vitezistii!C$1)=0," ",SUMIFS(Data!$K:$K,Data!$A:$A,Vitezistii!$B53,Data!$C:$C,Vitezistii!C$1))+SUMIFS(Data!$S:$S,Data!$A:$A,Vitezistii!$B53,Data!$C:$C,Vitezistii!C$1),0)</f>
        <v>2.5</v>
      </c>
      <c r="D53" s="31">
        <f>IFERROR(IF(SUMIFS(Data!$K:$K,Data!$A:$A,Vitezistii!$B53,Data!$C:$C,Vitezistii!D$1)=0," ",SUMIFS(Data!$K:$K,Data!$A:$A,Vitezistii!$B53,Data!$C:$C,Vitezistii!D$1))+SUMIFS(Data!$S:$S,Data!$A:$A,Vitezistii!$B53,Data!$C:$C,Vitezistii!D$1),0)</f>
        <v>1</v>
      </c>
      <c r="E53" s="31">
        <f>IFERROR(IF(SUMIFS(Data!$K:$K,Data!$A:$A,Vitezistii!$B53,Data!$C:$C,Vitezistii!E$1)=0," ",SUMIFS(Data!$K:$K,Data!$A:$A,Vitezistii!$B53,Data!$C:$C,Vitezistii!E$1))+SUMIFS(Data!$S:$S,Data!$A:$A,Vitezistii!$B53,Data!$C:$C,Vitezistii!E$1),0)</f>
        <v>0.5</v>
      </c>
      <c r="F53" s="31">
        <f>IFERROR(IF(SUMIFS(Data!$K:$K,Data!$A:$A,Vitezistii!$B53,Data!$C:$C,Vitezistii!F$1)=0," ",SUMIFS(Data!$K:$K,Data!$A:$A,Vitezistii!$B53,Data!$C:$C,Vitezistii!F$1))+SUMIFS(Data!$S:$S,Data!$A:$A,Vitezistii!$B53,Data!$C:$C,Vitezistii!F$1),0)</f>
        <v>1.25</v>
      </c>
      <c r="G53" s="31">
        <f>IFERROR(IF(SUMIFS(Data!$K:$K,Data!$A:$A,Vitezistii!$B53,Data!$C:$C,Vitezistii!G$1)=0," ",SUMIFS(Data!$K:$K,Data!$A:$A,Vitezistii!$B53,Data!$C:$C,Vitezistii!G$1))+SUMIFS(Data!$S:$S,Data!$A:$A,Vitezistii!$B53,Data!$C:$C,Vitezistii!G$1),0)</f>
        <v>1.75</v>
      </c>
      <c r="H53" s="31">
        <f>IFERROR(IF(SUMIFS(Data!$K:$K,Data!$A:$A,Vitezistii!$B53,Data!$C:$C,Vitezistii!H$1)=0," ",SUMIFS(Data!$K:$K,Data!$A:$A,Vitezistii!$B53,Data!$C:$C,Vitezistii!H$1))+SUMIFS(Data!$S:$S,Data!$A:$A,Vitezistii!$B53,Data!$C:$C,Vitezistii!H$1),0)</f>
        <v>1.75</v>
      </c>
      <c r="I53" s="31">
        <f>IFERROR(IF(SUMIFS(Data!$K:$K,Data!$A:$A,Vitezistii!$B53,Data!$C:$C,Vitezistii!I$1)=0," ",SUMIFS(Data!$K:$K,Data!$A:$A,Vitezistii!$B53,Data!$C:$C,Vitezistii!I$1))+SUMIFS(Data!$S:$S,Data!$A:$A,Vitezistii!$B53,Data!$C:$C,Vitezistii!I$1),0)</f>
        <v>1.75</v>
      </c>
      <c r="J53" s="31">
        <f>IFERROR(IF(SUMIFS(Data!$K:$K,Data!$A:$A,Vitezistii!$B53,Data!$C:$C,Vitezistii!J$1)=0," ",SUMIFS(Data!$K:$K,Data!$A:$A,Vitezistii!$B53,Data!$C:$C,Vitezistii!J$1))+SUMIFS(Data!$S:$S,Data!$A:$A,Vitezistii!$B53,Data!$C:$C,Vitezistii!J$1),0)</f>
        <v>0.75</v>
      </c>
      <c r="K53" s="31">
        <f>IFERROR(IF(SUMIFS(Data!$K:$K,Data!$A:$A,Vitezistii!$B53,Data!$C:$C,Vitezistii!K$1)=0," ",SUMIFS(Data!$K:$K,Data!$A:$A,Vitezistii!$B53,Data!$C:$C,Vitezistii!K$1))+SUMIFS(Data!$S:$S,Data!$A:$A,Vitezistii!$B53,Data!$C:$C,Vitezistii!K$1),0)</f>
        <v>0</v>
      </c>
      <c r="L53" s="31">
        <f>IFERROR(IF(SUMIFS(Data!$K:$K,Data!$A:$A,Vitezistii!$B53,Data!$C:$C,Vitezistii!L$1)=0," ",SUMIFS(Data!$K:$K,Data!$A:$A,Vitezistii!$B53,Data!$C:$C,Vitezistii!L$1))+SUMIFS(Data!$S:$S,Data!$A:$A,Vitezistii!$B53,Data!$C:$C,Vitezistii!L$1),0)</f>
        <v>1.5</v>
      </c>
      <c r="M53" s="31">
        <f>IFERROR(IF(SUMIFS(Data!$K:$K,Data!$A:$A,Vitezistii!$B53,Data!$C:$C,Vitezistii!M$1)=0," ",SUMIFS(Data!$K:$K,Data!$A:$A,Vitezistii!$B53,Data!$C:$C,Vitezistii!M$1))+SUMIFS(Data!$S:$S,Data!$A:$A,Vitezistii!$B53,Data!$C:$C,Vitezistii!M$1),0)</f>
        <v>2</v>
      </c>
      <c r="N53" s="31">
        <f>IFERROR(IF(SUMIFS(Data!$K:$K,Data!$A:$A,Vitezistii!$B53,Data!$C:$C,Vitezistii!N$1)=0," ",SUMIFS(Data!$K:$K,Data!$A:$A,Vitezistii!$B53,Data!$C:$C,Vitezistii!N$1))+SUMIFS(Data!$S:$S,Data!$A:$A,Vitezistii!$B53,Data!$C:$C,Vitezistii!N$1),0)</f>
        <v>3</v>
      </c>
      <c r="O53" s="31">
        <f>IFERROR(IF(SUMIFS(Data!$K:$K,Data!$A:$A,Vitezistii!$B53,Data!$C:$C,Vitezistii!O$1)=0," ",SUMIFS(Data!$K:$K,Data!$A:$A,Vitezistii!$B53,Data!$C:$C,Vitezistii!O$1))+SUMIFS(Data!$S:$S,Data!$A:$A,Vitezistii!$B53,Data!$C:$C,Vitezistii!O$1),0)</f>
        <v>0.25</v>
      </c>
      <c r="P53" s="31">
        <f>IFERROR(IF(SUMIFS(Data!$K:$K,Data!$A:$A,Vitezistii!$B53,Data!$C:$C,Vitezistii!P$1)=0," ",SUMIFS(Data!$K:$K,Data!$A:$A,Vitezistii!$B53,Data!$C:$C,Vitezistii!P$1))+SUMIFS(Data!$S:$S,Data!$A:$A,Vitezistii!$B53,Data!$C:$C,Vitezistii!P$1),0)</f>
        <v>1.75</v>
      </c>
      <c r="Q53" s="31">
        <f>IFERROR(IF(SUMIFS(Data!$K:$K,Data!$A:$A,Vitezistii!$B53,Data!$C:$C,Vitezistii!Q$1)=0," ",SUMIFS(Data!$K:$K,Data!$A:$A,Vitezistii!$B53,Data!$C:$C,Vitezistii!Q$1))+SUMIFS(Data!$S:$S,Data!$A:$A,Vitezistii!$B53,Data!$C:$C,Vitezistii!Q$1),0)</f>
        <v>1.75</v>
      </c>
      <c r="R53" s="31">
        <f>SUM(C53:Q53)</f>
        <v>21.5</v>
      </c>
      <c r="S53" s="31">
        <f>SUMIFS(Data!D:D,Data!A:A,Vitezistii!B113)</f>
        <v>56.980000000000004</v>
      </c>
      <c r="T53" s="12">
        <f>SUMIFS(Data!I:I,Data!A:A,Vitezistii!B53)/COUNTIF(Data!A:A,Vitezistii!B53)</f>
        <v>4.6126094123147268E-3</v>
      </c>
    </row>
    <row r="54" spans="1:20" ht="13" x14ac:dyDescent="0.3">
      <c r="A54" s="79">
        <v>53</v>
      </c>
      <c r="B54" s="30" t="s">
        <v>346</v>
      </c>
      <c r="C54" s="31">
        <f>IFERROR(IF(SUMIFS(Data!$K:$K,Data!$A:$A,Vitezistii!$B54,Data!$C:$C,Vitezistii!C$1)=0," ",SUMIFS(Data!$K:$K,Data!$A:$A,Vitezistii!$B54,Data!$C:$C,Vitezistii!C$1))+SUMIFS(Data!$S:$S,Data!$A:$A,Vitezistii!$B54,Data!$C:$C,Vitezistii!C$1),0)</f>
        <v>0.5</v>
      </c>
      <c r="D54" s="31">
        <f>IFERROR(IF(SUMIFS(Data!$K:$K,Data!$A:$A,Vitezistii!$B54,Data!$C:$C,Vitezistii!D$1)=0," ",SUMIFS(Data!$K:$K,Data!$A:$A,Vitezistii!$B54,Data!$C:$C,Vitezistii!D$1))+SUMIFS(Data!$S:$S,Data!$A:$A,Vitezistii!$B54,Data!$C:$C,Vitezistii!D$1),0)</f>
        <v>0.25</v>
      </c>
      <c r="E54" s="31">
        <f>IFERROR(IF(SUMIFS(Data!$K:$K,Data!$A:$A,Vitezistii!$B54,Data!$C:$C,Vitezistii!E$1)=0," ",SUMIFS(Data!$K:$K,Data!$A:$A,Vitezistii!$B54,Data!$C:$C,Vitezistii!E$1))+SUMIFS(Data!$S:$S,Data!$A:$A,Vitezistii!$B54,Data!$C:$C,Vitezistii!E$1),0)</f>
        <v>2</v>
      </c>
      <c r="F54" s="31">
        <f>IFERROR(IF(SUMIFS(Data!$K:$K,Data!$A:$A,Vitezistii!$B54,Data!$C:$C,Vitezistii!F$1)=0," ",SUMIFS(Data!$K:$K,Data!$A:$A,Vitezistii!$B54,Data!$C:$C,Vitezistii!F$1))+SUMIFS(Data!$S:$S,Data!$A:$A,Vitezistii!$B54,Data!$C:$C,Vitezistii!F$1),0)</f>
        <v>1.75</v>
      </c>
      <c r="G54" s="31">
        <f>IFERROR(IF(SUMIFS(Data!$K:$K,Data!$A:$A,Vitezistii!$B54,Data!$C:$C,Vitezistii!G$1)=0," ",SUMIFS(Data!$K:$K,Data!$A:$A,Vitezistii!$B54,Data!$C:$C,Vitezistii!G$1))+SUMIFS(Data!$S:$S,Data!$A:$A,Vitezistii!$B54,Data!$C:$C,Vitezistii!G$1),0)</f>
        <v>1.25</v>
      </c>
      <c r="H54" s="31">
        <f>IFERROR(IF(SUMIFS(Data!$K:$K,Data!$A:$A,Vitezistii!$B54,Data!$C:$C,Vitezistii!H$1)=0," ",SUMIFS(Data!$K:$K,Data!$A:$A,Vitezistii!$B54,Data!$C:$C,Vitezistii!H$1))+SUMIFS(Data!$S:$S,Data!$A:$A,Vitezistii!$B54,Data!$C:$C,Vitezistii!H$1),0)</f>
        <v>2</v>
      </c>
      <c r="I54" s="31">
        <f>IFERROR(IF(SUMIFS(Data!$K:$K,Data!$A:$A,Vitezistii!$B54,Data!$C:$C,Vitezistii!I$1)=0," ",SUMIFS(Data!$K:$K,Data!$A:$A,Vitezistii!$B54,Data!$C:$C,Vitezistii!I$1))+SUMIFS(Data!$S:$S,Data!$A:$A,Vitezistii!$B54,Data!$C:$C,Vitezistii!I$1),0)</f>
        <v>1</v>
      </c>
      <c r="J54" s="31">
        <f>IFERROR(IF(SUMIFS(Data!$K:$K,Data!$A:$A,Vitezistii!$B54,Data!$C:$C,Vitezistii!J$1)=0," ",SUMIFS(Data!$K:$K,Data!$A:$A,Vitezistii!$B54,Data!$C:$C,Vitezistii!J$1))+SUMIFS(Data!$S:$S,Data!$A:$A,Vitezistii!$B54,Data!$C:$C,Vitezistii!J$1),0)</f>
        <v>0.5</v>
      </c>
      <c r="K54" s="31">
        <f>IFERROR(IF(SUMIFS(Data!$K:$K,Data!$A:$A,Vitezistii!$B54,Data!$C:$C,Vitezistii!K$1)=0," ",SUMIFS(Data!$K:$K,Data!$A:$A,Vitezistii!$B54,Data!$C:$C,Vitezistii!K$1))+SUMIFS(Data!$S:$S,Data!$A:$A,Vitezistii!$B54,Data!$C:$C,Vitezistii!K$1),0)</f>
        <v>4.5</v>
      </c>
      <c r="L54" s="31">
        <f>IFERROR(IF(SUMIFS(Data!$K:$K,Data!$A:$A,Vitezistii!$B54,Data!$C:$C,Vitezistii!L$1)=0," ",SUMIFS(Data!$K:$K,Data!$A:$A,Vitezistii!$B54,Data!$C:$C,Vitezistii!L$1))+SUMIFS(Data!$S:$S,Data!$A:$A,Vitezistii!$B54,Data!$C:$C,Vitezistii!L$1),0)</f>
        <v>1</v>
      </c>
      <c r="M54" s="31">
        <f>IFERROR(IF(SUMIFS(Data!$K:$K,Data!$A:$A,Vitezistii!$B54,Data!$C:$C,Vitezistii!M$1)=0," ",SUMIFS(Data!$K:$K,Data!$A:$A,Vitezistii!$B54,Data!$C:$C,Vitezistii!M$1))+SUMIFS(Data!$S:$S,Data!$A:$A,Vitezistii!$B54,Data!$C:$C,Vitezistii!M$1),0)</f>
        <v>0.25</v>
      </c>
      <c r="N54" s="31">
        <f>IFERROR(IF(SUMIFS(Data!$K:$K,Data!$A:$A,Vitezistii!$B54,Data!$C:$C,Vitezistii!N$1)=0," ",SUMIFS(Data!$K:$K,Data!$A:$A,Vitezistii!$B54,Data!$C:$C,Vitezistii!N$1))+SUMIFS(Data!$S:$S,Data!$A:$A,Vitezistii!$B54,Data!$C:$C,Vitezistii!N$1),0)</f>
        <v>5.45</v>
      </c>
      <c r="O54" s="31">
        <f>IFERROR(IF(SUMIFS(Data!$K:$K,Data!$A:$A,Vitezistii!$B54,Data!$C:$C,Vitezistii!O$1)=0," ",SUMIFS(Data!$K:$K,Data!$A:$A,Vitezistii!$B54,Data!$C:$C,Vitezistii!O$1))+SUMIFS(Data!$S:$S,Data!$A:$A,Vitezistii!$B54,Data!$C:$C,Vitezistii!O$1),0)</f>
        <v>0</v>
      </c>
      <c r="P54" s="31">
        <f>IFERROR(IF(SUMIFS(Data!$K:$K,Data!$A:$A,Vitezistii!$B54,Data!$C:$C,Vitezistii!P$1)=0," ",SUMIFS(Data!$K:$K,Data!$A:$A,Vitezistii!$B54,Data!$C:$C,Vitezistii!P$1))+SUMIFS(Data!$S:$S,Data!$A:$A,Vitezistii!$B54,Data!$C:$C,Vitezistii!P$1),0)</f>
        <v>0</v>
      </c>
      <c r="Q54" s="31">
        <f>IFERROR(IF(SUMIFS(Data!$K:$K,Data!$A:$A,Vitezistii!$B54,Data!$C:$C,Vitezistii!Q$1)=0," ",SUMIFS(Data!$K:$K,Data!$A:$A,Vitezistii!$B54,Data!$C:$C,Vitezistii!Q$1))+SUMIFS(Data!$S:$S,Data!$A:$A,Vitezistii!$B54,Data!$C:$C,Vitezistii!Q$1),0)</f>
        <v>0</v>
      </c>
      <c r="R54" s="31">
        <f>SUM(C54:Q54)</f>
        <v>20.45</v>
      </c>
      <c r="S54" s="31">
        <f>SUMIFS(Data!D:D,Data!A:A,Vitezistii!B114)</f>
        <v>41.22</v>
      </c>
      <c r="T54" s="12">
        <f>SUMIFS(Data!I:I,Data!A:A,Vitezistii!B54)/COUNTIF(Data!A:A,Vitezistii!B54)</f>
        <v>4.4869416346094773E-3</v>
      </c>
    </row>
    <row r="55" spans="1:20" ht="13" x14ac:dyDescent="0.3">
      <c r="A55" s="79">
        <v>54</v>
      </c>
      <c r="B55" s="30" t="s">
        <v>108</v>
      </c>
      <c r="C55" s="31">
        <f>IFERROR(IF(SUMIFS(Data!$K:$K,Data!$A:$A,Vitezistii!$B55,Data!$C:$C,Vitezistii!C$1)=0," ",SUMIFS(Data!$K:$K,Data!$A:$A,Vitezistii!$B55,Data!$C:$C,Vitezistii!C$1))+SUMIFS(Data!$S:$S,Data!$A:$A,Vitezistii!$B55,Data!$C:$C,Vitezistii!C$1),0)</f>
        <v>2</v>
      </c>
      <c r="D55" s="31">
        <f>IFERROR(IF(SUMIFS(Data!$K:$K,Data!$A:$A,Vitezistii!$B55,Data!$C:$C,Vitezistii!D$1)=0," ",SUMIFS(Data!$K:$K,Data!$A:$A,Vitezistii!$B55,Data!$C:$C,Vitezistii!D$1))+SUMIFS(Data!$S:$S,Data!$A:$A,Vitezistii!$B55,Data!$C:$C,Vitezistii!D$1),0)</f>
        <v>0.25</v>
      </c>
      <c r="E55" s="31">
        <f>IFERROR(IF(SUMIFS(Data!$K:$K,Data!$A:$A,Vitezistii!$B55,Data!$C:$C,Vitezistii!E$1)=0," ",SUMIFS(Data!$K:$K,Data!$A:$A,Vitezistii!$B55,Data!$C:$C,Vitezistii!E$1))+SUMIFS(Data!$S:$S,Data!$A:$A,Vitezistii!$B55,Data!$C:$C,Vitezistii!E$1),0)</f>
        <v>0.25</v>
      </c>
      <c r="F55" s="31">
        <f>IFERROR(IF(SUMIFS(Data!$K:$K,Data!$A:$A,Vitezistii!$B55,Data!$C:$C,Vitezistii!F$1)=0," ",SUMIFS(Data!$K:$K,Data!$A:$A,Vitezistii!$B55,Data!$C:$C,Vitezistii!F$1))+SUMIFS(Data!$S:$S,Data!$A:$A,Vitezistii!$B55,Data!$C:$C,Vitezistii!F$1),0)</f>
        <v>3.5</v>
      </c>
      <c r="G55" s="31">
        <f>IFERROR(IF(SUMIFS(Data!$K:$K,Data!$A:$A,Vitezistii!$B55,Data!$C:$C,Vitezistii!G$1)=0," ",SUMIFS(Data!$K:$K,Data!$A:$A,Vitezistii!$B55,Data!$C:$C,Vitezistii!G$1))+SUMIFS(Data!$S:$S,Data!$A:$A,Vitezistii!$B55,Data!$C:$C,Vitezistii!G$1),0)</f>
        <v>3</v>
      </c>
      <c r="H55" s="31">
        <f>IFERROR(IF(SUMIFS(Data!$K:$K,Data!$A:$A,Vitezistii!$B55,Data!$C:$C,Vitezistii!H$1)=0," ",SUMIFS(Data!$K:$K,Data!$A:$A,Vitezistii!$B55,Data!$C:$C,Vitezistii!H$1))+SUMIFS(Data!$S:$S,Data!$A:$A,Vitezistii!$B55,Data!$C:$C,Vitezistii!H$1),0)</f>
        <v>2</v>
      </c>
      <c r="I55" s="31">
        <f>IFERROR(IF(SUMIFS(Data!$K:$K,Data!$A:$A,Vitezistii!$B55,Data!$C:$C,Vitezistii!I$1)=0," ",SUMIFS(Data!$K:$K,Data!$A:$A,Vitezistii!$B55,Data!$C:$C,Vitezistii!I$1))+SUMIFS(Data!$S:$S,Data!$A:$A,Vitezistii!$B55,Data!$C:$C,Vitezistii!I$1),0)</f>
        <v>1.75</v>
      </c>
      <c r="J55" s="31">
        <f>IFERROR(IF(SUMIFS(Data!$K:$K,Data!$A:$A,Vitezistii!$B55,Data!$C:$C,Vitezistii!J$1)=0," ",SUMIFS(Data!$K:$K,Data!$A:$A,Vitezistii!$B55,Data!$C:$C,Vitezistii!J$1))+SUMIFS(Data!$S:$S,Data!$A:$A,Vitezistii!$B55,Data!$C:$C,Vitezistii!J$1),0)</f>
        <v>0</v>
      </c>
      <c r="K55" s="31">
        <f>IFERROR(IF(SUMIFS(Data!$K:$K,Data!$A:$A,Vitezistii!$B55,Data!$C:$C,Vitezistii!K$1)=0," ",SUMIFS(Data!$K:$K,Data!$A:$A,Vitezistii!$B55,Data!$C:$C,Vitezistii!K$1))+SUMIFS(Data!$S:$S,Data!$A:$A,Vitezistii!$B55,Data!$C:$C,Vitezistii!K$1),0)</f>
        <v>0</v>
      </c>
      <c r="L55" s="31">
        <f>IFERROR(IF(SUMIFS(Data!$K:$K,Data!$A:$A,Vitezistii!$B55,Data!$C:$C,Vitezistii!L$1)=0," ",SUMIFS(Data!$K:$K,Data!$A:$A,Vitezistii!$B55,Data!$C:$C,Vitezistii!L$1))+SUMIFS(Data!$S:$S,Data!$A:$A,Vitezistii!$B55,Data!$C:$C,Vitezistii!L$1),0)</f>
        <v>0.5</v>
      </c>
      <c r="M55" s="31">
        <f>IFERROR(IF(SUMIFS(Data!$K:$K,Data!$A:$A,Vitezistii!$B55,Data!$C:$C,Vitezistii!M$1)=0," ",SUMIFS(Data!$K:$K,Data!$A:$A,Vitezistii!$B55,Data!$C:$C,Vitezistii!M$1))+SUMIFS(Data!$S:$S,Data!$A:$A,Vitezistii!$B55,Data!$C:$C,Vitezistii!M$1),0)</f>
        <v>3</v>
      </c>
      <c r="N55" s="31">
        <f>IFERROR(IF(SUMIFS(Data!$K:$K,Data!$A:$A,Vitezistii!$B55,Data!$C:$C,Vitezistii!N$1)=0," ",SUMIFS(Data!$K:$K,Data!$A:$A,Vitezistii!$B55,Data!$C:$C,Vitezistii!N$1))+SUMIFS(Data!$S:$S,Data!$A:$A,Vitezistii!$B55,Data!$C:$C,Vitezistii!N$1),0)</f>
        <v>0.25</v>
      </c>
      <c r="O55" s="31">
        <f>IFERROR(IF(SUMIFS(Data!$K:$K,Data!$A:$A,Vitezistii!$B55,Data!$C:$C,Vitezistii!O$1)=0," ",SUMIFS(Data!$K:$K,Data!$A:$A,Vitezistii!$B55,Data!$C:$C,Vitezistii!O$1))+SUMIFS(Data!$S:$S,Data!$A:$A,Vitezistii!$B55,Data!$C:$C,Vitezistii!O$1),0)</f>
        <v>1.75</v>
      </c>
      <c r="P55" s="31">
        <f>IFERROR(IF(SUMIFS(Data!$K:$K,Data!$A:$A,Vitezistii!$B55,Data!$C:$C,Vitezistii!P$1)=0," ",SUMIFS(Data!$K:$K,Data!$A:$A,Vitezistii!$B55,Data!$C:$C,Vitezistii!P$1))+SUMIFS(Data!$S:$S,Data!$A:$A,Vitezistii!$B55,Data!$C:$C,Vitezistii!P$1),0)</f>
        <v>0</v>
      </c>
      <c r="Q55" s="31">
        <f>IFERROR(IF(SUMIFS(Data!$K:$K,Data!$A:$A,Vitezistii!$B55,Data!$C:$C,Vitezistii!Q$1)=0," ",SUMIFS(Data!$K:$K,Data!$A:$A,Vitezistii!$B55,Data!$C:$C,Vitezistii!Q$1))+SUMIFS(Data!$S:$S,Data!$A:$A,Vitezistii!$B55,Data!$C:$C,Vitezistii!Q$1),0)</f>
        <v>2</v>
      </c>
      <c r="R55" s="31">
        <f>SUM(C55:Q55)</f>
        <v>20.25</v>
      </c>
      <c r="S55" s="31">
        <f>SUMIFS(Data!D:D,Data!A:A,Vitezistii!B115)</f>
        <v>13.59</v>
      </c>
      <c r="T55" s="12">
        <f>SUMIFS(Data!I:I,Data!A:A,Vitezistii!B55)/COUNTIF(Data!A:A,Vitezistii!B55)</f>
        <v>4.6584691187120907E-3</v>
      </c>
    </row>
    <row r="56" spans="1:20" ht="13" x14ac:dyDescent="0.3">
      <c r="A56" s="79">
        <v>55</v>
      </c>
      <c r="B56" s="30" t="s">
        <v>100</v>
      </c>
      <c r="C56" s="31">
        <f>IFERROR(IF(SUMIFS(Data!$K:$K,Data!$A:$A,Vitezistii!$B56,Data!$C:$C,Vitezistii!C$1)=0," ",SUMIFS(Data!$K:$K,Data!$A:$A,Vitezistii!$B56,Data!$C:$C,Vitezistii!C$1))+SUMIFS(Data!$S:$S,Data!$A:$A,Vitezistii!$B56,Data!$C:$C,Vitezistii!C$1),0)</f>
        <v>1.5</v>
      </c>
      <c r="D56" s="31">
        <f>IFERROR(IF(SUMIFS(Data!$K:$K,Data!$A:$A,Vitezistii!$B56,Data!$C:$C,Vitezistii!D$1)=0," ",SUMIFS(Data!$K:$K,Data!$A:$A,Vitezistii!$B56,Data!$C:$C,Vitezistii!D$1))+SUMIFS(Data!$S:$S,Data!$A:$A,Vitezistii!$B56,Data!$C:$C,Vitezistii!D$1),0)</f>
        <v>0</v>
      </c>
      <c r="E56" s="31">
        <f>IFERROR(IF(SUMIFS(Data!$K:$K,Data!$A:$A,Vitezistii!$B56,Data!$C:$C,Vitezistii!E$1)=0," ",SUMIFS(Data!$K:$K,Data!$A:$A,Vitezistii!$B56,Data!$C:$C,Vitezistii!E$1))+SUMIFS(Data!$S:$S,Data!$A:$A,Vitezistii!$B56,Data!$C:$C,Vitezistii!E$1),0)</f>
        <v>3</v>
      </c>
      <c r="F56" s="31">
        <f>IFERROR(IF(SUMIFS(Data!$K:$K,Data!$A:$A,Vitezistii!$B56,Data!$C:$C,Vitezistii!F$1)=0," ",SUMIFS(Data!$K:$K,Data!$A:$A,Vitezistii!$B56,Data!$C:$C,Vitezistii!F$1))+SUMIFS(Data!$S:$S,Data!$A:$A,Vitezistii!$B56,Data!$C:$C,Vitezistii!F$1),0)</f>
        <v>0</v>
      </c>
      <c r="G56" s="31">
        <f>IFERROR(IF(SUMIFS(Data!$K:$K,Data!$A:$A,Vitezistii!$B56,Data!$C:$C,Vitezistii!G$1)=0," ",SUMIFS(Data!$K:$K,Data!$A:$A,Vitezistii!$B56,Data!$C:$C,Vitezistii!G$1))+SUMIFS(Data!$S:$S,Data!$A:$A,Vitezistii!$B56,Data!$C:$C,Vitezistii!G$1),0)</f>
        <v>0.5</v>
      </c>
      <c r="H56" s="31">
        <f>IFERROR(IF(SUMIFS(Data!$K:$K,Data!$A:$A,Vitezistii!$B56,Data!$C:$C,Vitezistii!H$1)=0," ",SUMIFS(Data!$K:$K,Data!$A:$A,Vitezistii!$B56,Data!$C:$C,Vitezistii!H$1))+SUMIFS(Data!$S:$S,Data!$A:$A,Vitezistii!$B56,Data!$C:$C,Vitezistii!H$1),0)</f>
        <v>2</v>
      </c>
      <c r="I56" s="31">
        <f>IFERROR(IF(SUMIFS(Data!$K:$K,Data!$A:$A,Vitezistii!$B56,Data!$C:$C,Vitezistii!I$1)=0," ",SUMIFS(Data!$K:$K,Data!$A:$A,Vitezistii!$B56,Data!$C:$C,Vitezistii!I$1))+SUMIFS(Data!$S:$S,Data!$A:$A,Vitezistii!$B56,Data!$C:$C,Vitezistii!I$1),0)</f>
        <v>0</v>
      </c>
      <c r="J56" s="31">
        <f>IFERROR(IF(SUMIFS(Data!$K:$K,Data!$A:$A,Vitezistii!$B56,Data!$C:$C,Vitezistii!J$1)=0," ",SUMIFS(Data!$K:$K,Data!$A:$A,Vitezistii!$B56,Data!$C:$C,Vitezistii!J$1))+SUMIFS(Data!$S:$S,Data!$A:$A,Vitezistii!$B56,Data!$C:$C,Vitezistii!J$1),0)</f>
        <v>1.75</v>
      </c>
      <c r="K56" s="31">
        <f>IFERROR(IF(SUMIFS(Data!$K:$K,Data!$A:$A,Vitezistii!$B56,Data!$C:$C,Vitezistii!K$1)=0," ",SUMIFS(Data!$K:$K,Data!$A:$A,Vitezistii!$B56,Data!$C:$C,Vitezistii!K$1))+SUMIFS(Data!$S:$S,Data!$A:$A,Vitezistii!$B56,Data!$C:$C,Vitezistii!K$1),0)</f>
        <v>1</v>
      </c>
      <c r="L56" s="31">
        <f>IFERROR(IF(SUMIFS(Data!$K:$K,Data!$A:$A,Vitezistii!$B56,Data!$C:$C,Vitezistii!L$1)=0," ",SUMIFS(Data!$K:$K,Data!$A:$A,Vitezistii!$B56,Data!$C:$C,Vitezistii!L$1))+SUMIFS(Data!$S:$S,Data!$A:$A,Vitezistii!$B56,Data!$C:$C,Vitezistii!L$1),0)</f>
        <v>1</v>
      </c>
      <c r="M56" s="31">
        <f>IFERROR(IF(SUMIFS(Data!$K:$K,Data!$A:$A,Vitezistii!$B56,Data!$C:$C,Vitezistii!M$1)=0," ",SUMIFS(Data!$K:$K,Data!$A:$A,Vitezistii!$B56,Data!$C:$C,Vitezistii!M$1))+SUMIFS(Data!$S:$S,Data!$A:$A,Vitezistii!$B56,Data!$C:$C,Vitezistii!M$1),0)</f>
        <v>3</v>
      </c>
      <c r="N56" s="31">
        <f>IFERROR(IF(SUMIFS(Data!$K:$K,Data!$A:$A,Vitezistii!$B56,Data!$C:$C,Vitezistii!N$1)=0," ",SUMIFS(Data!$K:$K,Data!$A:$A,Vitezistii!$B56,Data!$C:$C,Vitezistii!N$1))+SUMIFS(Data!$S:$S,Data!$A:$A,Vitezistii!$B56,Data!$C:$C,Vitezistii!N$1),0)</f>
        <v>2.5</v>
      </c>
      <c r="O56" s="31">
        <f>IFERROR(IF(SUMIFS(Data!$K:$K,Data!$A:$A,Vitezistii!$B56,Data!$C:$C,Vitezistii!O$1)=0," ",SUMIFS(Data!$K:$K,Data!$A:$A,Vitezistii!$B56,Data!$C:$C,Vitezistii!O$1))+SUMIFS(Data!$S:$S,Data!$A:$A,Vitezistii!$B56,Data!$C:$C,Vitezistii!O$1),0)</f>
        <v>0</v>
      </c>
      <c r="P56" s="31">
        <f>IFERROR(IF(SUMIFS(Data!$K:$K,Data!$A:$A,Vitezistii!$B56,Data!$C:$C,Vitezistii!P$1)=0," ",SUMIFS(Data!$K:$K,Data!$A:$A,Vitezistii!$B56,Data!$C:$C,Vitezistii!P$1))+SUMIFS(Data!$S:$S,Data!$A:$A,Vitezistii!$B56,Data!$C:$C,Vitezistii!P$1),0)</f>
        <v>2</v>
      </c>
      <c r="Q56" s="31">
        <f>IFERROR(IF(SUMIFS(Data!$K:$K,Data!$A:$A,Vitezistii!$B56,Data!$C:$C,Vitezistii!Q$1)=0," ",SUMIFS(Data!$K:$K,Data!$A:$A,Vitezistii!$B56,Data!$C:$C,Vitezistii!Q$1))+SUMIFS(Data!$S:$S,Data!$A:$A,Vitezistii!$B56,Data!$C:$C,Vitezistii!Q$1),0)</f>
        <v>2</v>
      </c>
      <c r="R56" s="31">
        <f>SUM(C56:Q56)</f>
        <v>20.25</v>
      </c>
      <c r="S56" s="31">
        <f>SUMIFS(Data!D:D,Data!A:A,Vitezistii!B116)</f>
        <v>585.89999999999986</v>
      </c>
      <c r="T56" s="12">
        <f>SUMIFS(Data!I:I,Data!A:A,Vitezistii!B56)/COUNTIF(Data!A:A,Vitezistii!B56)</f>
        <v>4.1715088773581609E-3</v>
      </c>
    </row>
    <row r="57" spans="1:20" ht="13" x14ac:dyDescent="0.3">
      <c r="A57" s="79">
        <v>56</v>
      </c>
      <c r="B57" s="30" t="s">
        <v>336</v>
      </c>
      <c r="C57" s="31">
        <f>IFERROR(IF(SUMIFS(Data!$K:$K,Data!$A:$A,Vitezistii!$B57,Data!$C:$C,Vitezistii!C$1)=0," ",SUMIFS(Data!$K:$K,Data!$A:$A,Vitezistii!$B57,Data!$C:$C,Vitezistii!C$1))+SUMIFS(Data!$S:$S,Data!$A:$A,Vitezistii!$B57,Data!$C:$C,Vitezistii!C$1),0)</f>
        <v>1.25</v>
      </c>
      <c r="D57" s="31">
        <f>IFERROR(IF(SUMIFS(Data!$K:$K,Data!$A:$A,Vitezistii!$B57,Data!$C:$C,Vitezistii!D$1)=0," ",SUMIFS(Data!$K:$K,Data!$A:$A,Vitezistii!$B57,Data!$C:$C,Vitezistii!D$1))+SUMIFS(Data!$S:$S,Data!$A:$A,Vitezistii!$B57,Data!$C:$C,Vitezistii!D$1),0)</f>
        <v>1.25</v>
      </c>
      <c r="E57" s="31">
        <f>IFERROR(IF(SUMIFS(Data!$K:$K,Data!$A:$A,Vitezistii!$B57,Data!$C:$C,Vitezistii!E$1)=0," ",SUMIFS(Data!$K:$K,Data!$A:$A,Vitezistii!$B57,Data!$C:$C,Vitezistii!E$1))+SUMIFS(Data!$S:$S,Data!$A:$A,Vitezistii!$B57,Data!$C:$C,Vitezistii!E$1),0)</f>
        <v>1.25</v>
      </c>
      <c r="F57" s="31">
        <f>IFERROR(IF(SUMIFS(Data!$K:$K,Data!$A:$A,Vitezistii!$B57,Data!$C:$C,Vitezistii!F$1)=0," ",SUMIFS(Data!$K:$K,Data!$A:$A,Vitezistii!$B57,Data!$C:$C,Vitezistii!F$1))+SUMIFS(Data!$S:$S,Data!$A:$A,Vitezistii!$B57,Data!$C:$C,Vitezistii!F$1),0)</f>
        <v>1.25</v>
      </c>
      <c r="G57" s="31">
        <f>IFERROR(IF(SUMIFS(Data!$K:$K,Data!$A:$A,Vitezistii!$B57,Data!$C:$C,Vitezistii!G$1)=0," ",SUMIFS(Data!$K:$K,Data!$A:$A,Vitezistii!$B57,Data!$C:$C,Vitezistii!G$1))+SUMIFS(Data!$S:$S,Data!$A:$A,Vitezistii!$B57,Data!$C:$C,Vitezistii!G$1),0)</f>
        <v>1.25</v>
      </c>
      <c r="H57" s="31">
        <f>IFERROR(IF(SUMIFS(Data!$K:$K,Data!$A:$A,Vitezistii!$B57,Data!$C:$C,Vitezistii!H$1)=0," ",SUMIFS(Data!$K:$K,Data!$A:$A,Vitezistii!$B57,Data!$C:$C,Vitezistii!H$1))+SUMIFS(Data!$S:$S,Data!$A:$A,Vitezistii!$B57,Data!$C:$C,Vitezistii!H$1),0)</f>
        <v>1.5</v>
      </c>
      <c r="I57" s="31">
        <f>IFERROR(IF(SUMIFS(Data!$K:$K,Data!$A:$A,Vitezistii!$B57,Data!$C:$C,Vitezistii!I$1)=0," ",SUMIFS(Data!$K:$K,Data!$A:$A,Vitezistii!$B57,Data!$C:$C,Vitezistii!I$1))+SUMIFS(Data!$S:$S,Data!$A:$A,Vitezistii!$B57,Data!$C:$C,Vitezistii!I$1),0)</f>
        <v>1.5</v>
      </c>
      <c r="J57" s="31">
        <f>IFERROR(IF(SUMIFS(Data!$K:$K,Data!$A:$A,Vitezistii!$B57,Data!$C:$C,Vitezistii!J$1)=0," ",SUMIFS(Data!$K:$K,Data!$A:$A,Vitezistii!$B57,Data!$C:$C,Vitezistii!J$1))+SUMIFS(Data!$S:$S,Data!$A:$A,Vitezistii!$B57,Data!$C:$C,Vitezistii!J$1),0)</f>
        <v>1.5</v>
      </c>
      <c r="K57" s="31">
        <f>IFERROR(IF(SUMIFS(Data!$K:$K,Data!$A:$A,Vitezistii!$B57,Data!$C:$C,Vitezistii!K$1)=0," ",SUMIFS(Data!$K:$K,Data!$A:$A,Vitezistii!$B57,Data!$C:$C,Vitezistii!K$1))+SUMIFS(Data!$S:$S,Data!$A:$A,Vitezistii!$B57,Data!$C:$C,Vitezistii!K$1),0)</f>
        <v>1.5</v>
      </c>
      <c r="L57" s="31">
        <f>IFERROR(IF(SUMIFS(Data!$K:$K,Data!$A:$A,Vitezistii!$B57,Data!$C:$C,Vitezistii!L$1)=0," ",SUMIFS(Data!$K:$K,Data!$A:$A,Vitezistii!$B57,Data!$C:$C,Vitezistii!L$1))+SUMIFS(Data!$S:$S,Data!$A:$A,Vitezistii!$B57,Data!$C:$C,Vitezistii!L$1),0)</f>
        <v>1.5</v>
      </c>
      <c r="M57" s="31">
        <f>IFERROR(IF(SUMIFS(Data!$K:$K,Data!$A:$A,Vitezistii!$B57,Data!$C:$C,Vitezistii!M$1)=0," ",SUMIFS(Data!$K:$K,Data!$A:$A,Vitezistii!$B57,Data!$C:$C,Vitezistii!M$1))+SUMIFS(Data!$S:$S,Data!$A:$A,Vitezistii!$B57,Data!$C:$C,Vitezistii!M$1),0)</f>
        <v>1.5</v>
      </c>
      <c r="N57" s="31">
        <f>IFERROR(IF(SUMIFS(Data!$K:$K,Data!$A:$A,Vitezistii!$B57,Data!$C:$C,Vitezistii!N$1)=0," ",SUMIFS(Data!$K:$K,Data!$A:$A,Vitezistii!$B57,Data!$C:$C,Vitezistii!N$1))+SUMIFS(Data!$S:$S,Data!$A:$A,Vitezistii!$B57,Data!$C:$C,Vitezistii!N$1),0)</f>
        <v>1.25</v>
      </c>
      <c r="O57" s="31">
        <f>IFERROR(IF(SUMIFS(Data!$K:$K,Data!$A:$A,Vitezistii!$B57,Data!$C:$C,Vitezistii!O$1)=0," ",SUMIFS(Data!$K:$K,Data!$A:$A,Vitezistii!$B57,Data!$C:$C,Vitezistii!O$1))+SUMIFS(Data!$S:$S,Data!$A:$A,Vitezistii!$B57,Data!$C:$C,Vitezistii!O$1),0)</f>
        <v>1.5</v>
      </c>
      <c r="P57" s="31">
        <f>IFERROR(IF(SUMIFS(Data!$K:$K,Data!$A:$A,Vitezistii!$B57,Data!$C:$C,Vitezistii!P$1)=0," ",SUMIFS(Data!$K:$K,Data!$A:$A,Vitezistii!$B57,Data!$C:$C,Vitezistii!P$1))+SUMIFS(Data!$S:$S,Data!$A:$A,Vitezistii!$B57,Data!$C:$C,Vitezistii!P$1),0)</f>
        <v>0</v>
      </c>
      <c r="Q57" s="31">
        <f>IFERROR(IF(SUMIFS(Data!$K:$K,Data!$A:$A,Vitezistii!$B57,Data!$C:$C,Vitezistii!Q$1)=0," ",SUMIFS(Data!$K:$K,Data!$A:$A,Vitezistii!$B57,Data!$C:$C,Vitezistii!Q$1))+SUMIFS(Data!$S:$S,Data!$A:$A,Vitezistii!$B57,Data!$C:$C,Vitezistii!Q$1),0)</f>
        <v>1.75</v>
      </c>
      <c r="R57" s="31">
        <f>SUM(C57:Q57)</f>
        <v>19.75</v>
      </c>
      <c r="S57" s="31">
        <f>SUMIFS(Data!D:D,Data!A:A,Vitezistii!B117)</f>
        <v>40.769999999999996</v>
      </c>
      <c r="T57" s="12">
        <f>SUMIFS(Data!I:I,Data!A:A,Vitezistii!B57)/COUNTIF(Data!A:A,Vitezistii!B57)</f>
        <v>4.1639542286187057E-3</v>
      </c>
    </row>
    <row r="58" spans="1:20" ht="13" x14ac:dyDescent="0.3">
      <c r="A58" s="79">
        <v>57</v>
      </c>
      <c r="B58" s="30" t="s">
        <v>177</v>
      </c>
      <c r="C58" s="31">
        <f>IFERROR(IF(SUMIFS(Data!$K:$K,Data!$A:$A,Vitezistii!$B58,Data!$C:$C,Vitezistii!C$1)=0," ",SUMIFS(Data!$K:$K,Data!$A:$A,Vitezistii!$B58,Data!$C:$C,Vitezistii!C$1))+SUMIFS(Data!$S:$S,Data!$A:$A,Vitezistii!$B58,Data!$C:$C,Vitezistii!C$1),0)</f>
        <v>1.25</v>
      </c>
      <c r="D58" s="31">
        <f>IFERROR(IF(SUMIFS(Data!$K:$K,Data!$A:$A,Vitezistii!$B58,Data!$C:$C,Vitezistii!D$1)=0," ",SUMIFS(Data!$K:$K,Data!$A:$A,Vitezistii!$B58,Data!$C:$C,Vitezistii!D$1))+SUMIFS(Data!$S:$S,Data!$A:$A,Vitezistii!$B58,Data!$C:$C,Vitezistii!D$1),0)</f>
        <v>1.25</v>
      </c>
      <c r="E58" s="31">
        <f>IFERROR(IF(SUMIFS(Data!$K:$K,Data!$A:$A,Vitezistii!$B58,Data!$C:$C,Vitezistii!E$1)=0," ",SUMIFS(Data!$K:$K,Data!$A:$A,Vitezistii!$B58,Data!$C:$C,Vitezistii!E$1))+SUMIFS(Data!$S:$S,Data!$A:$A,Vitezistii!$B58,Data!$C:$C,Vitezistii!E$1),0)</f>
        <v>1</v>
      </c>
      <c r="F58" s="31">
        <f>IFERROR(IF(SUMIFS(Data!$K:$K,Data!$A:$A,Vitezistii!$B58,Data!$C:$C,Vitezistii!F$1)=0," ",SUMIFS(Data!$K:$K,Data!$A:$A,Vitezistii!$B58,Data!$C:$C,Vitezistii!F$1))+SUMIFS(Data!$S:$S,Data!$A:$A,Vitezistii!$B58,Data!$C:$C,Vitezistii!F$1),0)</f>
        <v>1</v>
      </c>
      <c r="G58" s="31">
        <f>IFERROR(IF(SUMIFS(Data!$K:$K,Data!$A:$A,Vitezistii!$B58,Data!$C:$C,Vitezistii!G$1)=0," ",SUMIFS(Data!$K:$K,Data!$A:$A,Vitezistii!$B58,Data!$C:$C,Vitezistii!G$1))+SUMIFS(Data!$S:$S,Data!$A:$A,Vitezistii!$B58,Data!$C:$C,Vitezistii!G$1),0)</f>
        <v>2</v>
      </c>
      <c r="H58" s="31">
        <f>IFERROR(IF(SUMIFS(Data!$K:$K,Data!$A:$A,Vitezistii!$B58,Data!$C:$C,Vitezistii!H$1)=0," ",SUMIFS(Data!$K:$K,Data!$A:$A,Vitezistii!$B58,Data!$C:$C,Vitezistii!H$1))+SUMIFS(Data!$S:$S,Data!$A:$A,Vitezistii!$B58,Data!$C:$C,Vitezistii!H$1),0)</f>
        <v>1</v>
      </c>
      <c r="I58" s="31">
        <f>IFERROR(IF(SUMIFS(Data!$K:$K,Data!$A:$A,Vitezistii!$B58,Data!$C:$C,Vitezistii!I$1)=0," ",SUMIFS(Data!$K:$K,Data!$A:$A,Vitezistii!$B58,Data!$C:$C,Vitezistii!I$1))+SUMIFS(Data!$S:$S,Data!$A:$A,Vitezistii!$B58,Data!$C:$C,Vitezistii!I$1),0)</f>
        <v>1.25</v>
      </c>
      <c r="J58" s="31">
        <f>IFERROR(IF(SUMIFS(Data!$K:$K,Data!$A:$A,Vitezistii!$B58,Data!$C:$C,Vitezistii!J$1)=0," ",SUMIFS(Data!$K:$K,Data!$A:$A,Vitezistii!$B58,Data!$C:$C,Vitezistii!J$1))+SUMIFS(Data!$S:$S,Data!$A:$A,Vitezistii!$B58,Data!$C:$C,Vitezistii!J$1),0)</f>
        <v>0.75</v>
      </c>
      <c r="K58" s="31">
        <f>IFERROR(IF(SUMIFS(Data!$K:$K,Data!$A:$A,Vitezistii!$B58,Data!$C:$C,Vitezistii!K$1)=0," ",SUMIFS(Data!$K:$K,Data!$A:$A,Vitezistii!$B58,Data!$C:$C,Vitezistii!K$1))+SUMIFS(Data!$S:$S,Data!$A:$A,Vitezistii!$B58,Data!$C:$C,Vitezistii!K$1),0)</f>
        <v>0.25</v>
      </c>
      <c r="L58" s="31">
        <f>IFERROR(IF(SUMIFS(Data!$K:$K,Data!$A:$A,Vitezistii!$B58,Data!$C:$C,Vitezistii!L$1)=0," ",SUMIFS(Data!$K:$K,Data!$A:$A,Vitezistii!$B58,Data!$C:$C,Vitezistii!L$1))+SUMIFS(Data!$S:$S,Data!$A:$A,Vitezistii!$B58,Data!$C:$C,Vitezistii!L$1),0)</f>
        <v>2.5</v>
      </c>
      <c r="M58" s="31">
        <f>IFERROR(IF(SUMIFS(Data!$K:$K,Data!$A:$A,Vitezistii!$B58,Data!$C:$C,Vitezistii!M$1)=0," ",SUMIFS(Data!$K:$K,Data!$A:$A,Vitezistii!$B58,Data!$C:$C,Vitezistii!M$1))+SUMIFS(Data!$S:$S,Data!$A:$A,Vitezistii!$B58,Data!$C:$C,Vitezistii!M$1),0)</f>
        <v>1.25</v>
      </c>
      <c r="N58" s="31">
        <f>IFERROR(IF(SUMIFS(Data!$K:$K,Data!$A:$A,Vitezistii!$B58,Data!$C:$C,Vitezistii!N$1)=0," ",SUMIFS(Data!$K:$K,Data!$A:$A,Vitezistii!$B58,Data!$C:$C,Vitezistii!N$1))+SUMIFS(Data!$S:$S,Data!$A:$A,Vitezistii!$B58,Data!$C:$C,Vitezistii!N$1),0)</f>
        <v>1.5</v>
      </c>
      <c r="O58" s="31">
        <f>IFERROR(IF(SUMIFS(Data!$K:$K,Data!$A:$A,Vitezistii!$B58,Data!$C:$C,Vitezistii!O$1)=0," ",SUMIFS(Data!$K:$K,Data!$A:$A,Vitezistii!$B58,Data!$C:$C,Vitezistii!O$1))+SUMIFS(Data!$S:$S,Data!$A:$A,Vitezistii!$B58,Data!$C:$C,Vitezistii!O$1),0)</f>
        <v>0.75</v>
      </c>
      <c r="P58" s="31">
        <f>IFERROR(IF(SUMIFS(Data!$K:$K,Data!$A:$A,Vitezistii!$B58,Data!$C:$C,Vitezistii!P$1)=0," ",SUMIFS(Data!$K:$K,Data!$A:$A,Vitezistii!$B58,Data!$C:$C,Vitezistii!P$1))+SUMIFS(Data!$S:$S,Data!$A:$A,Vitezistii!$B58,Data!$C:$C,Vitezistii!P$1),0)</f>
        <v>1.5</v>
      </c>
      <c r="Q58" s="31">
        <f>IFERROR(IF(SUMIFS(Data!$K:$K,Data!$A:$A,Vitezistii!$B58,Data!$C:$C,Vitezistii!Q$1)=0," ",SUMIFS(Data!$K:$K,Data!$A:$A,Vitezistii!$B58,Data!$C:$C,Vitezistii!Q$1))+SUMIFS(Data!$S:$S,Data!$A:$A,Vitezistii!$B58,Data!$C:$C,Vitezistii!Q$1),0)</f>
        <v>2</v>
      </c>
      <c r="R58" s="31">
        <f>SUM(C58:Q58)</f>
        <v>19.25</v>
      </c>
      <c r="S58" s="31">
        <f>SUMIFS(Data!D:D,Data!A:A,Vitezistii!B118)</f>
        <v>15.52</v>
      </c>
      <c r="T58" s="12">
        <f>SUMIFS(Data!I:I,Data!A:A,Vitezistii!B58)/COUNTIF(Data!A:A,Vitezistii!B58)</f>
        <v>4.6104864854025754E-3</v>
      </c>
    </row>
    <row r="59" spans="1:20" ht="13" x14ac:dyDescent="0.3">
      <c r="A59" s="79">
        <v>58</v>
      </c>
      <c r="B59" s="30" t="s">
        <v>359</v>
      </c>
      <c r="C59" s="31">
        <f>IFERROR(IF(SUMIFS(Data!$K:$K,Data!$A:$A,Vitezistii!$B59,Data!$C:$C,Vitezistii!C$1)=0," ",SUMIFS(Data!$K:$K,Data!$A:$A,Vitezistii!$B59,Data!$C:$C,Vitezistii!C$1))+SUMIFS(Data!$S:$S,Data!$A:$A,Vitezistii!$B59,Data!$C:$C,Vitezistii!C$1),0)</f>
        <v>2</v>
      </c>
      <c r="D59" s="31">
        <f>IFERROR(IF(SUMIFS(Data!$K:$K,Data!$A:$A,Vitezistii!$B59,Data!$C:$C,Vitezistii!D$1)=0," ",SUMIFS(Data!$K:$K,Data!$A:$A,Vitezistii!$B59,Data!$C:$C,Vitezistii!D$1))+SUMIFS(Data!$S:$S,Data!$A:$A,Vitezistii!$B59,Data!$C:$C,Vitezistii!D$1),0)</f>
        <v>2</v>
      </c>
      <c r="E59" s="31">
        <f>IFERROR(IF(SUMIFS(Data!$K:$K,Data!$A:$A,Vitezistii!$B59,Data!$C:$C,Vitezistii!E$1)=0," ",SUMIFS(Data!$K:$K,Data!$A:$A,Vitezistii!$B59,Data!$C:$C,Vitezistii!E$1))+SUMIFS(Data!$S:$S,Data!$A:$A,Vitezistii!$B59,Data!$C:$C,Vitezistii!E$1),0)</f>
        <v>1.75</v>
      </c>
      <c r="F59" s="31">
        <f>IFERROR(IF(SUMIFS(Data!$K:$K,Data!$A:$A,Vitezistii!$B59,Data!$C:$C,Vitezistii!F$1)=0," ",SUMIFS(Data!$K:$K,Data!$A:$A,Vitezistii!$B59,Data!$C:$C,Vitezistii!F$1))+SUMIFS(Data!$S:$S,Data!$A:$A,Vitezistii!$B59,Data!$C:$C,Vitezistii!F$1),0)</f>
        <v>1.75</v>
      </c>
      <c r="G59" s="31">
        <f>IFERROR(IF(SUMIFS(Data!$K:$K,Data!$A:$A,Vitezistii!$B59,Data!$C:$C,Vitezistii!G$1)=0," ",SUMIFS(Data!$K:$K,Data!$A:$A,Vitezistii!$B59,Data!$C:$C,Vitezistii!G$1))+SUMIFS(Data!$S:$S,Data!$A:$A,Vitezistii!$B59,Data!$C:$C,Vitezistii!G$1),0)</f>
        <v>2.5</v>
      </c>
      <c r="H59" s="31">
        <f>IFERROR(IF(SUMIFS(Data!$K:$K,Data!$A:$A,Vitezistii!$B59,Data!$C:$C,Vitezistii!H$1)=0," ",SUMIFS(Data!$K:$K,Data!$A:$A,Vitezistii!$B59,Data!$C:$C,Vitezistii!H$1))+SUMIFS(Data!$S:$S,Data!$A:$A,Vitezistii!$B59,Data!$C:$C,Vitezistii!H$1),0)</f>
        <v>1.5</v>
      </c>
      <c r="I59" s="31">
        <f>IFERROR(IF(SUMIFS(Data!$K:$K,Data!$A:$A,Vitezistii!$B59,Data!$C:$C,Vitezistii!I$1)=0," ",SUMIFS(Data!$K:$K,Data!$A:$A,Vitezistii!$B59,Data!$C:$C,Vitezistii!I$1))+SUMIFS(Data!$S:$S,Data!$A:$A,Vitezistii!$B59,Data!$C:$C,Vitezistii!I$1),0)</f>
        <v>1.75</v>
      </c>
      <c r="J59" s="31">
        <f>IFERROR(IF(SUMIFS(Data!$K:$K,Data!$A:$A,Vitezistii!$B59,Data!$C:$C,Vitezistii!J$1)=0," ",SUMIFS(Data!$K:$K,Data!$A:$A,Vitezistii!$B59,Data!$C:$C,Vitezistii!J$1))+SUMIFS(Data!$S:$S,Data!$A:$A,Vitezistii!$B59,Data!$C:$C,Vitezistii!J$1),0)</f>
        <v>0</v>
      </c>
      <c r="K59" s="31">
        <f>IFERROR(IF(SUMIFS(Data!$K:$K,Data!$A:$A,Vitezistii!$B59,Data!$C:$C,Vitezistii!K$1)=0," ",SUMIFS(Data!$K:$K,Data!$A:$A,Vitezistii!$B59,Data!$C:$C,Vitezistii!K$1))+SUMIFS(Data!$S:$S,Data!$A:$A,Vitezistii!$B59,Data!$C:$C,Vitezistii!K$1),0)</f>
        <v>1.75</v>
      </c>
      <c r="L59" s="31">
        <f>IFERROR(IF(SUMIFS(Data!$K:$K,Data!$A:$A,Vitezistii!$B59,Data!$C:$C,Vitezistii!L$1)=0," ",SUMIFS(Data!$K:$K,Data!$A:$A,Vitezistii!$B59,Data!$C:$C,Vitezistii!L$1))+SUMIFS(Data!$S:$S,Data!$A:$A,Vitezistii!$B59,Data!$C:$C,Vitezistii!L$1),0)</f>
        <v>0</v>
      </c>
      <c r="M59" s="31">
        <f>IFERROR(IF(SUMIFS(Data!$K:$K,Data!$A:$A,Vitezistii!$B59,Data!$C:$C,Vitezistii!M$1)=0," ",SUMIFS(Data!$K:$K,Data!$A:$A,Vitezistii!$B59,Data!$C:$C,Vitezistii!M$1))+SUMIFS(Data!$S:$S,Data!$A:$A,Vitezistii!$B59,Data!$C:$C,Vitezistii!M$1),0)</f>
        <v>0</v>
      </c>
      <c r="N59" s="31">
        <f>IFERROR(IF(SUMIFS(Data!$K:$K,Data!$A:$A,Vitezistii!$B59,Data!$C:$C,Vitezistii!N$1)=0," ",SUMIFS(Data!$K:$K,Data!$A:$A,Vitezistii!$B59,Data!$C:$C,Vitezistii!N$1))+SUMIFS(Data!$S:$S,Data!$A:$A,Vitezistii!$B59,Data!$C:$C,Vitezistii!N$1),0)</f>
        <v>1.75</v>
      </c>
      <c r="O59" s="31">
        <f>IFERROR(IF(SUMIFS(Data!$K:$K,Data!$A:$A,Vitezistii!$B59,Data!$C:$C,Vitezistii!O$1)=0," ",SUMIFS(Data!$K:$K,Data!$A:$A,Vitezistii!$B59,Data!$C:$C,Vitezistii!O$1))+SUMIFS(Data!$S:$S,Data!$A:$A,Vitezistii!$B59,Data!$C:$C,Vitezistii!O$1),0)</f>
        <v>0.25</v>
      </c>
      <c r="P59" s="31">
        <f>IFERROR(IF(SUMIFS(Data!$K:$K,Data!$A:$A,Vitezistii!$B59,Data!$C:$C,Vitezistii!P$1)=0," ",SUMIFS(Data!$K:$K,Data!$A:$A,Vitezistii!$B59,Data!$C:$C,Vitezistii!P$1))+SUMIFS(Data!$S:$S,Data!$A:$A,Vitezistii!$B59,Data!$C:$C,Vitezistii!P$1),0)</f>
        <v>1.75</v>
      </c>
      <c r="Q59" s="31">
        <f>IFERROR(IF(SUMIFS(Data!$K:$K,Data!$A:$A,Vitezistii!$B59,Data!$C:$C,Vitezistii!Q$1)=0," ",SUMIFS(Data!$K:$K,Data!$A:$A,Vitezistii!$B59,Data!$C:$C,Vitezistii!Q$1))+SUMIFS(Data!$S:$S,Data!$A:$A,Vitezistii!$B59,Data!$C:$C,Vitezistii!Q$1),0)</f>
        <v>0</v>
      </c>
      <c r="R59" s="31">
        <f>SUM(C59:Q59)</f>
        <v>18.75</v>
      </c>
      <c r="S59" s="31">
        <f>SUMIFS(Data!D:D,Data!A:A,Vitezistii!B119)</f>
        <v>0</v>
      </c>
      <c r="T59" s="12">
        <f>SUMIFS(Data!I:I,Data!A:A,Vitezistii!B59)/COUNTIF(Data!A:A,Vitezistii!B59)</f>
        <v>4.1836499170542513E-3</v>
      </c>
    </row>
    <row r="60" spans="1:20" ht="13" x14ac:dyDescent="0.3">
      <c r="A60" s="79">
        <v>59</v>
      </c>
      <c r="B60" s="30" t="s">
        <v>114</v>
      </c>
      <c r="C60" s="31">
        <f>IFERROR(IF(SUMIFS(Data!$K:$K,Data!$A:$A,Vitezistii!$B60,Data!$C:$C,Vitezistii!C$1)=0," ",SUMIFS(Data!$K:$K,Data!$A:$A,Vitezistii!$B60,Data!$C:$C,Vitezistii!C$1))+SUMIFS(Data!$S:$S,Data!$A:$A,Vitezistii!$B60,Data!$C:$C,Vitezistii!C$1),0)</f>
        <v>1.25</v>
      </c>
      <c r="D60" s="31">
        <f>IFERROR(IF(SUMIFS(Data!$K:$K,Data!$A:$A,Vitezistii!$B60,Data!$C:$C,Vitezistii!D$1)=0," ",SUMIFS(Data!$K:$K,Data!$A:$A,Vitezistii!$B60,Data!$C:$C,Vitezistii!D$1))+SUMIFS(Data!$S:$S,Data!$A:$A,Vitezistii!$B60,Data!$C:$C,Vitezistii!D$1),0)</f>
        <v>1.25</v>
      </c>
      <c r="E60" s="31">
        <f>IFERROR(IF(SUMIFS(Data!$K:$K,Data!$A:$A,Vitezistii!$B60,Data!$C:$C,Vitezistii!E$1)=0," ",SUMIFS(Data!$K:$K,Data!$A:$A,Vitezistii!$B60,Data!$C:$C,Vitezistii!E$1))+SUMIFS(Data!$S:$S,Data!$A:$A,Vitezistii!$B60,Data!$C:$C,Vitezistii!E$1),0)</f>
        <v>0.75</v>
      </c>
      <c r="F60" s="31">
        <f>IFERROR(IF(SUMIFS(Data!$K:$K,Data!$A:$A,Vitezistii!$B60,Data!$C:$C,Vitezistii!F$1)=0," ",SUMIFS(Data!$K:$K,Data!$A:$A,Vitezistii!$B60,Data!$C:$C,Vitezistii!F$1))+SUMIFS(Data!$S:$S,Data!$A:$A,Vitezistii!$B60,Data!$C:$C,Vitezistii!F$1),0)</f>
        <v>1.5</v>
      </c>
      <c r="G60" s="31">
        <f>IFERROR(IF(SUMIFS(Data!$K:$K,Data!$A:$A,Vitezistii!$B60,Data!$C:$C,Vitezistii!G$1)=0," ",SUMIFS(Data!$K:$K,Data!$A:$A,Vitezistii!$B60,Data!$C:$C,Vitezistii!G$1))+SUMIFS(Data!$S:$S,Data!$A:$A,Vitezistii!$B60,Data!$C:$C,Vitezistii!G$1),0)</f>
        <v>2</v>
      </c>
      <c r="H60" s="31">
        <f>IFERROR(IF(SUMIFS(Data!$K:$K,Data!$A:$A,Vitezistii!$B60,Data!$C:$C,Vitezistii!H$1)=0," ",SUMIFS(Data!$K:$K,Data!$A:$A,Vitezistii!$B60,Data!$C:$C,Vitezistii!H$1))+SUMIFS(Data!$S:$S,Data!$A:$A,Vitezistii!$B60,Data!$C:$C,Vitezistii!H$1),0)</f>
        <v>0</v>
      </c>
      <c r="I60" s="31">
        <f>IFERROR(IF(SUMIFS(Data!$K:$K,Data!$A:$A,Vitezistii!$B60,Data!$C:$C,Vitezistii!I$1)=0," ",SUMIFS(Data!$K:$K,Data!$A:$A,Vitezistii!$B60,Data!$C:$C,Vitezistii!I$1))+SUMIFS(Data!$S:$S,Data!$A:$A,Vitezistii!$B60,Data!$C:$C,Vitezistii!I$1),0)</f>
        <v>0.25</v>
      </c>
      <c r="J60" s="31">
        <f>IFERROR(IF(SUMIFS(Data!$K:$K,Data!$A:$A,Vitezistii!$B60,Data!$C:$C,Vitezistii!J$1)=0," ",SUMIFS(Data!$K:$K,Data!$A:$A,Vitezistii!$B60,Data!$C:$C,Vitezistii!J$1))+SUMIFS(Data!$S:$S,Data!$A:$A,Vitezistii!$B60,Data!$C:$C,Vitezistii!J$1),0)</f>
        <v>0</v>
      </c>
      <c r="K60" s="31">
        <f>IFERROR(IF(SUMIFS(Data!$K:$K,Data!$A:$A,Vitezistii!$B60,Data!$C:$C,Vitezistii!K$1)=0," ",SUMIFS(Data!$K:$K,Data!$A:$A,Vitezistii!$B60,Data!$C:$C,Vitezistii!K$1))+SUMIFS(Data!$S:$S,Data!$A:$A,Vitezistii!$B60,Data!$C:$C,Vitezistii!K$1),0)</f>
        <v>0</v>
      </c>
      <c r="L60" s="31">
        <f>IFERROR(IF(SUMIFS(Data!$K:$K,Data!$A:$A,Vitezistii!$B60,Data!$C:$C,Vitezistii!L$1)=0," ",SUMIFS(Data!$K:$K,Data!$A:$A,Vitezistii!$B60,Data!$C:$C,Vitezistii!L$1))+SUMIFS(Data!$S:$S,Data!$A:$A,Vitezistii!$B60,Data!$C:$C,Vitezistii!L$1),0)</f>
        <v>2</v>
      </c>
      <c r="M60" s="31">
        <f>IFERROR(IF(SUMIFS(Data!$K:$K,Data!$A:$A,Vitezistii!$B60,Data!$C:$C,Vitezistii!M$1)=0," ",SUMIFS(Data!$K:$K,Data!$A:$A,Vitezistii!$B60,Data!$C:$C,Vitezistii!M$1))+SUMIFS(Data!$S:$S,Data!$A:$A,Vitezistii!$B60,Data!$C:$C,Vitezistii!M$1),0)</f>
        <v>3</v>
      </c>
      <c r="N60" s="31">
        <f>IFERROR(IF(SUMIFS(Data!$K:$K,Data!$A:$A,Vitezistii!$B60,Data!$C:$C,Vitezistii!N$1)=0," ",SUMIFS(Data!$K:$K,Data!$A:$A,Vitezistii!$B60,Data!$C:$C,Vitezistii!N$1))+SUMIFS(Data!$S:$S,Data!$A:$A,Vitezistii!$B60,Data!$C:$C,Vitezistii!N$1),0)</f>
        <v>3.5</v>
      </c>
      <c r="O60" s="31">
        <f>IFERROR(IF(SUMIFS(Data!$K:$K,Data!$A:$A,Vitezistii!$B60,Data!$C:$C,Vitezistii!O$1)=0," ",SUMIFS(Data!$K:$K,Data!$A:$A,Vitezistii!$B60,Data!$C:$C,Vitezistii!O$1))+SUMIFS(Data!$S:$S,Data!$A:$A,Vitezistii!$B60,Data!$C:$C,Vitezistii!O$1),0)</f>
        <v>0.25</v>
      </c>
      <c r="P60" s="31">
        <f>IFERROR(IF(SUMIFS(Data!$K:$K,Data!$A:$A,Vitezistii!$B60,Data!$C:$C,Vitezistii!P$1)=0," ",SUMIFS(Data!$K:$K,Data!$A:$A,Vitezistii!$B60,Data!$C:$C,Vitezistii!P$1))+SUMIFS(Data!$S:$S,Data!$A:$A,Vitezistii!$B60,Data!$C:$C,Vitezistii!P$1),0)</f>
        <v>0.25</v>
      </c>
      <c r="Q60" s="31">
        <f>IFERROR(IF(SUMIFS(Data!$K:$K,Data!$A:$A,Vitezistii!$B60,Data!$C:$C,Vitezistii!Q$1)=0," ",SUMIFS(Data!$K:$K,Data!$A:$A,Vitezistii!$B60,Data!$C:$C,Vitezistii!Q$1))+SUMIFS(Data!$S:$S,Data!$A:$A,Vitezistii!$B60,Data!$C:$C,Vitezistii!Q$1),0)</f>
        <v>2</v>
      </c>
      <c r="R60" s="31">
        <f>SUM(C60:Q60)</f>
        <v>18</v>
      </c>
      <c r="S60" s="31">
        <f>SUMIFS(Data!D:D,Data!A:A,Vitezistii!B120)</f>
        <v>0</v>
      </c>
      <c r="T60" s="12">
        <f>SUMIFS(Data!I:I,Data!A:A,Vitezistii!B60)/COUNTIF(Data!A:A,Vitezistii!B60)</f>
        <v>4.5338827782614123E-3</v>
      </c>
    </row>
    <row r="61" spans="1:20" ht="13" x14ac:dyDescent="0.3">
      <c r="A61" s="79">
        <v>60</v>
      </c>
      <c r="B61" s="30" t="s">
        <v>247</v>
      </c>
      <c r="C61" s="31">
        <f>IFERROR(IF(SUMIFS(Data!$K:$K,Data!$A:$A,Vitezistii!$B61,Data!$C:$C,Vitezistii!C$1)=0," ",SUMIFS(Data!$K:$K,Data!$A:$A,Vitezistii!$B61,Data!$C:$C,Vitezistii!C$1))+SUMIFS(Data!$S:$S,Data!$A:$A,Vitezistii!$B61,Data!$C:$C,Vitezistii!C$1),0)</f>
        <v>1.75</v>
      </c>
      <c r="D61" s="31">
        <f>IFERROR(IF(SUMIFS(Data!$K:$K,Data!$A:$A,Vitezistii!$B61,Data!$C:$C,Vitezistii!D$1)=0," ",SUMIFS(Data!$K:$K,Data!$A:$A,Vitezistii!$B61,Data!$C:$C,Vitezistii!D$1))+SUMIFS(Data!$S:$S,Data!$A:$A,Vitezistii!$B61,Data!$C:$C,Vitezistii!D$1),0)</f>
        <v>2</v>
      </c>
      <c r="E61" s="31">
        <f>IFERROR(IF(SUMIFS(Data!$K:$K,Data!$A:$A,Vitezistii!$B61,Data!$C:$C,Vitezistii!E$1)=0," ",SUMIFS(Data!$K:$K,Data!$A:$A,Vitezistii!$B61,Data!$C:$C,Vitezistii!E$1))+SUMIFS(Data!$S:$S,Data!$A:$A,Vitezistii!$B61,Data!$C:$C,Vitezistii!E$1),0)</f>
        <v>0.75</v>
      </c>
      <c r="F61" s="31">
        <f>IFERROR(IF(SUMIFS(Data!$K:$K,Data!$A:$A,Vitezistii!$B61,Data!$C:$C,Vitezistii!F$1)=0," ",SUMIFS(Data!$K:$K,Data!$A:$A,Vitezistii!$B61,Data!$C:$C,Vitezistii!F$1))+SUMIFS(Data!$S:$S,Data!$A:$A,Vitezistii!$B61,Data!$C:$C,Vitezistii!F$1),0)</f>
        <v>3.5</v>
      </c>
      <c r="G61" s="31">
        <f>IFERROR(IF(SUMIFS(Data!$K:$K,Data!$A:$A,Vitezistii!$B61,Data!$C:$C,Vitezistii!G$1)=0," ",SUMIFS(Data!$K:$K,Data!$A:$A,Vitezistii!$B61,Data!$C:$C,Vitezistii!G$1))+SUMIFS(Data!$S:$S,Data!$A:$A,Vitezistii!$B61,Data!$C:$C,Vitezistii!G$1),0)</f>
        <v>1.75</v>
      </c>
      <c r="H61" s="31">
        <f>IFERROR(IF(SUMIFS(Data!$K:$K,Data!$A:$A,Vitezistii!$B61,Data!$C:$C,Vitezistii!H$1)=0," ",SUMIFS(Data!$K:$K,Data!$A:$A,Vitezistii!$B61,Data!$C:$C,Vitezistii!H$1))+SUMIFS(Data!$S:$S,Data!$A:$A,Vitezistii!$B61,Data!$C:$C,Vitezistii!H$1),0)</f>
        <v>1.5</v>
      </c>
      <c r="I61" s="31">
        <f>IFERROR(IF(SUMIFS(Data!$K:$K,Data!$A:$A,Vitezistii!$B61,Data!$C:$C,Vitezistii!I$1)=0," ",SUMIFS(Data!$K:$K,Data!$A:$A,Vitezistii!$B61,Data!$C:$C,Vitezistii!I$1))+SUMIFS(Data!$S:$S,Data!$A:$A,Vitezistii!$B61,Data!$C:$C,Vitezistii!I$1),0)</f>
        <v>2</v>
      </c>
      <c r="J61" s="31">
        <f>IFERROR(IF(SUMIFS(Data!$K:$K,Data!$A:$A,Vitezistii!$B61,Data!$C:$C,Vitezistii!J$1)=0," ",SUMIFS(Data!$K:$K,Data!$A:$A,Vitezistii!$B61,Data!$C:$C,Vitezistii!J$1))+SUMIFS(Data!$S:$S,Data!$A:$A,Vitezistii!$B61,Data!$C:$C,Vitezistii!J$1),0)</f>
        <v>0</v>
      </c>
      <c r="K61" s="31">
        <f>IFERROR(IF(SUMIFS(Data!$K:$K,Data!$A:$A,Vitezistii!$B61,Data!$C:$C,Vitezistii!K$1)=0," ",SUMIFS(Data!$K:$K,Data!$A:$A,Vitezistii!$B61,Data!$C:$C,Vitezistii!K$1))+SUMIFS(Data!$S:$S,Data!$A:$A,Vitezistii!$B61,Data!$C:$C,Vitezistii!K$1),0)</f>
        <v>0.25</v>
      </c>
      <c r="L61" s="31">
        <f>IFERROR(IF(SUMIFS(Data!$K:$K,Data!$A:$A,Vitezistii!$B61,Data!$C:$C,Vitezistii!L$1)=0," ",SUMIFS(Data!$K:$K,Data!$A:$A,Vitezistii!$B61,Data!$C:$C,Vitezistii!L$1))+SUMIFS(Data!$S:$S,Data!$A:$A,Vitezistii!$B61,Data!$C:$C,Vitezistii!L$1),0)</f>
        <v>0</v>
      </c>
      <c r="M61" s="31">
        <f>IFERROR(IF(SUMIFS(Data!$K:$K,Data!$A:$A,Vitezistii!$B61,Data!$C:$C,Vitezistii!M$1)=0," ",SUMIFS(Data!$K:$K,Data!$A:$A,Vitezistii!$B61,Data!$C:$C,Vitezistii!M$1))+SUMIFS(Data!$S:$S,Data!$A:$A,Vitezistii!$B61,Data!$C:$C,Vitezistii!M$1),0)</f>
        <v>0.25</v>
      </c>
      <c r="N61" s="31">
        <f>IFERROR(IF(SUMIFS(Data!$K:$K,Data!$A:$A,Vitezistii!$B61,Data!$C:$C,Vitezistii!N$1)=0," ",SUMIFS(Data!$K:$K,Data!$A:$A,Vitezistii!$B61,Data!$C:$C,Vitezistii!N$1))+SUMIFS(Data!$S:$S,Data!$A:$A,Vitezistii!$B61,Data!$C:$C,Vitezistii!N$1),0)</f>
        <v>2</v>
      </c>
      <c r="O61" s="31">
        <f>IFERROR(IF(SUMIFS(Data!$K:$K,Data!$A:$A,Vitezistii!$B61,Data!$C:$C,Vitezistii!O$1)=0," ",SUMIFS(Data!$K:$K,Data!$A:$A,Vitezistii!$B61,Data!$C:$C,Vitezistii!O$1))+SUMIFS(Data!$S:$S,Data!$A:$A,Vitezistii!$B61,Data!$C:$C,Vitezistii!O$1),0)</f>
        <v>0</v>
      </c>
      <c r="P61" s="31">
        <f>IFERROR(IF(SUMIFS(Data!$K:$K,Data!$A:$A,Vitezistii!$B61,Data!$C:$C,Vitezistii!P$1)=0," ",SUMIFS(Data!$K:$K,Data!$A:$A,Vitezistii!$B61,Data!$C:$C,Vitezistii!P$1))+SUMIFS(Data!$S:$S,Data!$A:$A,Vitezistii!$B61,Data!$C:$C,Vitezistii!P$1),0)</f>
        <v>2</v>
      </c>
      <c r="Q61" s="31">
        <f>IFERROR(IF(SUMIFS(Data!$K:$K,Data!$A:$A,Vitezistii!$B61,Data!$C:$C,Vitezistii!Q$1)=0," ",SUMIFS(Data!$K:$K,Data!$A:$A,Vitezistii!$B61,Data!$C:$C,Vitezistii!Q$1))+SUMIFS(Data!$S:$S,Data!$A:$A,Vitezistii!$B61,Data!$C:$C,Vitezistii!Q$1),0)</f>
        <v>0</v>
      </c>
      <c r="R61" s="31">
        <f>SUM(C61:Q61)</f>
        <v>17.75</v>
      </c>
      <c r="S61" s="31">
        <f>SUMIFS(Data!D:D,Data!A:A,Vitezistii!B121)</f>
        <v>0</v>
      </c>
      <c r="T61" s="12">
        <f>SUMIFS(Data!I:I,Data!A:A,Vitezistii!B61)/COUNTIF(Data!A:A,Vitezistii!B61)</f>
        <v>4.8052322997048629E-3</v>
      </c>
    </row>
    <row r="62" spans="1:20" ht="13" x14ac:dyDescent="0.3">
      <c r="A62" s="79">
        <v>61</v>
      </c>
      <c r="B62" s="30" t="s">
        <v>370</v>
      </c>
      <c r="C62" s="31">
        <f>IFERROR(IF(SUMIFS(Data!$K:$K,Data!$A:$A,Vitezistii!$B62,Data!$C:$C,Vitezistii!C$1)=0," ",SUMIFS(Data!$K:$K,Data!$A:$A,Vitezistii!$B62,Data!$C:$C,Vitezistii!C$1))+SUMIFS(Data!$S:$S,Data!$A:$A,Vitezistii!$B62,Data!$C:$C,Vitezistii!C$1),0)</f>
        <v>2.5</v>
      </c>
      <c r="D62" s="31">
        <f>IFERROR(IF(SUMIFS(Data!$K:$K,Data!$A:$A,Vitezistii!$B62,Data!$C:$C,Vitezistii!D$1)=0," ",SUMIFS(Data!$K:$K,Data!$A:$A,Vitezistii!$B62,Data!$C:$C,Vitezistii!D$1))+SUMIFS(Data!$S:$S,Data!$A:$A,Vitezistii!$B62,Data!$C:$C,Vitezistii!D$1),0)</f>
        <v>1.5</v>
      </c>
      <c r="E62" s="31">
        <f>IFERROR(IF(SUMIFS(Data!$K:$K,Data!$A:$A,Vitezistii!$B62,Data!$C:$C,Vitezistii!E$1)=0," ",SUMIFS(Data!$K:$K,Data!$A:$A,Vitezistii!$B62,Data!$C:$C,Vitezistii!E$1))+SUMIFS(Data!$S:$S,Data!$A:$A,Vitezistii!$B62,Data!$C:$C,Vitezistii!E$1),0)</f>
        <v>1.5</v>
      </c>
      <c r="F62" s="31">
        <f>IFERROR(IF(SUMIFS(Data!$K:$K,Data!$A:$A,Vitezistii!$B62,Data!$C:$C,Vitezistii!F$1)=0," ",SUMIFS(Data!$K:$K,Data!$A:$A,Vitezistii!$B62,Data!$C:$C,Vitezistii!F$1))+SUMIFS(Data!$S:$S,Data!$A:$A,Vitezistii!$B62,Data!$C:$C,Vitezistii!F$1),0)</f>
        <v>0</v>
      </c>
      <c r="G62" s="31">
        <f>IFERROR(IF(SUMIFS(Data!$K:$K,Data!$A:$A,Vitezistii!$B62,Data!$C:$C,Vitezistii!G$1)=0," ",SUMIFS(Data!$K:$K,Data!$A:$A,Vitezistii!$B62,Data!$C:$C,Vitezistii!G$1))+SUMIFS(Data!$S:$S,Data!$A:$A,Vitezistii!$B62,Data!$C:$C,Vitezistii!G$1),0)</f>
        <v>0</v>
      </c>
      <c r="H62" s="31">
        <f>IFERROR(IF(SUMIFS(Data!$K:$K,Data!$A:$A,Vitezistii!$B62,Data!$C:$C,Vitezistii!H$1)=0," ",SUMIFS(Data!$K:$K,Data!$A:$A,Vitezistii!$B62,Data!$C:$C,Vitezistii!H$1))+SUMIFS(Data!$S:$S,Data!$A:$A,Vitezistii!$B62,Data!$C:$C,Vitezistii!H$1),0)</f>
        <v>1.75</v>
      </c>
      <c r="I62" s="31">
        <f>IFERROR(IF(SUMIFS(Data!$K:$K,Data!$A:$A,Vitezistii!$B62,Data!$C:$C,Vitezistii!I$1)=0," ",SUMIFS(Data!$K:$K,Data!$A:$A,Vitezistii!$B62,Data!$C:$C,Vitezistii!I$1))+SUMIFS(Data!$S:$S,Data!$A:$A,Vitezistii!$B62,Data!$C:$C,Vitezistii!I$1),0)</f>
        <v>1.75</v>
      </c>
      <c r="J62" s="31">
        <f>IFERROR(IF(SUMIFS(Data!$K:$K,Data!$A:$A,Vitezistii!$B62,Data!$C:$C,Vitezistii!J$1)=0," ",SUMIFS(Data!$K:$K,Data!$A:$A,Vitezistii!$B62,Data!$C:$C,Vitezistii!J$1))+SUMIFS(Data!$S:$S,Data!$A:$A,Vitezistii!$B62,Data!$C:$C,Vitezistii!J$1),0)</f>
        <v>0</v>
      </c>
      <c r="K62" s="31">
        <f>IFERROR(IF(SUMIFS(Data!$K:$K,Data!$A:$A,Vitezistii!$B62,Data!$C:$C,Vitezistii!K$1)=0," ",SUMIFS(Data!$K:$K,Data!$A:$A,Vitezistii!$B62,Data!$C:$C,Vitezistii!K$1))+SUMIFS(Data!$S:$S,Data!$A:$A,Vitezistii!$B62,Data!$C:$C,Vitezistii!K$1),0)</f>
        <v>1.75</v>
      </c>
      <c r="L62" s="31">
        <f>IFERROR(IF(SUMIFS(Data!$K:$K,Data!$A:$A,Vitezistii!$B62,Data!$C:$C,Vitezistii!L$1)=0," ",SUMIFS(Data!$K:$K,Data!$A:$A,Vitezistii!$B62,Data!$C:$C,Vitezistii!L$1))+SUMIFS(Data!$S:$S,Data!$A:$A,Vitezistii!$B62,Data!$C:$C,Vitezistii!L$1),0)</f>
        <v>1.5</v>
      </c>
      <c r="M62" s="31">
        <f>IFERROR(IF(SUMIFS(Data!$K:$K,Data!$A:$A,Vitezistii!$B62,Data!$C:$C,Vitezistii!M$1)=0," ",SUMIFS(Data!$K:$K,Data!$A:$A,Vitezistii!$B62,Data!$C:$C,Vitezistii!M$1))+SUMIFS(Data!$S:$S,Data!$A:$A,Vitezistii!$B62,Data!$C:$C,Vitezistii!M$1),0)</f>
        <v>1.75</v>
      </c>
      <c r="N62" s="31">
        <f>IFERROR(IF(SUMIFS(Data!$K:$K,Data!$A:$A,Vitezistii!$B62,Data!$C:$C,Vitezistii!N$1)=0," ",SUMIFS(Data!$K:$K,Data!$A:$A,Vitezistii!$B62,Data!$C:$C,Vitezistii!N$1))+SUMIFS(Data!$S:$S,Data!$A:$A,Vitezistii!$B62,Data!$C:$C,Vitezistii!N$1),0)</f>
        <v>2.5</v>
      </c>
      <c r="O62" s="31">
        <f>IFERROR(IF(SUMIFS(Data!$K:$K,Data!$A:$A,Vitezistii!$B62,Data!$C:$C,Vitezistii!O$1)=0," ",SUMIFS(Data!$K:$K,Data!$A:$A,Vitezistii!$B62,Data!$C:$C,Vitezistii!O$1))+SUMIFS(Data!$S:$S,Data!$A:$A,Vitezistii!$B62,Data!$C:$C,Vitezistii!O$1),0)</f>
        <v>0.25</v>
      </c>
      <c r="P62" s="31">
        <f>IFERROR(IF(SUMIFS(Data!$K:$K,Data!$A:$A,Vitezistii!$B62,Data!$C:$C,Vitezistii!P$1)=0," ",SUMIFS(Data!$K:$K,Data!$A:$A,Vitezistii!$B62,Data!$C:$C,Vitezistii!P$1))+SUMIFS(Data!$S:$S,Data!$A:$A,Vitezistii!$B62,Data!$C:$C,Vitezistii!P$1),0)</f>
        <v>0</v>
      </c>
      <c r="Q62" s="31">
        <f>IFERROR(IF(SUMIFS(Data!$K:$K,Data!$A:$A,Vitezistii!$B62,Data!$C:$C,Vitezistii!Q$1)=0," ",SUMIFS(Data!$K:$K,Data!$A:$A,Vitezistii!$B62,Data!$C:$C,Vitezistii!Q$1))+SUMIFS(Data!$S:$S,Data!$A:$A,Vitezistii!$B62,Data!$C:$C,Vitezistii!Q$1),0)</f>
        <v>0</v>
      </c>
      <c r="R62" s="31">
        <f>SUM(C62:Q62)</f>
        <v>16.75</v>
      </c>
      <c r="S62" s="31">
        <f>SUMIFS(Data!D:D,Data!A:A,Vitezistii!B122)</f>
        <v>0</v>
      </c>
      <c r="T62" s="12">
        <f>SUMIFS(Data!I:I,Data!A:A,Vitezistii!B62)/COUNTIF(Data!A:A,Vitezistii!B62)</f>
        <v>4.0330839586934083E-3</v>
      </c>
    </row>
    <row r="63" spans="1:20" ht="13" x14ac:dyDescent="0.3">
      <c r="A63" s="79">
        <v>62</v>
      </c>
      <c r="B63" s="30" t="s">
        <v>390</v>
      </c>
      <c r="C63" s="31">
        <f>IFERROR(IF(SUMIFS(Data!$K:$K,Data!$A:$A,Vitezistii!$B63,Data!$C:$C,Vitezistii!C$1)=0," ",SUMIFS(Data!$K:$K,Data!$A:$A,Vitezistii!$B63,Data!$C:$C,Vitezistii!C$1))+SUMIFS(Data!$S:$S,Data!$A:$A,Vitezistii!$B63,Data!$C:$C,Vitezistii!C$1),0)</f>
        <v>0</v>
      </c>
      <c r="D63" s="31">
        <f>IFERROR(IF(SUMIFS(Data!$K:$K,Data!$A:$A,Vitezistii!$B63,Data!$C:$C,Vitezistii!D$1)=0," ",SUMIFS(Data!$K:$K,Data!$A:$A,Vitezistii!$B63,Data!$C:$C,Vitezistii!D$1))+SUMIFS(Data!$S:$S,Data!$A:$A,Vitezistii!$B63,Data!$C:$C,Vitezistii!D$1),0)</f>
        <v>0</v>
      </c>
      <c r="E63" s="31">
        <f>IFERROR(IF(SUMIFS(Data!$K:$K,Data!$A:$A,Vitezistii!$B63,Data!$C:$C,Vitezistii!E$1)=0," ",SUMIFS(Data!$K:$K,Data!$A:$A,Vitezistii!$B63,Data!$C:$C,Vitezistii!E$1))+SUMIFS(Data!$S:$S,Data!$A:$A,Vitezistii!$B63,Data!$C:$C,Vitezistii!E$1),0)</f>
        <v>0</v>
      </c>
      <c r="F63" s="31">
        <f>IFERROR(IF(SUMIFS(Data!$K:$K,Data!$A:$A,Vitezistii!$B63,Data!$C:$C,Vitezistii!F$1)=0," ",SUMIFS(Data!$K:$K,Data!$A:$A,Vitezistii!$B63,Data!$C:$C,Vitezistii!F$1))+SUMIFS(Data!$S:$S,Data!$A:$A,Vitezistii!$B63,Data!$C:$C,Vitezistii!F$1),0)</f>
        <v>2</v>
      </c>
      <c r="G63" s="31">
        <f>IFERROR(IF(SUMIFS(Data!$K:$K,Data!$A:$A,Vitezistii!$B63,Data!$C:$C,Vitezistii!G$1)=0," ",SUMIFS(Data!$K:$K,Data!$A:$A,Vitezistii!$B63,Data!$C:$C,Vitezistii!G$1))+SUMIFS(Data!$S:$S,Data!$A:$A,Vitezistii!$B63,Data!$C:$C,Vitezistii!G$1),0)</f>
        <v>2.5</v>
      </c>
      <c r="H63" s="31">
        <f>IFERROR(IF(SUMIFS(Data!$K:$K,Data!$A:$A,Vitezistii!$B63,Data!$C:$C,Vitezistii!H$1)=0," ",SUMIFS(Data!$K:$K,Data!$A:$A,Vitezistii!$B63,Data!$C:$C,Vitezistii!H$1))+SUMIFS(Data!$S:$S,Data!$A:$A,Vitezistii!$B63,Data!$C:$C,Vitezistii!H$1),0)</f>
        <v>0</v>
      </c>
      <c r="I63" s="31">
        <f>IFERROR(IF(SUMIFS(Data!$K:$K,Data!$A:$A,Vitezistii!$B63,Data!$C:$C,Vitezistii!I$1)=0," ",SUMIFS(Data!$K:$K,Data!$A:$A,Vitezistii!$B63,Data!$C:$C,Vitezistii!I$1))+SUMIFS(Data!$S:$S,Data!$A:$A,Vitezistii!$B63,Data!$C:$C,Vitezistii!I$1),0)</f>
        <v>2.5</v>
      </c>
      <c r="J63" s="31">
        <f>IFERROR(IF(SUMIFS(Data!$K:$K,Data!$A:$A,Vitezistii!$B63,Data!$C:$C,Vitezistii!J$1)=0," ",SUMIFS(Data!$K:$K,Data!$A:$A,Vitezistii!$B63,Data!$C:$C,Vitezistii!J$1))+SUMIFS(Data!$S:$S,Data!$A:$A,Vitezistii!$B63,Data!$C:$C,Vitezistii!J$1),0)</f>
        <v>2.5</v>
      </c>
      <c r="K63" s="31">
        <f>IFERROR(IF(SUMIFS(Data!$K:$K,Data!$A:$A,Vitezistii!$B63,Data!$C:$C,Vitezistii!K$1)=0," ",SUMIFS(Data!$K:$K,Data!$A:$A,Vitezistii!$B63,Data!$C:$C,Vitezistii!K$1))+SUMIFS(Data!$S:$S,Data!$A:$A,Vitezistii!$B63,Data!$C:$C,Vitezistii!K$1),0)</f>
        <v>0</v>
      </c>
      <c r="L63" s="31">
        <f>IFERROR(IF(SUMIFS(Data!$K:$K,Data!$A:$A,Vitezistii!$B63,Data!$C:$C,Vitezistii!L$1)=0," ",SUMIFS(Data!$K:$K,Data!$A:$A,Vitezistii!$B63,Data!$C:$C,Vitezistii!L$1))+SUMIFS(Data!$S:$S,Data!$A:$A,Vitezistii!$B63,Data!$C:$C,Vitezistii!L$1),0)</f>
        <v>0</v>
      </c>
      <c r="M63" s="31">
        <f>IFERROR(IF(SUMIFS(Data!$K:$K,Data!$A:$A,Vitezistii!$B63,Data!$C:$C,Vitezistii!M$1)=0," ",SUMIFS(Data!$K:$K,Data!$A:$A,Vitezistii!$B63,Data!$C:$C,Vitezistii!M$1))+SUMIFS(Data!$S:$S,Data!$A:$A,Vitezistii!$B63,Data!$C:$C,Vitezistii!M$1),0)</f>
        <v>2.5</v>
      </c>
      <c r="N63" s="31">
        <f>IFERROR(IF(SUMIFS(Data!$K:$K,Data!$A:$A,Vitezistii!$B63,Data!$C:$C,Vitezistii!N$1)=0," ",SUMIFS(Data!$K:$K,Data!$A:$A,Vitezistii!$B63,Data!$C:$C,Vitezistii!N$1))+SUMIFS(Data!$S:$S,Data!$A:$A,Vitezistii!$B63,Data!$C:$C,Vitezistii!N$1),0)</f>
        <v>0</v>
      </c>
      <c r="O63" s="31">
        <f>IFERROR(IF(SUMIFS(Data!$K:$K,Data!$A:$A,Vitezistii!$B63,Data!$C:$C,Vitezistii!O$1)=0," ",SUMIFS(Data!$K:$K,Data!$A:$A,Vitezistii!$B63,Data!$C:$C,Vitezistii!O$1))+SUMIFS(Data!$S:$S,Data!$A:$A,Vitezistii!$B63,Data!$C:$C,Vitezistii!O$1),0)</f>
        <v>1</v>
      </c>
      <c r="P63" s="31">
        <f>IFERROR(IF(SUMIFS(Data!$K:$K,Data!$A:$A,Vitezistii!$B63,Data!$C:$C,Vitezistii!P$1)=0," ",SUMIFS(Data!$K:$K,Data!$A:$A,Vitezistii!$B63,Data!$C:$C,Vitezistii!P$1))+SUMIFS(Data!$S:$S,Data!$A:$A,Vitezistii!$B63,Data!$C:$C,Vitezistii!P$1),0)</f>
        <v>0</v>
      </c>
      <c r="Q63" s="31">
        <f>IFERROR(IF(SUMIFS(Data!$K:$K,Data!$A:$A,Vitezistii!$B63,Data!$C:$C,Vitezistii!Q$1)=0," ",SUMIFS(Data!$K:$K,Data!$A:$A,Vitezistii!$B63,Data!$C:$C,Vitezistii!Q$1))+SUMIFS(Data!$S:$S,Data!$A:$A,Vitezistii!$B63,Data!$C:$C,Vitezistii!Q$1),0)</f>
        <v>2.5</v>
      </c>
      <c r="R63" s="31">
        <f>SUM(C63:Q63)</f>
        <v>15.5</v>
      </c>
      <c r="S63" s="31">
        <f>SUMIFS(Data!D:D,Data!A:A,Vitezistii!B123)</f>
        <v>0</v>
      </c>
      <c r="T63" s="12">
        <f>SUMIFS(Data!I:I,Data!A:A,Vitezistii!B63)/COUNTIF(Data!A:A,Vitezistii!B63)</f>
        <v>4.7347572266146091E-3</v>
      </c>
    </row>
    <row r="64" spans="1:20" ht="13" x14ac:dyDescent="0.3">
      <c r="A64" s="79">
        <v>63</v>
      </c>
      <c r="B64" s="30" t="s">
        <v>45</v>
      </c>
      <c r="C64" s="31">
        <f>IFERROR(IF(SUMIFS(Data!$K:$K,Data!$A:$A,Vitezistii!$B64,Data!$C:$C,Vitezistii!C$1)=0," ",SUMIFS(Data!$K:$K,Data!$A:$A,Vitezistii!$B64,Data!$C:$C,Vitezistii!C$1))+SUMIFS(Data!$S:$S,Data!$A:$A,Vitezistii!$B64,Data!$C:$C,Vitezistii!C$1),0)</f>
        <v>0</v>
      </c>
      <c r="D64" s="31">
        <f>IFERROR(IF(SUMIFS(Data!$K:$K,Data!$A:$A,Vitezistii!$B64,Data!$C:$C,Vitezistii!D$1)=0," ",SUMIFS(Data!$K:$K,Data!$A:$A,Vitezistii!$B64,Data!$C:$C,Vitezistii!D$1))+SUMIFS(Data!$S:$S,Data!$A:$A,Vitezistii!$B64,Data!$C:$C,Vitezistii!D$1),0)</f>
        <v>2</v>
      </c>
      <c r="E64" s="31">
        <f>IFERROR(IF(SUMIFS(Data!$K:$K,Data!$A:$A,Vitezistii!$B64,Data!$C:$C,Vitezistii!E$1)=0," ",SUMIFS(Data!$K:$K,Data!$A:$A,Vitezistii!$B64,Data!$C:$C,Vitezistii!E$1))+SUMIFS(Data!$S:$S,Data!$A:$A,Vitezistii!$B64,Data!$C:$C,Vitezistii!E$1),0)</f>
        <v>0.25</v>
      </c>
      <c r="F64" s="31">
        <f>IFERROR(IF(SUMIFS(Data!$K:$K,Data!$A:$A,Vitezistii!$B64,Data!$C:$C,Vitezistii!F$1)=0," ",SUMIFS(Data!$K:$K,Data!$A:$A,Vitezistii!$B64,Data!$C:$C,Vitezistii!F$1))+SUMIFS(Data!$S:$S,Data!$A:$A,Vitezistii!$B64,Data!$C:$C,Vitezistii!F$1),0)</f>
        <v>1.75</v>
      </c>
      <c r="G64" s="31">
        <f>IFERROR(IF(SUMIFS(Data!$K:$K,Data!$A:$A,Vitezistii!$B64,Data!$C:$C,Vitezistii!G$1)=0," ",SUMIFS(Data!$K:$K,Data!$A:$A,Vitezistii!$B64,Data!$C:$C,Vitezistii!G$1))+SUMIFS(Data!$S:$S,Data!$A:$A,Vitezistii!$B64,Data!$C:$C,Vitezistii!G$1),0)</f>
        <v>0.5</v>
      </c>
      <c r="H64" s="31">
        <f>IFERROR(IF(SUMIFS(Data!$K:$K,Data!$A:$A,Vitezistii!$B64,Data!$C:$C,Vitezistii!H$1)=0," ",SUMIFS(Data!$K:$K,Data!$A:$A,Vitezistii!$B64,Data!$C:$C,Vitezistii!H$1))+SUMIFS(Data!$S:$S,Data!$A:$A,Vitezistii!$B64,Data!$C:$C,Vitezistii!H$1),0)</f>
        <v>2.5</v>
      </c>
      <c r="I64" s="31">
        <f>IFERROR(IF(SUMIFS(Data!$K:$K,Data!$A:$A,Vitezistii!$B64,Data!$C:$C,Vitezistii!I$1)=0," ",SUMIFS(Data!$K:$K,Data!$A:$A,Vitezistii!$B64,Data!$C:$C,Vitezistii!I$1))+SUMIFS(Data!$S:$S,Data!$A:$A,Vitezistii!$B64,Data!$C:$C,Vitezistii!I$1),0)</f>
        <v>0</v>
      </c>
      <c r="J64" s="31">
        <f>IFERROR(IF(SUMIFS(Data!$K:$K,Data!$A:$A,Vitezistii!$B64,Data!$C:$C,Vitezistii!J$1)=0," ",SUMIFS(Data!$K:$K,Data!$A:$A,Vitezistii!$B64,Data!$C:$C,Vitezistii!J$1))+SUMIFS(Data!$S:$S,Data!$A:$A,Vitezistii!$B64,Data!$C:$C,Vitezistii!J$1),0)</f>
        <v>0.75</v>
      </c>
      <c r="K64" s="31">
        <f>IFERROR(IF(SUMIFS(Data!$K:$K,Data!$A:$A,Vitezistii!$B64,Data!$C:$C,Vitezistii!K$1)=0," ",SUMIFS(Data!$K:$K,Data!$A:$A,Vitezistii!$B64,Data!$C:$C,Vitezistii!K$1))+SUMIFS(Data!$S:$S,Data!$A:$A,Vitezistii!$B64,Data!$C:$C,Vitezistii!K$1),0)</f>
        <v>1</v>
      </c>
      <c r="L64" s="31">
        <f>IFERROR(IF(SUMIFS(Data!$K:$K,Data!$A:$A,Vitezistii!$B64,Data!$C:$C,Vitezistii!L$1)=0," ",SUMIFS(Data!$K:$K,Data!$A:$A,Vitezistii!$B64,Data!$C:$C,Vitezistii!L$1))+SUMIFS(Data!$S:$S,Data!$A:$A,Vitezistii!$B64,Data!$C:$C,Vitezistii!L$1),0)</f>
        <v>0.5</v>
      </c>
      <c r="M64" s="31">
        <f>IFERROR(IF(SUMIFS(Data!$K:$K,Data!$A:$A,Vitezistii!$B64,Data!$C:$C,Vitezistii!M$1)=0," ",SUMIFS(Data!$K:$K,Data!$A:$A,Vitezistii!$B64,Data!$C:$C,Vitezistii!M$1))+SUMIFS(Data!$S:$S,Data!$A:$A,Vitezistii!$B64,Data!$C:$C,Vitezistii!M$1),0)</f>
        <v>2.5</v>
      </c>
      <c r="N64" s="31">
        <f>IFERROR(IF(SUMIFS(Data!$K:$K,Data!$A:$A,Vitezistii!$B64,Data!$C:$C,Vitezistii!N$1)=0," ",SUMIFS(Data!$K:$K,Data!$A:$A,Vitezistii!$B64,Data!$C:$C,Vitezistii!N$1))+SUMIFS(Data!$S:$S,Data!$A:$A,Vitezistii!$B64,Data!$C:$C,Vitezistii!N$1),0)</f>
        <v>1.5</v>
      </c>
      <c r="O64" s="31">
        <f>IFERROR(IF(SUMIFS(Data!$K:$K,Data!$A:$A,Vitezistii!$B64,Data!$C:$C,Vitezistii!O$1)=0," ",SUMIFS(Data!$K:$K,Data!$A:$A,Vitezistii!$B64,Data!$C:$C,Vitezistii!O$1))+SUMIFS(Data!$S:$S,Data!$A:$A,Vitezistii!$B64,Data!$C:$C,Vitezistii!O$1),0)</f>
        <v>0</v>
      </c>
      <c r="P64" s="31">
        <f>IFERROR(IF(SUMIFS(Data!$K:$K,Data!$A:$A,Vitezistii!$B64,Data!$C:$C,Vitezistii!P$1)=0," ",SUMIFS(Data!$K:$K,Data!$A:$A,Vitezistii!$B64,Data!$C:$C,Vitezistii!P$1))+SUMIFS(Data!$S:$S,Data!$A:$A,Vitezistii!$B64,Data!$C:$C,Vitezistii!P$1),0)</f>
        <v>1.5</v>
      </c>
      <c r="Q64" s="31">
        <f>IFERROR(IF(SUMIFS(Data!$K:$K,Data!$A:$A,Vitezistii!$B64,Data!$C:$C,Vitezistii!Q$1)=0," ",SUMIFS(Data!$K:$K,Data!$A:$A,Vitezistii!$B64,Data!$C:$C,Vitezistii!Q$1))+SUMIFS(Data!$S:$S,Data!$A:$A,Vitezistii!$B64,Data!$C:$C,Vitezistii!Q$1),0)</f>
        <v>0.5</v>
      </c>
      <c r="R64" s="31">
        <f>SUM(C64:Q64)</f>
        <v>15.25</v>
      </c>
      <c r="S64" s="31">
        <f>SUMIFS(Data!D:D,Data!A:A,Vitezistii!B124)</f>
        <v>0</v>
      </c>
      <c r="T64" s="12">
        <f>SUMIFS(Data!I:I,Data!A:A,Vitezistii!B64)/COUNTIF(Data!A:A,Vitezistii!B64)</f>
        <v>4.639569462526633E-3</v>
      </c>
    </row>
    <row r="65" spans="1:20" ht="13" x14ac:dyDescent="0.3">
      <c r="A65" s="79">
        <v>64</v>
      </c>
      <c r="B65" s="30" t="s">
        <v>448</v>
      </c>
      <c r="C65" s="31">
        <f>IFERROR(IF(SUMIFS(Data!$K:$K,Data!$A:$A,Vitezistii!$B65,Data!$C:$C,Vitezistii!C$1)=0," ",SUMIFS(Data!$K:$K,Data!$A:$A,Vitezistii!$B65,Data!$C:$C,Vitezistii!C$1))+SUMIFS(Data!$S:$S,Data!$A:$A,Vitezistii!$B65,Data!$C:$C,Vitezistii!C$1),0)</f>
        <v>0</v>
      </c>
      <c r="D65" s="31">
        <f>IFERROR(IF(SUMIFS(Data!$K:$K,Data!$A:$A,Vitezistii!$B65,Data!$C:$C,Vitezistii!D$1)=0," ",SUMIFS(Data!$K:$K,Data!$A:$A,Vitezistii!$B65,Data!$C:$C,Vitezistii!D$1))+SUMIFS(Data!$S:$S,Data!$A:$A,Vitezistii!$B65,Data!$C:$C,Vitezistii!D$1),0)</f>
        <v>0</v>
      </c>
      <c r="E65" s="31">
        <f>IFERROR(IF(SUMIFS(Data!$K:$K,Data!$A:$A,Vitezistii!$B65,Data!$C:$C,Vitezistii!E$1)=0," ",SUMIFS(Data!$K:$K,Data!$A:$A,Vitezistii!$B65,Data!$C:$C,Vitezistii!E$1))+SUMIFS(Data!$S:$S,Data!$A:$A,Vitezistii!$B65,Data!$C:$C,Vitezistii!E$1),0)</f>
        <v>0</v>
      </c>
      <c r="F65" s="31">
        <f>IFERROR(IF(SUMIFS(Data!$K:$K,Data!$A:$A,Vitezistii!$B65,Data!$C:$C,Vitezistii!F$1)=0," ",SUMIFS(Data!$K:$K,Data!$A:$A,Vitezistii!$B65,Data!$C:$C,Vitezistii!F$1))+SUMIFS(Data!$S:$S,Data!$A:$A,Vitezistii!$B65,Data!$C:$C,Vitezistii!F$1),0)</f>
        <v>0</v>
      </c>
      <c r="G65" s="31">
        <f>IFERROR(IF(SUMIFS(Data!$K:$K,Data!$A:$A,Vitezistii!$B65,Data!$C:$C,Vitezistii!G$1)=0," ",SUMIFS(Data!$K:$K,Data!$A:$A,Vitezistii!$B65,Data!$C:$C,Vitezistii!G$1))+SUMIFS(Data!$S:$S,Data!$A:$A,Vitezistii!$B65,Data!$C:$C,Vitezistii!G$1),0)</f>
        <v>0</v>
      </c>
      <c r="H65" s="31">
        <f>IFERROR(IF(SUMIFS(Data!$K:$K,Data!$A:$A,Vitezistii!$B65,Data!$C:$C,Vitezistii!H$1)=0," ",SUMIFS(Data!$K:$K,Data!$A:$A,Vitezistii!$B65,Data!$C:$C,Vitezistii!H$1))+SUMIFS(Data!$S:$S,Data!$A:$A,Vitezistii!$B65,Data!$C:$C,Vitezistii!H$1),0)</f>
        <v>1.25</v>
      </c>
      <c r="I65" s="31">
        <f>IFERROR(IF(SUMIFS(Data!$K:$K,Data!$A:$A,Vitezistii!$B65,Data!$C:$C,Vitezistii!I$1)=0," ",SUMIFS(Data!$K:$K,Data!$A:$A,Vitezistii!$B65,Data!$C:$C,Vitezistii!I$1))+SUMIFS(Data!$S:$S,Data!$A:$A,Vitezistii!$B65,Data!$C:$C,Vitezistii!I$1),0)</f>
        <v>0.25</v>
      </c>
      <c r="J65" s="31">
        <f>IFERROR(IF(SUMIFS(Data!$K:$K,Data!$A:$A,Vitezistii!$B65,Data!$C:$C,Vitezistii!J$1)=0," ",SUMIFS(Data!$K:$K,Data!$A:$A,Vitezistii!$B65,Data!$C:$C,Vitezistii!J$1))+SUMIFS(Data!$S:$S,Data!$A:$A,Vitezistii!$B65,Data!$C:$C,Vitezistii!J$1),0)</f>
        <v>1</v>
      </c>
      <c r="K65" s="31">
        <f>IFERROR(IF(SUMIFS(Data!$K:$K,Data!$A:$A,Vitezistii!$B65,Data!$C:$C,Vitezistii!K$1)=0," ",SUMIFS(Data!$K:$K,Data!$A:$A,Vitezistii!$B65,Data!$C:$C,Vitezistii!K$1))+SUMIFS(Data!$S:$S,Data!$A:$A,Vitezistii!$B65,Data!$C:$C,Vitezistii!K$1),0)</f>
        <v>1.5</v>
      </c>
      <c r="L65" s="31">
        <f>IFERROR(IF(SUMIFS(Data!$K:$K,Data!$A:$A,Vitezistii!$B65,Data!$C:$C,Vitezistii!L$1)=0," ",SUMIFS(Data!$K:$K,Data!$A:$A,Vitezistii!$B65,Data!$C:$C,Vitezistii!L$1))+SUMIFS(Data!$S:$S,Data!$A:$A,Vitezistii!$B65,Data!$C:$C,Vitezistii!L$1),0)</f>
        <v>1.5</v>
      </c>
      <c r="M65" s="31">
        <f>IFERROR(IF(SUMIFS(Data!$K:$K,Data!$A:$A,Vitezistii!$B65,Data!$C:$C,Vitezistii!M$1)=0," ",SUMIFS(Data!$K:$K,Data!$A:$A,Vitezistii!$B65,Data!$C:$C,Vitezistii!M$1))+SUMIFS(Data!$S:$S,Data!$A:$A,Vitezistii!$B65,Data!$C:$C,Vitezistii!M$1),0)</f>
        <v>3</v>
      </c>
      <c r="N65" s="31">
        <f>IFERROR(IF(SUMIFS(Data!$K:$K,Data!$A:$A,Vitezistii!$B65,Data!$C:$C,Vitezistii!N$1)=0," ",SUMIFS(Data!$K:$K,Data!$A:$A,Vitezistii!$B65,Data!$C:$C,Vitezistii!N$1))+SUMIFS(Data!$S:$S,Data!$A:$A,Vitezistii!$B65,Data!$C:$C,Vitezistii!N$1),0)</f>
        <v>1.25</v>
      </c>
      <c r="O65" s="31">
        <f>IFERROR(IF(SUMIFS(Data!$K:$K,Data!$A:$A,Vitezistii!$B65,Data!$C:$C,Vitezistii!O$1)=0," ",SUMIFS(Data!$K:$K,Data!$A:$A,Vitezistii!$B65,Data!$C:$C,Vitezistii!O$1))+SUMIFS(Data!$S:$S,Data!$A:$A,Vitezistii!$B65,Data!$C:$C,Vitezistii!O$1),0)</f>
        <v>1</v>
      </c>
      <c r="P65" s="31">
        <f>IFERROR(IF(SUMIFS(Data!$K:$K,Data!$A:$A,Vitezistii!$B65,Data!$C:$C,Vitezistii!P$1)=0," ",SUMIFS(Data!$K:$K,Data!$A:$A,Vitezistii!$B65,Data!$C:$C,Vitezistii!P$1))+SUMIFS(Data!$S:$S,Data!$A:$A,Vitezistii!$B65,Data!$C:$C,Vitezistii!P$1),0)</f>
        <v>1.25</v>
      </c>
      <c r="Q65" s="31">
        <f>IFERROR(IF(SUMIFS(Data!$K:$K,Data!$A:$A,Vitezistii!$B65,Data!$C:$C,Vitezistii!Q$1)=0," ",SUMIFS(Data!$K:$K,Data!$A:$A,Vitezistii!$B65,Data!$C:$C,Vitezistii!Q$1))+SUMIFS(Data!$S:$S,Data!$A:$A,Vitezistii!$B65,Data!$C:$C,Vitezistii!Q$1),0)</f>
        <v>3</v>
      </c>
      <c r="R65" s="31">
        <f>SUM(C65:Q65)</f>
        <v>15</v>
      </c>
      <c r="S65" s="31">
        <f>SUMIFS(Data!D:D,Data!A:A,Vitezistii!B125)</f>
        <v>0</v>
      </c>
      <c r="T65" s="12">
        <f>SUMIFS(Data!I:I,Data!A:A,Vitezistii!B65)/COUNTIF(Data!A:A,Vitezistii!B65)</f>
        <v>4.1696437119511359E-3</v>
      </c>
    </row>
    <row r="66" spans="1:20" ht="13" x14ac:dyDescent="0.3">
      <c r="A66" s="79">
        <v>65</v>
      </c>
      <c r="B66" s="30" t="s">
        <v>291</v>
      </c>
      <c r="C66" s="31">
        <f>IFERROR(IF(SUMIFS(Data!$K:$K,Data!$A:$A,Vitezistii!$B66,Data!$C:$C,Vitezistii!C$1)=0," ",SUMIFS(Data!$K:$K,Data!$A:$A,Vitezistii!$B66,Data!$C:$C,Vitezistii!C$1))+SUMIFS(Data!$S:$S,Data!$A:$A,Vitezistii!$B66,Data!$C:$C,Vitezistii!C$1),0)</f>
        <v>1.5</v>
      </c>
      <c r="D66" s="31">
        <f>IFERROR(IF(SUMIFS(Data!$K:$K,Data!$A:$A,Vitezistii!$B66,Data!$C:$C,Vitezistii!D$1)=0," ",SUMIFS(Data!$K:$K,Data!$A:$A,Vitezistii!$B66,Data!$C:$C,Vitezistii!D$1))+SUMIFS(Data!$S:$S,Data!$A:$A,Vitezistii!$B66,Data!$C:$C,Vitezistii!D$1),0)</f>
        <v>1.5</v>
      </c>
      <c r="E66" s="31">
        <f>IFERROR(IF(SUMIFS(Data!$K:$K,Data!$A:$A,Vitezistii!$B66,Data!$C:$C,Vitezistii!E$1)=0," ",SUMIFS(Data!$K:$K,Data!$A:$A,Vitezistii!$B66,Data!$C:$C,Vitezistii!E$1))+SUMIFS(Data!$S:$S,Data!$A:$A,Vitezistii!$B66,Data!$C:$C,Vitezistii!E$1),0)</f>
        <v>2.5</v>
      </c>
      <c r="F66" s="31">
        <f>IFERROR(IF(SUMIFS(Data!$K:$K,Data!$A:$A,Vitezistii!$B66,Data!$C:$C,Vitezistii!F$1)=0," ",SUMIFS(Data!$K:$K,Data!$A:$A,Vitezistii!$B66,Data!$C:$C,Vitezistii!F$1))+SUMIFS(Data!$S:$S,Data!$A:$A,Vitezistii!$B66,Data!$C:$C,Vitezistii!F$1),0)</f>
        <v>2.5</v>
      </c>
      <c r="G66" s="31">
        <f>IFERROR(IF(SUMIFS(Data!$K:$K,Data!$A:$A,Vitezistii!$B66,Data!$C:$C,Vitezistii!G$1)=0," ",SUMIFS(Data!$K:$K,Data!$A:$A,Vitezistii!$B66,Data!$C:$C,Vitezistii!G$1))+SUMIFS(Data!$S:$S,Data!$A:$A,Vitezistii!$B66,Data!$C:$C,Vitezistii!G$1),0)</f>
        <v>0</v>
      </c>
      <c r="H66" s="31">
        <f>IFERROR(IF(SUMIFS(Data!$K:$K,Data!$A:$A,Vitezistii!$B66,Data!$C:$C,Vitezistii!H$1)=0," ",SUMIFS(Data!$K:$K,Data!$A:$A,Vitezistii!$B66,Data!$C:$C,Vitezistii!H$1))+SUMIFS(Data!$S:$S,Data!$A:$A,Vitezistii!$B66,Data!$C:$C,Vitezistii!H$1),0)</f>
        <v>0</v>
      </c>
      <c r="I66" s="31">
        <f>IFERROR(IF(SUMIFS(Data!$K:$K,Data!$A:$A,Vitezistii!$B66,Data!$C:$C,Vitezistii!I$1)=0," ",SUMIFS(Data!$K:$K,Data!$A:$A,Vitezistii!$B66,Data!$C:$C,Vitezistii!I$1))+SUMIFS(Data!$S:$S,Data!$A:$A,Vitezistii!$B66,Data!$C:$C,Vitezistii!I$1),0)</f>
        <v>0</v>
      </c>
      <c r="J66" s="31">
        <f>IFERROR(IF(SUMIFS(Data!$K:$K,Data!$A:$A,Vitezistii!$B66,Data!$C:$C,Vitezistii!J$1)=0," ",SUMIFS(Data!$K:$K,Data!$A:$A,Vitezistii!$B66,Data!$C:$C,Vitezistii!J$1))+SUMIFS(Data!$S:$S,Data!$A:$A,Vitezistii!$B66,Data!$C:$C,Vitezistii!J$1),0)</f>
        <v>1.5</v>
      </c>
      <c r="K66" s="31">
        <f>IFERROR(IF(SUMIFS(Data!$K:$K,Data!$A:$A,Vitezistii!$B66,Data!$C:$C,Vitezistii!K$1)=0," ",SUMIFS(Data!$K:$K,Data!$A:$A,Vitezistii!$B66,Data!$C:$C,Vitezistii!K$1))+SUMIFS(Data!$S:$S,Data!$A:$A,Vitezistii!$B66,Data!$C:$C,Vitezistii!K$1),0)</f>
        <v>0</v>
      </c>
      <c r="L66" s="31">
        <f>IFERROR(IF(SUMIFS(Data!$K:$K,Data!$A:$A,Vitezistii!$B66,Data!$C:$C,Vitezistii!L$1)=0," ",SUMIFS(Data!$K:$K,Data!$A:$A,Vitezistii!$B66,Data!$C:$C,Vitezistii!L$1))+SUMIFS(Data!$S:$S,Data!$A:$A,Vitezistii!$B66,Data!$C:$C,Vitezistii!L$1),0)</f>
        <v>0.25</v>
      </c>
      <c r="M66" s="31">
        <f>IFERROR(IF(SUMIFS(Data!$K:$K,Data!$A:$A,Vitezistii!$B66,Data!$C:$C,Vitezistii!M$1)=0," ",SUMIFS(Data!$K:$K,Data!$A:$A,Vitezistii!$B66,Data!$C:$C,Vitezistii!M$1))+SUMIFS(Data!$S:$S,Data!$A:$A,Vitezistii!$B66,Data!$C:$C,Vitezistii!M$1),0)</f>
        <v>2</v>
      </c>
      <c r="N66" s="31">
        <f>IFERROR(IF(SUMIFS(Data!$K:$K,Data!$A:$A,Vitezistii!$B66,Data!$C:$C,Vitezistii!N$1)=0," ",SUMIFS(Data!$K:$K,Data!$A:$A,Vitezistii!$B66,Data!$C:$C,Vitezistii!N$1))+SUMIFS(Data!$S:$S,Data!$A:$A,Vitezistii!$B66,Data!$C:$C,Vitezistii!N$1),0)</f>
        <v>1.5</v>
      </c>
      <c r="O66" s="31">
        <f>IFERROR(IF(SUMIFS(Data!$K:$K,Data!$A:$A,Vitezistii!$B66,Data!$C:$C,Vitezistii!O$1)=0," ",SUMIFS(Data!$K:$K,Data!$A:$A,Vitezistii!$B66,Data!$C:$C,Vitezistii!O$1))+SUMIFS(Data!$S:$S,Data!$A:$A,Vitezistii!$B66,Data!$C:$C,Vitezistii!O$1),0)</f>
        <v>0.25</v>
      </c>
      <c r="P66" s="31">
        <f>IFERROR(IF(SUMIFS(Data!$K:$K,Data!$A:$A,Vitezistii!$B66,Data!$C:$C,Vitezistii!P$1)=0," ",SUMIFS(Data!$K:$K,Data!$A:$A,Vitezistii!$B66,Data!$C:$C,Vitezistii!P$1))+SUMIFS(Data!$S:$S,Data!$A:$A,Vitezistii!$B66,Data!$C:$C,Vitezistii!P$1),0)</f>
        <v>1.5</v>
      </c>
      <c r="Q66" s="31">
        <f>IFERROR(IF(SUMIFS(Data!$K:$K,Data!$A:$A,Vitezistii!$B66,Data!$C:$C,Vitezistii!Q$1)=0," ",SUMIFS(Data!$K:$K,Data!$A:$A,Vitezistii!$B66,Data!$C:$C,Vitezistii!Q$1))+SUMIFS(Data!$S:$S,Data!$A:$A,Vitezistii!$B66,Data!$C:$C,Vitezistii!Q$1),0)</f>
        <v>0</v>
      </c>
      <c r="R66" s="31">
        <f>SUM(C66:Q66)</f>
        <v>15</v>
      </c>
      <c r="S66" s="31">
        <f>SUMIFS(Data!D:D,Data!A:A,Vitezistii!B126)</f>
        <v>0</v>
      </c>
      <c r="T66" s="12">
        <f>SUMIFS(Data!I:I,Data!A:A,Vitezistii!B66)/COUNTIF(Data!A:A,Vitezistii!B66)</f>
        <v>5.3269096518338771E-3</v>
      </c>
    </row>
    <row r="67" spans="1:20" ht="13" x14ac:dyDescent="0.3">
      <c r="A67" s="79">
        <v>66</v>
      </c>
      <c r="B67" s="30" t="s">
        <v>403</v>
      </c>
      <c r="C67" s="31">
        <f>IFERROR(IF(SUMIFS(Data!$K:$K,Data!$A:$A,Vitezistii!$B67,Data!$C:$C,Vitezistii!C$1)=0," ",SUMIFS(Data!$K:$K,Data!$A:$A,Vitezistii!$B67,Data!$C:$C,Vitezistii!C$1))+SUMIFS(Data!$S:$S,Data!$A:$A,Vitezistii!$B67,Data!$C:$C,Vitezistii!C$1),0)</f>
        <v>0</v>
      </c>
      <c r="D67" s="31">
        <f>IFERROR(IF(SUMIFS(Data!$K:$K,Data!$A:$A,Vitezistii!$B67,Data!$C:$C,Vitezistii!D$1)=0," ",SUMIFS(Data!$K:$K,Data!$A:$A,Vitezistii!$B67,Data!$C:$C,Vitezistii!D$1))+SUMIFS(Data!$S:$S,Data!$A:$A,Vitezistii!$B67,Data!$C:$C,Vitezistii!D$1),0)</f>
        <v>0</v>
      </c>
      <c r="E67" s="31">
        <f>IFERROR(IF(SUMIFS(Data!$K:$K,Data!$A:$A,Vitezistii!$B67,Data!$C:$C,Vitezistii!E$1)=0," ",SUMIFS(Data!$K:$K,Data!$A:$A,Vitezistii!$B67,Data!$C:$C,Vitezistii!E$1))+SUMIFS(Data!$S:$S,Data!$A:$A,Vitezistii!$B67,Data!$C:$C,Vitezistii!E$1),0)</f>
        <v>0</v>
      </c>
      <c r="F67" s="31">
        <f>IFERROR(IF(SUMIFS(Data!$K:$K,Data!$A:$A,Vitezistii!$B67,Data!$C:$C,Vitezistii!F$1)=0," ",SUMIFS(Data!$K:$K,Data!$A:$A,Vitezistii!$B67,Data!$C:$C,Vitezistii!F$1))+SUMIFS(Data!$S:$S,Data!$A:$A,Vitezistii!$B67,Data!$C:$C,Vitezistii!F$1),0)</f>
        <v>1.25</v>
      </c>
      <c r="G67" s="31">
        <f>IFERROR(IF(SUMIFS(Data!$K:$K,Data!$A:$A,Vitezistii!$B67,Data!$C:$C,Vitezistii!G$1)=0," ",SUMIFS(Data!$K:$K,Data!$A:$A,Vitezistii!$B67,Data!$C:$C,Vitezistii!G$1))+SUMIFS(Data!$S:$S,Data!$A:$A,Vitezistii!$B67,Data!$C:$C,Vitezistii!G$1),0)</f>
        <v>0.25</v>
      </c>
      <c r="H67" s="31">
        <f>IFERROR(IF(SUMIFS(Data!$K:$K,Data!$A:$A,Vitezistii!$B67,Data!$C:$C,Vitezistii!H$1)=0," ",SUMIFS(Data!$K:$K,Data!$A:$A,Vitezistii!$B67,Data!$C:$C,Vitezistii!H$1))+SUMIFS(Data!$S:$S,Data!$A:$A,Vitezistii!$B67,Data!$C:$C,Vitezistii!H$1),0)</f>
        <v>1.25</v>
      </c>
      <c r="I67" s="31">
        <f>IFERROR(IF(SUMIFS(Data!$K:$K,Data!$A:$A,Vitezistii!$B67,Data!$C:$C,Vitezistii!I$1)=0," ",SUMIFS(Data!$K:$K,Data!$A:$A,Vitezistii!$B67,Data!$C:$C,Vitezistii!I$1))+SUMIFS(Data!$S:$S,Data!$A:$A,Vitezistii!$B67,Data!$C:$C,Vitezistii!I$1),0)</f>
        <v>0.75</v>
      </c>
      <c r="J67" s="31">
        <f>IFERROR(IF(SUMIFS(Data!$K:$K,Data!$A:$A,Vitezistii!$B67,Data!$C:$C,Vitezistii!J$1)=0," ",SUMIFS(Data!$K:$K,Data!$A:$A,Vitezistii!$B67,Data!$C:$C,Vitezistii!J$1))+SUMIFS(Data!$S:$S,Data!$A:$A,Vitezistii!$B67,Data!$C:$C,Vitezistii!J$1),0)</f>
        <v>1.75</v>
      </c>
      <c r="K67" s="31">
        <f>IFERROR(IF(SUMIFS(Data!$K:$K,Data!$A:$A,Vitezistii!$B67,Data!$C:$C,Vitezistii!K$1)=0," ",SUMIFS(Data!$K:$K,Data!$A:$A,Vitezistii!$B67,Data!$C:$C,Vitezistii!K$1))+SUMIFS(Data!$S:$S,Data!$A:$A,Vitezistii!$B67,Data!$C:$C,Vitezistii!K$1),0)</f>
        <v>0</v>
      </c>
      <c r="L67" s="31">
        <f>IFERROR(IF(SUMIFS(Data!$K:$K,Data!$A:$A,Vitezistii!$B67,Data!$C:$C,Vitezistii!L$1)=0," ",SUMIFS(Data!$K:$K,Data!$A:$A,Vitezistii!$B67,Data!$C:$C,Vitezistii!L$1))+SUMIFS(Data!$S:$S,Data!$A:$A,Vitezistii!$B67,Data!$C:$C,Vitezistii!L$1),0)</f>
        <v>0.25</v>
      </c>
      <c r="M67" s="31">
        <f>IFERROR(IF(SUMIFS(Data!$K:$K,Data!$A:$A,Vitezistii!$B67,Data!$C:$C,Vitezistii!M$1)=0," ",SUMIFS(Data!$K:$K,Data!$A:$A,Vitezistii!$B67,Data!$C:$C,Vitezistii!M$1))+SUMIFS(Data!$S:$S,Data!$A:$A,Vitezistii!$B67,Data!$C:$C,Vitezistii!M$1),0)</f>
        <v>3</v>
      </c>
      <c r="N67" s="31">
        <f>IFERROR(IF(SUMIFS(Data!$K:$K,Data!$A:$A,Vitezistii!$B67,Data!$C:$C,Vitezistii!N$1)=0," ",SUMIFS(Data!$K:$K,Data!$A:$A,Vitezistii!$B67,Data!$C:$C,Vitezistii!N$1))+SUMIFS(Data!$S:$S,Data!$A:$A,Vitezistii!$B67,Data!$C:$C,Vitezistii!N$1),0)</f>
        <v>1.25</v>
      </c>
      <c r="O67" s="31">
        <f>IFERROR(IF(SUMIFS(Data!$K:$K,Data!$A:$A,Vitezistii!$B67,Data!$C:$C,Vitezistii!O$1)=0," ",SUMIFS(Data!$K:$K,Data!$A:$A,Vitezistii!$B67,Data!$C:$C,Vitezistii!O$1))+SUMIFS(Data!$S:$S,Data!$A:$A,Vitezistii!$B67,Data!$C:$C,Vitezistii!O$1),0)</f>
        <v>1.75</v>
      </c>
      <c r="P67" s="31">
        <f>IFERROR(IF(SUMIFS(Data!$K:$K,Data!$A:$A,Vitezistii!$B67,Data!$C:$C,Vitezistii!P$1)=0," ",SUMIFS(Data!$K:$K,Data!$A:$A,Vitezistii!$B67,Data!$C:$C,Vitezistii!P$1))+SUMIFS(Data!$S:$S,Data!$A:$A,Vitezistii!$B67,Data!$C:$C,Vitezistii!P$1),0)</f>
        <v>0.25</v>
      </c>
      <c r="Q67" s="31">
        <f>IFERROR(IF(SUMIFS(Data!$K:$K,Data!$A:$A,Vitezistii!$B67,Data!$C:$C,Vitezistii!Q$1)=0," ",SUMIFS(Data!$K:$K,Data!$A:$A,Vitezistii!$B67,Data!$C:$C,Vitezistii!Q$1))+SUMIFS(Data!$S:$S,Data!$A:$A,Vitezistii!$B67,Data!$C:$C,Vitezistii!Q$1),0)</f>
        <v>2.5</v>
      </c>
      <c r="R67" s="31">
        <f>SUM(C67:Q67)</f>
        <v>14.25</v>
      </c>
      <c r="S67" s="31">
        <f>SUMIFS(Data!D:D,Data!A:A,Vitezistii!B127)</f>
        <v>0</v>
      </c>
      <c r="T67" s="12">
        <f>SUMIFS(Data!I:I,Data!A:A,Vitezistii!B67)/COUNTIF(Data!A:A,Vitezistii!B67)</f>
        <v>4.4932703593437819E-3</v>
      </c>
    </row>
    <row r="68" spans="1:20" ht="13" x14ac:dyDescent="0.3">
      <c r="A68" s="79">
        <v>67</v>
      </c>
      <c r="B68" s="30" t="s">
        <v>283</v>
      </c>
      <c r="C68" s="31">
        <f>IFERROR(IF(SUMIFS(Data!$K:$K,Data!$A:$A,Vitezistii!$B68,Data!$C:$C,Vitezistii!C$1)=0," ",SUMIFS(Data!$K:$K,Data!$A:$A,Vitezistii!$B68,Data!$C:$C,Vitezistii!C$1))+SUMIFS(Data!$S:$S,Data!$A:$A,Vitezistii!$B68,Data!$C:$C,Vitezistii!C$1),0)</f>
        <v>1.25</v>
      </c>
      <c r="D68" s="31">
        <f>IFERROR(IF(SUMIFS(Data!$K:$K,Data!$A:$A,Vitezistii!$B68,Data!$C:$C,Vitezistii!D$1)=0," ",SUMIFS(Data!$K:$K,Data!$A:$A,Vitezistii!$B68,Data!$C:$C,Vitezistii!D$1))+SUMIFS(Data!$S:$S,Data!$A:$A,Vitezistii!$B68,Data!$C:$C,Vitezistii!D$1),0)</f>
        <v>1.5</v>
      </c>
      <c r="E68" s="31">
        <f>IFERROR(IF(SUMIFS(Data!$K:$K,Data!$A:$A,Vitezistii!$B68,Data!$C:$C,Vitezistii!E$1)=0," ",SUMIFS(Data!$K:$K,Data!$A:$A,Vitezistii!$B68,Data!$C:$C,Vitezistii!E$1))+SUMIFS(Data!$S:$S,Data!$A:$A,Vitezistii!$B68,Data!$C:$C,Vitezistii!E$1),0)</f>
        <v>2</v>
      </c>
      <c r="F68" s="31">
        <f>IFERROR(IF(SUMIFS(Data!$K:$K,Data!$A:$A,Vitezistii!$B68,Data!$C:$C,Vitezistii!F$1)=0," ",SUMIFS(Data!$K:$K,Data!$A:$A,Vitezistii!$B68,Data!$C:$C,Vitezistii!F$1))+SUMIFS(Data!$S:$S,Data!$A:$A,Vitezistii!$B68,Data!$C:$C,Vitezistii!F$1),0)</f>
        <v>1.25</v>
      </c>
      <c r="G68" s="31">
        <f>IFERROR(IF(SUMIFS(Data!$K:$K,Data!$A:$A,Vitezistii!$B68,Data!$C:$C,Vitezistii!G$1)=0," ",SUMIFS(Data!$K:$K,Data!$A:$A,Vitezistii!$B68,Data!$C:$C,Vitezistii!G$1))+SUMIFS(Data!$S:$S,Data!$A:$A,Vitezistii!$B68,Data!$C:$C,Vitezistii!G$1),0)</f>
        <v>0.25</v>
      </c>
      <c r="H68" s="31">
        <f>IFERROR(IF(SUMIFS(Data!$K:$K,Data!$A:$A,Vitezistii!$B68,Data!$C:$C,Vitezistii!H$1)=0," ",SUMIFS(Data!$K:$K,Data!$A:$A,Vitezistii!$B68,Data!$C:$C,Vitezistii!H$1))+SUMIFS(Data!$S:$S,Data!$A:$A,Vitezistii!$B68,Data!$C:$C,Vitezistii!H$1),0)</f>
        <v>1.5</v>
      </c>
      <c r="I68" s="31">
        <f>IFERROR(IF(SUMIFS(Data!$K:$K,Data!$A:$A,Vitezistii!$B68,Data!$C:$C,Vitezistii!I$1)=0," ",SUMIFS(Data!$K:$K,Data!$A:$A,Vitezistii!$B68,Data!$C:$C,Vitezistii!I$1))+SUMIFS(Data!$S:$S,Data!$A:$A,Vitezistii!$B68,Data!$C:$C,Vitezistii!I$1),0)</f>
        <v>0.25</v>
      </c>
      <c r="J68" s="31">
        <f>IFERROR(IF(SUMIFS(Data!$K:$K,Data!$A:$A,Vitezistii!$B68,Data!$C:$C,Vitezistii!J$1)=0," ",SUMIFS(Data!$K:$K,Data!$A:$A,Vitezistii!$B68,Data!$C:$C,Vitezistii!J$1))+SUMIFS(Data!$S:$S,Data!$A:$A,Vitezistii!$B68,Data!$C:$C,Vitezistii!J$1),0)</f>
        <v>0.5</v>
      </c>
      <c r="K68" s="31">
        <f>IFERROR(IF(SUMIFS(Data!$K:$K,Data!$A:$A,Vitezistii!$B68,Data!$C:$C,Vitezistii!K$1)=0," ",SUMIFS(Data!$K:$K,Data!$A:$A,Vitezistii!$B68,Data!$C:$C,Vitezistii!K$1))+SUMIFS(Data!$S:$S,Data!$A:$A,Vitezistii!$B68,Data!$C:$C,Vitezistii!K$1),0)</f>
        <v>1</v>
      </c>
      <c r="L68" s="31">
        <f>IFERROR(IF(SUMIFS(Data!$K:$K,Data!$A:$A,Vitezistii!$B68,Data!$C:$C,Vitezistii!L$1)=0," ",SUMIFS(Data!$K:$K,Data!$A:$A,Vitezistii!$B68,Data!$C:$C,Vitezistii!L$1))+SUMIFS(Data!$S:$S,Data!$A:$A,Vitezistii!$B68,Data!$C:$C,Vitezistii!L$1),0)</f>
        <v>0.5</v>
      </c>
      <c r="M68" s="31">
        <f>IFERROR(IF(SUMIFS(Data!$K:$K,Data!$A:$A,Vitezistii!$B68,Data!$C:$C,Vitezistii!M$1)=0," ",SUMIFS(Data!$K:$K,Data!$A:$A,Vitezistii!$B68,Data!$C:$C,Vitezistii!M$1))+SUMIFS(Data!$S:$S,Data!$A:$A,Vitezistii!$B68,Data!$C:$C,Vitezistii!M$1),0)</f>
        <v>0.25</v>
      </c>
      <c r="N68" s="31">
        <f>IFERROR(IF(SUMIFS(Data!$K:$K,Data!$A:$A,Vitezistii!$B68,Data!$C:$C,Vitezistii!N$1)=0," ",SUMIFS(Data!$K:$K,Data!$A:$A,Vitezistii!$B68,Data!$C:$C,Vitezistii!N$1))+SUMIFS(Data!$S:$S,Data!$A:$A,Vitezistii!$B68,Data!$C:$C,Vitezistii!N$1),0)</f>
        <v>1.75</v>
      </c>
      <c r="O68" s="31">
        <f>IFERROR(IF(SUMIFS(Data!$K:$K,Data!$A:$A,Vitezistii!$B68,Data!$C:$C,Vitezistii!O$1)=0," ",SUMIFS(Data!$K:$K,Data!$A:$A,Vitezistii!$B68,Data!$C:$C,Vitezistii!O$1))+SUMIFS(Data!$S:$S,Data!$A:$A,Vitezistii!$B68,Data!$C:$C,Vitezistii!O$1),0)</f>
        <v>0</v>
      </c>
      <c r="P68" s="31">
        <f>IFERROR(IF(SUMIFS(Data!$K:$K,Data!$A:$A,Vitezistii!$B68,Data!$C:$C,Vitezistii!P$1)=0," ",SUMIFS(Data!$K:$K,Data!$A:$A,Vitezistii!$B68,Data!$C:$C,Vitezistii!P$1))+SUMIFS(Data!$S:$S,Data!$A:$A,Vitezistii!$B68,Data!$C:$C,Vitezistii!P$1),0)</f>
        <v>1.25</v>
      </c>
      <c r="Q68" s="31">
        <f>IFERROR(IF(SUMIFS(Data!$K:$K,Data!$A:$A,Vitezistii!$B68,Data!$C:$C,Vitezistii!Q$1)=0," ",SUMIFS(Data!$K:$K,Data!$A:$A,Vitezistii!$B68,Data!$C:$C,Vitezistii!Q$1))+SUMIFS(Data!$S:$S,Data!$A:$A,Vitezistii!$B68,Data!$C:$C,Vitezistii!Q$1),0)</f>
        <v>0.75</v>
      </c>
      <c r="R68" s="31">
        <f>SUM(C68:Q68)</f>
        <v>14</v>
      </c>
      <c r="S68" s="31">
        <f>SUMIFS(Data!D:D,Data!A:A,Vitezistii!B128)</f>
        <v>0</v>
      </c>
      <c r="T68" s="12">
        <f>SUMIFS(Data!I:I,Data!A:A,Vitezistii!B68)/COUNTIF(Data!A:A,Vitezistii!B68)</f>
        <v>4.5447223484860301E-3</v>
      </c>
    </row>
    <row r="69" spans="1:20" ht="13" x14ac:dyDescent="0.3">
      <c r="A69" s="79">
        <v>68</v>
      </c>
      <c r="B69" s="30" t="s">
        <v>383</v>
      </c>
      <c r="C69" s="31">
        <f>IFERROR(IF(SUMIFS(Data!$K:$K,Data!$A:$A,Vitezistii!$B69,Data!$C:$C,Vitezistii!C$1)=0," ",SUMIFS(Data!$K:$K,Data!$A:$A,Vitezistii!$B69,Data!$C:$C,Vitezistii!C$1))+SUMIFS(Data!$S:$S,Data!$A:$A,Vitezistii!$B69,Data!$C:$C,Vitezistii!C$1),0)</f>
        <v>0</v>
      </c>
      <c r="D69" s="31">
        <f>IFERROR(IF(SUMIFS(Data!$K:$K,Data!$A:$A,Vitezistii!$B69,Data!$C:$C,Vitezistii!D$1)=0," ",SUMIFS(Data!$K:$K,Data!$A:$A,Vitezistii!$B69,Data!$C:$C,Vitezistii!D$1))+SUMIFS(Data!$S:$S,Data!$A:$A,Vitezistii!$B69,Data!$C:$C,Vitezistii!D$1),0)</f>
        <v>0.5</v>
      </c>
      <c r="E69" s="31">
        <f>IFERROR(IF(SUMIFS(Data!$K:$K,Data!$A:$A,Vitezistii!$B69,Data!$C:$C,Vitezistii!E$1)=0," ",SUMIFS(Data!$K:$K,Data!$A:$A,Vitezistii!$B69,Data!$C:$C,Vitezistii!E$1))+SUMIFS(Data!$S:$S,Data!$A:$A,Vitezistii!$B69,Data!$C:$C,Vitezistii!E$1),0)</f>
        <v>2</v>
      </c>
      <c r="F69" s="31">
        <f>IFERROR(IF(SUMIFS(Data!$K:$K,Data!$A:$A,Vitezistii!$B69,Data!$C:$C,Vitezistii!F$1)=0," ",SUMIFS(Data!$K:$K,Data!$A:$A,Vitezistii!$B69,Data!$C:$C,Vitezistii!F$1))+SUMIFS(Data!$S:$S,Data!$A:$A,Vitezistii!$B69,Data!$C:$C,Vitezistii!F$1),0)</f>
        <v>0.25</v>
      </c>
      <c r="G69" s="31">
        <f>IFERROR(IF(SUMIFS(Data!$K:$K,Data!$A:$A,Vitezistii!$B69,Data!$C:$C,Vitezistii!G$1)=0," ",SUMIFS(Data!$K:$K,Data!$A:$A,Vitezistii!$B69,Data!$C:$C,Vitezistii!G$1))+SUMIFS(Data!$S:$S,Data!$A:$A,Vitezistii!$B69,Data!$C:$C,Vitezistii!G$1),0)</f>
        <v>1.75</v>
      </c>
      <c r="H69" s="31">
        <f>IFERROR(IF(SUMIFS(Data!$K:$K,Data!$A:$A,Vitezistii!$B69,Data!$C:$C,Vitezistii!H$1)=0," ",SUMIFS(Data!$K:$K,Data!$A:$A,Vitezistii!$B69,Data!$C:$C,Vitezistii!H$1))+SUMIFS(Data!$S:$S,Data!$A:$A,Vitezistii!$B69,Data!$C:$C,Vitezistii!H$1),0)</f>
        <v>1.25</v>
      </c>
      <c r="I69" s="31">
        <f>IFERROR(IF(SUMIFS(Data!$K:$K,Data!$A:$A,Vitezistii!$B69,Data!$C:$C,Vitezistii!I$1)=0," ",SUMIFS(Data!$K:$K,Data!$A:$A,Vitezistii!$B69,Data!$C:$C,Vitezistii!I$1))+SUMIFS(Data!$S:$S,Data!$A:$A,Vitezistii!$B69,Data!$C:$C,Vitezistii!I$1),0)</f>
        <v>1.5</v>
      </c>
      <c r="J69" s="31">
        <f>IFERROR(IF(SUMIFS(Data!$K:$K,Data!$A:$A,Vitezistii!$B69,Data!$C:$C,Vitezistii!J$1)=0," ",SUMIFS(Data!$K:$K,Data!$A:$A,Vitezistii!$B69,Data!$C:$C,Vitezistii!J$1))+SUMIFS(Data!$S:$S,Data!$A:$A,Vitezistii!$B69,Data!$C:$C,Vitezistii!J$1),0)</f>
        <v>1.5</v>
      </c>
      <c r="K69" s="31">
        <f>IFERROR(IF(SUMIFS(Data!$K:$K,Data!$A:$A,Vitezistii!$B69,Data!$C:$C,Vitezistii!K$1)=0," ",SUMIFS(Data!$K:$K,Data!$A:$A,Vitezistii!$B69,Data!$C:$C,Vitezistii!K$1))+SUMIFS(Data!$S:$S,Data!$A:$A,Vitezistii!$B69,Data!$C:$C,Vitezistii!K$1),0)</f>
        <v>0.25</v>
      </c>
      <c r="L69" s="31">
        <f>IFERROR(IF(SUMIFS(Data!$K:$K,Data!$A:$A,Vitezistii!$B69,Data!$C:$C,Vitezistii!L$1)=0," ",SUMIFS(Data!$K:$K,Data!$A:$A,Vitezistii!$B69,Data!$C:$C,Vitezistii!L$1))+SUMIFS(Data!$S:$S,Data!$A:$A,Vitezistii!$B69,Data!$C:$C,Vitezistii!L$1),0)</f>
        <v>1.25</v>
      </c>
      <c r="M69" s="31">
        <f>IFERROR(IF(SUMIFS(Data!$K:$K,Data!$A:$A,Vitezistii!$B69,Data!$C:$C,Vitezistii!M$1)=0," ",SUMIFS(Data!$K:$K,Data!$A:$A,Vitezistii!$B69,Data!$C:$C,Vitezistii!M$1))+SUMIFS(Data!$S:$S,Data!$A:$A,Vitezistii!$B69,Data!$C:$C,Vitezistii!M$1),0)</f>
        <v>1.25</v>
      </c>
      <c r="N69" s="31">
        <f>IFERROR(IF(SUMIFS(Data!$K:$K,Data!$A:$A,Vitezistii!$B69,Data!$C:$C,Vitezistii!N$1)=0," ",SUMIFS(Data!$K:$K,Data!$A:$A,Vitezistii!$B69,Data!$C:$C,Vitezistii!N$1))+SUMIFS(Data!$S:$S,Data!$A:$A,Vitezistii!$B69,Data!$C:$C,Vitezistii!N$1),0)</f>
        <v>0</v>
      </c>
      <c r="O69" s="31">
        <f>IFERROR(IF(SUMIFS(Data!$K:$K,Data!$A:$A,Vitezistii!$B69,Data!$C:$C,Vitezistii!O$1)=0," ",SUMIFS(Data!$K:$K,Data!$A:$A,Vitezistii!$B69,Data!$C:$C,Vitezistii!O$1))+SUMIFS(Data!$S:$S,Data!$A:$A,Vitezistii!$B69,Data!$C:$C,Vitezistii!O$1),0)</f>
        <v>0</v>
      </c>
      <c r="P69" s="31">
        <f>IFERROR(IF(SUMIFS(Data!$K:$K,Data!$A:$A,Vitezistii!$B69,Data!$C:$C,Vitezistii!P$1)=0," ",SUMIFS(Data!$K:$K,Data!$A:$A,Vitezistii!$B69,Data!$C:$C,Vitezistii!P$1))+SUMIFS(Data!$S:$S,Data!$A:$A,Vitezistii!$B69,Data!$C:$C,Vitezistii!P$1),0)</f>
        <v>1.75</v>
      </c>
      <c r="Q69" s="31">
        <f>IFERROR(IF(SUMIFS(Data!$K:$K,Data!$A:$A,Vitezistii!$B69,Data!$C:$C,Vitezistii!Q$1)=0," ",SUMIFS(Data!$K:$K,Data!$A:$A,Vitezistii!$B69,Data!$C:$C,Vitezistii!Q$1))+SUMIFS(Data!$S:$S,Data!$A:$A,Vitezistii!$B69,Data!$C:$C,Vitezistii!Q$1),0)</f>
        <v>0.25</v>
      </c>
      <c r="R69" s="31">
        <f>SUM(C69:Q69)</f>
        <v>13.5</v>
      </c>
      <c r="S69" s="31">
        <f>SUMIFS(Data!D:D,Data!A:A,Vitezistii!B129)</f>
        <v>0</v>
      </c>
      <c r="T69" s="12">
        <f>SUMIFS(Data!I:I,Data!A:A,Vitezistii!B69)/COUNTIF(Data!A:A,Vitezistii!B69)</f>
        <v>4.3922625973403621E-3</v>
      </c>
    </row>
    <row r="70" spans="1:20" ht="13" x14ac:dyDescent="0.3">
      <c r="A70" s="79">
        <v>69</v>
      </c>
      <c r="B70" s="30" t="s">
        <v>301</v>
      </c>
      <c r="C70" s="31">
        <f>IFERROR(IF(SUMIFS(Data!$K:$K,Data!$A:$A,Vitezistii!$B70,Data!$C:$C,Vitezistii!C$1)=0," ",SUMIFS(Data!$K:$K,Data!$A:$A,Vitezistii!$B70,Data!$C:$C,Vitezistii!C$1))+SUMIFS(Data!$S:$S,Data!$A:$A,Vitezistii!$B70,Data!$C:$C,Vitezistii!C$1),0)</f>
        <v>2</v>
      </c>
      <c r="D70" s="31">
        <f>IFERROR(IF(SUMIFS(Data!$K:$K,Data!$A:$A,Vitezistii!$B70,Data!$C:$C,Vitezistii!D$1)=0," ",SUMIFS(Data!$K:$K,Data!$A:$A,Vitezistii!$B70,Data!$C:$C,Vitezistii!D$1))+SUMIFS(Data!$S:$S,Data!$A:$A,Vitezistii!$B70,Data!$C:$C,Vitezistii!D$1),0)</f>
        <v>2</v>
      </c>
      <c r="E70" s="31">
        <f>IFERROR(IF(SUMIFS(Data!$K:$K,Data!$A:$A,Vitezistii!$B70,Data!$C:$C,Vitezistii!E$1)=0," ",SUMIFS(Data!$K:$K,Data!$A:$A,Vitezistii!$B70,Data!$C:$C,Vitezistii!E$1))+SUMIFS(Data!$S:$S,Data!$A:$A,Vitezistii!$B70,Data!$C:$C,Vitezistii!E$1),0)</f>
        <v>1.75</v>
      </c>
      <c r="F70" s="31">
        <f>IFERROR(IF(SUMIFS(Data!$K:$K,Data!$A:$A,Vitezistii!$B70,Data!$C:$C,Vitezistii!F$1)=0," ",SUMIFS(Data!$K:$K,Data!$A:$A,Vitezistii!$B70,Data!$C:$C,Vitezistii!F$1))+SUMIFS(Data!$S:$S,Data!$A:$A,Vitezistii!$B70,Data!$C:$C,Vitezistii!F$1),0)</f>
        <v>1.25</v>
      </c>
      <c r="G70" s="31">
        <f>IFERROR(IF(SUMIFS(Data!$K:$K,Data!$A:$A,Vitezistii!$B70,Data!$C:$C,Vitezistii!G$1)=0," ",SUMIFS(Data!$K:$K,Data!$A:$A,Vitezistii!$B70,Data!$C:$C,Vitezistii!G$1))+SUMIFS(Data!$S:$S,Data!$A:$A,Vitezistii!$B70,Data!$C:$C,Vitezistii!G$1),0)</f>
        <v>0</v>
      </c>
      <c r="H70" s="31">
        <f>IFERROR(IF(SUMIFS(Data!$K:$K,Data!$A:$A,Vitezistii!$B70,Data!$C:$C,Vitezistii!H$1)=0," ",SUMIFS(Data!$K:$K,Data!$A:$A,Vitezistii!$B70,Data!$C:$C,Vitezistii!H$1))+SUMIFS(Data!$S:$S,Data!$A:$A,Vitezistii!$B70,Data!$C:$C,Vitezistii!H$1),0)</f>
        <v>1.75</v>
      </c>
      <c r="I70" s="31">
        <f>IFERROR(IF(SUMIFS(Data!$K:$K,Data!$A:$A,Vitezistii!$B70,Data!$C:$C,Vitezistii!I$1)=0," ",SUMIFS(Data!$K:$K,Data!$A:$A,Vitezistii!$B70,Data!$C:$C,Vitezistii!I$1))+SUMIFS(Data!$S:$S,Data!$A:$A,Vitezistii!$B70,Data!$C:$C,Vitezistii!I$1),0)</f>
        <v>0</v>
      </c>
      <c r="J70" s="31">
        <f>IFERROR(IF(SUMIFS(Data!$K:$K,Data!$A:$A,Vitezistii!$B70,Data!$C:$C,Vitezistii!J$1)=0," ",SUMIFS(Data!$K:$K,Data!$A:$A,Vitezistii!$B70,Data!$C:$C,Vitezistii!J$1))+SUMIFS(Data!$S:$S,Data!$A:$A,Vitezistii!$B70,Data!$C:$C,Vitezistii!J$1),0)</f>
        <v>0</v>
      </c>
      <c r="K70" s="31">
        <f>IFERROR(IF(SUMIFS(Data!$K:$K,Data!$A:$A,Vitezistii!$B70,Data!$C:$C,Vitezistii!K$1)=0," ",SUMIFS(Data!$K:$K,Data!$A:$A,Vitezistii!$B70,Data!$C:$C,Vitezistii!K$1))+SUMIFS(Data!$S:$S,Data!$A:$A,Vitezistii!$B70,Data!$C:$C,Vitezistii!K$1),0)</f>
        <v>0</v>
      </c>
      <c r="L70" s="31">
        <f>IFERROR(IF(SUMIFS(Data!$K:$K,Data!$A:$A,Vitezistii!$B70,Data!$C:$C,Vitezistii!L$1)=0," ",SUMIFS(Data!$K:$K,Data!$A:$A,Vitezistii!$B70,Data!$C:$C,Vitezistii!L$1))+SUMIFS(Data!$S:$S,Data!$A:$A,Vitezistii!$B70,Data!$C:$C,Vitezistii!L$1),0)</f>
        <v>0</v>
      </c>
      <c r="M70" s="31">
        <f>IFERROR(IF(SUMIFS(Data!$K:$K,Data!$A:$A,Vitezistii!$B70,Data!$C:$C,Vitezistii!M$1)=0," ",SUMIFS(Data!$K:$K,Data!$A:$A,Vitezistii!$B70,Data!$C:$C,Vitezistii!M$1))+SUMIFS(Data!$S:$S,Data!$A:$A,Vitezistii!$B70,Data!$C:$C,Vitezistii!M$1),0)</f>
        <v>0</v>
      </c>
      <c r="N70" s="31">
        <f>IFERROR(IF(SUMIFS(Data!$K:$K,Data!$A:$A,Vitezistii!$B70,Data!$C:$C,Vitezistii!N$1)=0," ",SUMIFS(Data!$K:$K,Data!$A:$A,Vitezistii!$B70,Data!$C:$C,Vitezistii!N$1))+SUMIFS(Data!$S:$S,Data!$A:$A,Vitezistii!$B70,Data!$C:$C,Vitezistii!N$1),0)</f>
        <v>2</v>
      </c>
      <c r="O70" s="31">
        <f>IFERROR(IF(SUMIFS(Data!$K:$K,Data!$A:$A,Vitezistii!$B70,Data!$C:$C,Vitezistii!O$1)=0," ",SUMIFS(Data!$K:$K,Data!$A:$A,Vitezistii!$B70,Data!$C:$C,Vitezistii!O$1))+SUMIFS(Data!$S:$S,Data!$A:$A,Vitezistii!$B70,Data!$C:$C,Vitezistii!O$1),0)</f>
        <v>2</v>
      </c>
      <c r="P70" s="31">
        <f>IFERROR(IF(SUMIFS(Data!$K:$K,Data!$A:$A,Vitezistii!$B70,Data!$C:$C,Vitezistii!P$1)=0," ",SUMIFS(Data!$K:$K,Data!$A:$A,Vitezistii!$B70,Data!$C:$C,Vitezistii!P$1))+SUMIFS(Data!$S:$S,Data!$A:$A,Vitezistii!$B70,Data!$C:$C,Vitezistii!P$1),0)</f>
        <v>0</v>
      </c>
      <c r="Q70" s="31">
        <f>IFERROR(IF(SUMIFS(Data!$K:$K,Data!$A:$A,Vitezistii!$B70,Data!$C:$C,Vitezistii!Q$1)=0," ",SUMIFS(Data!$K:$K,Data!$A:$A,Vitezistii!$B70,Data!$C:$C,Vitezistii!Q$1))+SUMIFS(Data!$S:$S,Data!$A:$A,Vitezistii!$B70,Data!$C:$C,Vitezistii!Q$1),0)</f>
        <v>0</v>
      </c>
      <c r="R70" s="31">
        <f>SUM(C70:Q70)</f>
        <v>12.75</v>
      </c>
      <c r="S70" s="31">
        <f>SUMIFS(Data!D:D,Data!A:A,Vitezistii!B130)</f>
        <v>0</v>
      </c>
      <c r="T70" s="12">
        <f>SUMIFS(Data!I:I,Data!A:A,Vitezistii!B70)/COUNTIF(Data!A:A,Vitezistii!B70)</f>
        <v>3.8888544034418751E-3</v>
      </c>
    </row>
    <row r="71" spans="1:20" ht="13" x14ac:dyDescent="0.3">
      <c r="A71" s="79">
        <v>70</v>
      </c>
      <c r="B71" s="30" t="s">
        <v>364</v>
      </c>
      <c r="C71" s="31">
        <f>IFERROR(IF(SUMIFS(Data!$K:$K,Data!$A:$A,Vitezistii!$B71,Data!$C:$C,Vitezistii!C$1)=0," ",SUMIFS(Data!$K:$K,Data!$A:$A,Vitezistii!$B71,Data!$C:$C,Vitezistii!C$1))+SUMIFS(Data!$S:$S,Data!$A:$A,Vitezistii!$B71,Data!$C:$C,Vitezistii!C$1),0)</f>
        <v>2</v>
      </c>
      <c r="D71" s="31">
        <f>IFERROR(IF(SUMIFS(Data!$K:$K,Data!$A:$A,Vitezistii!$B71,Data!$C:$C,Vitezistii!D$1)=0," ",SUMIFS(Data!$K:$K,Data!$A:$A,Vitezistii!$B71,Data!$C:$C,Vitezistii!D$1))+SUMIFS(Data!$S:$S,Data!$A:$A,Vitezistii!$B71,Data!$C:$C,Vitezistii!D$1),0)</f>
        <v>1.25</v>
      </c>
      <c r="E71" s="31">
        <f>IFERROR(IF(SUMIFS(Data!$K:$K,Data!$A:$A,Vitezistii!$B71,Data!$C:$C,Vitezistii!E$1)=0," ",SUMIFS(Data!$K:$K,Data!$A:$A,Vitezistii!$B71,Data!$C:$C,Vitezistii!E$1))+SUMIFS(Data!$S:$S,Data!$A:$A,Vitezistii!$B71,Data!$C:$C,Vitezistii!E$1),0)</f>
        <v>2.5</v>
      </c>
      <c r="F71" s="31">
        <f>IFERROR(IF(SUMIFS(Data!$K:$K,Data!$A:$A,Vitezistii!$B71,Data!$C:$C,Vitezistii!F$1)=0," ",SUMIFS(Data!$K:$K,Data!$A:$A,Vitezistii!$B71,Data!$C:$C,Vitezistii!F$1))+SUMIFS(Data!$S:$S,Data!$A:$A,Vitezistii!$B71,Data!$C:$C,Vitezistii!F$1),0)</f>
        <v>1.5</v>
      </c>
      <c r="G71" s="31">
        <f>IFERROR(IF(SUMIFS(Data!$K:$K,Data!$A:$A,Vitezistii!$B71,Data!$C:$C,Vitezistii!G$1)=0," ",SUMIFS(Data!$K:$K,Data!$A:$A,Vitezistii!$B71,Data!$C:$C,Vitezistii!G$1))+SUMIFS(Data!$S:$S,Data!$A:$A,Vitezistii!$B71,Data!$C:$C,Vitezistii!G$1),0)</f>
        <v>1.5</v>
      </c>
      <c r="H71" s="31">
        <f>IFERROR(IF(SUMIFS(Data!$K:$K,Data!$A:$A,Vitezistii!$B71,Data!$C:$C,Vitezistii!H$1)=0," ",SUMIFS(Data!$K:$K,Data!$A:$A,Vitezistii!$B71,Data!$C:$C,Vitezistii!H$1))+SUMIFS(Data!$S:$S,Data!$A:$A,Vitezistii!$B71,Data!$C:$C,Vitezistii!H$1),0)</f>
        <v>0.75</v>
      </c>
      <c r="I71" s="31">
        <f>IFERROR(IF(SUMIFS(Data!$K:$K,Data!$A:$A,Vitezistii!$B71,Data!$C:$C,Vitezistii!I$1)=0," ",SUMIFS(Data!$K:$K,Data!$A:$A,Vitezistii!$B71,Data!$C:$C,Vitezistii!I$1))+SUMIFS(Data!$S:$S,Data!$A:$A,Vitezistii!$B71,Data!$C:$C,Vitezistii!I$1),0)</f>
        <v>0</v>
      </c>
      <c r="J71" s="31">
        <f>IFERROR(IF(SUMIFS(Data!$K:$K,Data!$A:$A,Vitezistii!$B71,Data!$C:$C,Vitezistii!J$1)=0," ",SUMIFS(Data!$K:$K,Data!$A:$A,Vitezistii!$B71,Data!$C:$C,Vitezistii!J$1))+SUMIFS(Data!$S:$S,Data!$A:$A,Vitezistii!$B71,Data!$C:$C,Vitezistii!J$1),0)</f>
        <v>1</v>
      </c>
      <c r="K71" s="31">
        <f>IFERROR(IF(SUMIFS(Data!$K:$K,Data!$A:$A,Vitezistii!$B71,Data!$C:$C,Vitezistii!K$1)=0," ",SUMIFS(Data!$K:$K,Data!$A:$A,Vitezistii!$B71,Data!$C:$C,Vitezistii!K$1))+SUMIFS(Data!$S:$S,Data!$A:$A,Vitezistii!$B71,Data!$C:$C,Vitezistii!K$1),0)</f>
        <v>2</v>
      </c>
      <c r="L71" s="31">
        <f>IFERROR(IF(SUMIFS(Data!$K:$K,Data!$A:$A,Vitezistii!$B71,Data!$C:$C,Vitezistii!L$1)=0," ",SUMIFS(Data!$K:$K,Data!$A:$A,Vitezistii!$B71,Data!$C:$C,Vitezistii!L$1))+SUMIFS(Data!$S:$S,Data!$A:$A,Vitezistii!$B71,Data!$C:$C,Vitezistii!L$1),0)</f>
        <v>0</v>
      </c>
      <c r="M71" s="31">
        <f>IFERROR(IF(SUMIFS(Data!$K:$K,Data!$A:$A,Vitezistii!$B71,Data!$C:$C,Vitezistii!M$1)=0," ",SUMIFS(Data!$K:$K,Data!$A:$A,Vitezistii!$B71,Data!$C:$C,Vitezistii!M$1))+SUMIFS(Data!$S:$S,Data!$A:$A,Vitezistii!$B71,Data!$C:$C,Vitezistii!M$1),0)</f>
        <v>0</v>
      </c>
      <c r="N71" s="31">
        <f>IFERROR(IF(SUMIFS(Data!$K:$K,Data!$A:$A,Vitezistii!$B71,Data!$C:$C,Vitezistii!N$1)=0," ",SUMIFS(Data!$K:$K,Data!$A:$A,Vitezistii!$B71,Data!$C:$C,Vitezistii!N$1))+SUMIFS(Data!$S:$S,Data!$A:$A,Vitezistii!$B71,Data!$C:$C,Vitezistii!N$1),0)</f>
        <v>0</v>
      </c>
      <c r="O71" s="31">
        <f>IFERROR(IF(SUMIFS(Data!$K:$K,Data!$A:$A,Vitezistii!$B71,Data!$C:$C,Vitezistii!O$1)=0," ",SUMIFS(Data!$K:$K,Data!$A:$A,Vitezistii!$B71,Data!$C:$C,Vitezistii!O$1))+SUMIFS(Data!$S:$S,Data!$A:$A,Vitezistii!$B71,Data!$C:$C,Vitezistii!O$1),0)</f>
        <v>0</v>
      </c>
      <c r="P71" s="31">
        <f>IFERROR(IF(SUMIFS(Data!$K:$K,Data!$A:$A,Vitezistii!$B71,Data!$C:$C,Vitezistii!P$1)=0," ",SUMIFS(Data!$K:$K,Data!$A:$A,Vitezistii!$B71,Data!$C:$C,Vitezistii!P$1))+SUMIFS(Data!$S:$S,Data!$A:$A,Vitezistii!$B71,Data!$C:$C,Vitezistii!P$1),0)</f>
        <v>0</v>
      </c>
      <c r="Q71" s="31">
        <f>IFERROR(IF(SUMIFS(Data!$K:$K,Data!$A:$A,Vitezistii!$B71,Data!$C:$C,Vitezistii!Q$1)=0," ",SUMIFS(Data!$K:$K,Data!$A:$A,Vitezistii!$B71,Data!$C:$C,Vitezistii!Q$1))+SUMIFS(Data!$S:$S,Data!$A:$A,Vitezistii!$B71,Data!$C:$C,Vitezistii!Q$1),0)</f>
        <v>0</v>
      </c>
      <c r="R71" s="31">
        <f>SUM(C71:Q71)</f>
        <v>12.5</v>
      </c>
      <c r="S71" s="31">
        <f>SUMIFS(Data!D:D,Data!A:A,Vitezistii!B131)</f>
        <v>0</v>
      </c>
      <c r="T71" s="12">
        <f>SUMIFS(Data!I:I,Data!A:A,Vitezistii!B71)/COUNTIF(Data!A:A,Vitezistii!B71)</f>
        <v>4.0668271465970672E-3</v>
      </c>
    </row>
    <row r="72" spans="1:20" ht="13" x14ac:dyDescent="0.3">
      <c r="A72" s="79">
        <v>71</v>
      </c>
      <c r="B72" s="30" t="s">
        <v>245</v>
      </c>
      <c r="C72" s="31">
        <f>IFERROR(IF(SUMIFS(Data!$K:$K,Data!$A:$A,Vitezistii!$B72,Data!$C:$C,Vitezistii!C$1)=0," ",SUMIFS(Data!$K:$K,Data!$A:$A,Vitezistii!$B72,Data!$C:$C,Vitezistii!C$1))+SUMIFS(Data!$S:$S,Data!$A:$A,Vitezistii!$B72,Data!$C:$C,Vitezistii!C$1),0)</f>
        <v>3.5</v>
      </c>
      <c r="D72" s="31">
        <f>IFERROR(IF(SUMIFS(Data!$K:$K,Data!$A:$A,Vitezistii!$B72,Data!$C:$C,Vitezistii!D$1)=0," ",SUMIFS(Data!$K:$K,Data!$A:$A,Vitezistii!$B72,Data!$C:$C,Vitezistii!D$1))+SUMIFS(Data!$S:$S,Data!$A:$A,Vitezistii!$B72,Data!$C:$C,Vitezistii!D$1),0)</f>
        <v>3</v>
      </c>
      <c r="E72" s="31">
        <f>IFERROR(IF(SUMIFS(Data!$K:$K,Data!$A:$A,Vitezistii!$B72,Data!$C:$C,Vitezistii!E$1)=0," ",SUMIFS(Data!$K:$K,Data!$A:$A,Vitezistii!$B72,Data!$C:$C,Vitezistii!E$1))+SUMIFS(Data!$S:$S,Data!$A:$A,Vitezistii!$B72,Data!$C:$C,Vitezistii!E$1),0)</f>
        <v>0</v>
      </c>
      <c r="F72" s="31">
        <f>IFERROR(IF(SUMIFS(Data!$K:$K,Data!$A:$A,Vitezistii!$B72,Data!$C:$C,Vitezistii!F$1)=0," ",SUMIFS(Data!$K:$K,Data!$A:$A,Vitezistii!$B72,Data!$C:$C,Vitezistii!F$1))+SUMIFS(Data!$S:$S,Data!$A:$A,Vitezistii!$B72,Data!$C:$C,Vitezistii!F$1),0)</f>
        <v>1.75</v>
      </c>
      <c r="G72" s="31">
        <f>IFERROR(IF(SUMIFS(Data!$K:$K,Data!$A:$A,Vitezistii!$B72,Data!$C:$C,Vitezistii!G$1)=0," ",SUMIFS(Data!$K:$K,Data!$A:$A,Vitezistii!$B72,Data!$C:$C,Vitezistii!G$1))+SUMIFS(Data!$S:$S,Data!$A:$A,Vitezistii!$B72,Data!$C:$C,Vitezistii!G$1),0)</f>
        <v>0</v>
      </c>
      <c r="H72" s="31">
        <f>IFERROR(IF(SUMIFS(Data!$K:$K,Data!$A:$A,Vitezistii!$B72,Data!$C:$C,Vitezistii!H$1)=0," ",SUMIFS(Data!$K:$K,Data!$A:$A,Vitezistii!$B72,Data!$C:$C,Vitezistii!H$1))+SUMIFS(Data!$S:$S,Data!$A:$A,Vitezistii!$B72,Data!$C:$C,Vitezistii!H$1),0)</f>
        <v>1</v>
      </c>
      <c r="I72" s="31">
        <f>IFERROR(IF(SUMIFS(Data!$K:$K,Data!$A:$A,Vitezistii!$B72,Data!$C:$C,Vitezistii!I$1)=0," ",SUMIFS(Data!$K:$K,Data!$A:$A,Vitezistii!$B72,Data!$C:$C,Vitezistii!I$1))+SUMIFS(Data!$S:$S,Data!$A:$A,Vitezistii!$B72,Data!$C:$C,Vitezistii!I$1),0)</f>
        <v>0</v>
      </c>
      <c r="J72" s="31">
        <f>IFERROR(IF(SUMIFS(Data!$K:$K,Data!$A:$A,Vitezistii!$B72,Data!$C:$C,Vitezistii!J$1)=0," ",SUMIFS(Data!$K:$K,Data!$A:$A,Vitezistii!$B72,Data!$C:$C,Vitezistii!J$1))+SUMIFS(Data!$S:$S,Data!$A:$A,Vitezistii!$B72,Data!$C:$C,Vitezistii!J$1),0)</f>
        <v>3</v>
      </c>
      <c r="K72" s="31">
        <f>IFERROR(IF(SUMIFS(Data!$K:$K,Data!$A:$A,Vitezistii!$B72,Data!$C:$C,Vitezistii!K$1)=0," ",SUMIFS(Data!$K:$K,Data!$A:$A,Vitezistii!$B72,Data!$C:$C,Vitezistii!K$1))+SUMIFS(Data!$S:$S,Data!$A:$A,Vitezistii!$B72,Data!$C:$C,Vitezistii!K$1),0)</f>
        <v>0</v>
      </c>
      <c r="L72" s="31">
        <f>IFERROR(IF(SUMIFS(Data!$K:$K,Data!$A:$A,Vitezistii!$B72,Data!$C:$C,Vitezistii!L$1)=0," ",SUMIFS(Data!$K:$K,Data!$A:$A,Vitezistii!$B72,Data!$C:$C,Vitezistii!L$1))+SUMIFS(Data!$S:$S,Data!$A:$A,Vitezistii!$B72,Data!$C:$C,Vitezistii!L$1),0)</f>
        <v>0</v>
      </c>
      <c r="M72" s="31">
        <f>IFERROR(IF(SUMIFS(Data!$K:$K,Data!$A:$A,Vitezistii!$B72,Data!$C:$C,Vitezistii!M$1)=0," ",SUMIFS(Data!$K:$K,Data!$A:$A,Vitezistii!$B72,Data!$C:$C,Vitezistii!M$1))+SUMIFS(Data!$S:$S,Data!$A:$A,Vitezistii!$B72,Data!$C:$C,Vitezistii!M$1),0)</f>
        <v>0</v>
      </c>
      <c r="N72" s="31">
        <f>IFERROR(IF(SUMIFS(Data!$K:$K,Data!$A:$A,Vitezistii!$B72,Data!$C:$C,Vitezistii!N$1)=0," ",SUMIFS(Data!$K:$K,Data!$A:$A,Vitezistii!$B72,Data!$C:$C,Vitezistii!N$1))+SUMIFS(Data!$S:$S,Data!$A:$A,Vitezistii!$B72,Data!$C:$C,Vitezistii!N$1),0)</f>
        <v>0</v>
      </c>
      <c r="O72" s="31">
        <f>IFERROR(IF(SUMIFS(Data!$K:$K,Data!$A:$A,Vitezistii!$B72,Data!$C:$C,Vitezistii!O$1)=0," ",SUMIFS(Data!$K:$K,Data!$A:$A,Vitezistii!$B72,Data!$C:$C,Vitezistii!O$1))+SUMIFS(Data!$S:$S,Data!$A:$A,Vitezistii!$B72,Data!$C:$C,Vitezistii!O$1),0)</f>
        <v>0</v>
      </c>
      <c r="P72" s="31">
        <f>IFERROR(IF(SUMIFS(Data!$K:$K,Data!$A:$A,Vitezistii!$B72,Data!$C:$C,Vitezistii!P$1)=0," ",SUMIFS(Data!$K:$K,Data!$A:$A,Vitezistii!$B72,Data!$C:$C,Vitezistii!P$1))+SUMIFS(Data!$S:$S,Data!$A:$A,Vitezistii!$B72,Data!$C:$C,Vitezistii!P$1),0)</f>
        <v>0</v>
      </c>
      <c r="Q72" s="31">
        <f>IFERROR(IF(SUMIFS(Data!$K:$K,Data!$A:$A,Vitezistii!$B72,Data!$C:$C,Vitezistii!Q$1)=0," ",SUMIFS(Data!$K:$K,Data!$A:$A,Vitezistii!$B72,Data!$C:$C,Vitezistii!Q$1))+SUMIFS(Data!$S:$S,Data!$A:$A,Vitezistii!$B72,Data!$C:$C,Vitezistii!Q$1),0)</f>
        <v>0</v>
      </c>
      <c r="R72" s="31">
        <f>SUM(C72:Q72)</f>
        <v>12.25</v>
      </c>
      <c r="S72" s="31">
        <f>SUMIFS(Data!D:D,Data!A:A,Vitezistii!B132)</f>
        <v>0</v>
      </c>
      <c r="T72" s="12">
        <f>SUMIFS(Data!I:I,Data!A:A,Vitezistii!B72)/COUNTIF(Data!A:A,Vitezistii!B72)</f>
        <v>3.4205202119563008E-3</v>
      </c>
    </row>
    <row r="73" spans="1:20" ht="13" x14ac:dyDescent="0.3">
      <c r="A73" s="79">
        <v>72</v>
      </c>
      <c r="B73" s="30" t="s">
        <v>340</v>
      </c>
      <c r="C73" s="31">
        <f>IFERROR(IF(SUMIFS(Data!$K:$K,Data!$A:$A,Vitezistii!$B73,Data!$C:$C,Vitezistii!C$1)=0," ",SUMIFS(Data!$K:$K,Data!$A:$A,Vitezistii!$B73,Data!$C:$C,Vitezistii!C$1))+SUMIFS(Data!$S:$S,Data!$A:$A,Vitezistii!$B73,Data!$C:$C,Vitezistii!C$1),0)</f>
        <v>1.75</v>
      </c>
      <c r="D73" s="31">
        <f>IFERROR(IF(SUMIFS(Data!$K:$K,Data!$A:$A,Vitezistii!$B73,Data!$C:$C,Vitezistii!D$1)=0," ",SUMIFS(Data!$K:$K,Data!$A:$A,Vitezistii!$B73,Data!$C:$C,Vitezistii!D$1))+SUMIFS(Data!$S:$S,Data!$A:$A,Vitezistii!$B73,Data!$C:$C,Vitezistii!D$1),0)</f>
        <v>2</v>
      </c>
      <c r="E73" s="31">
        <f>IFERROR(IF(SUMIFS(Data!$K:$K,Data!$A:$A,Vitezistii!$B73,Data!$C:$C,Vitezistii!E$1)=0," ",SUMIFS(Data!$K:$K,Data!$A:$A,Vitezistii!$B73,Data!$C:$C,Vitezistii!E$1))+SUMIFS(Data!$S:$S,Data!$A:$A,Vitezistii!$B73,Data!$C:$C,Vitezistii!E$1),0)</f>
        <v>2.5</v>
      </c>
      <c r="F73" s="31">
        <f>IFERROR(IF(SUMIFS(Data!$K:$K,Data!$A:$A,Vitezistii!$B73,Data!$C:$C,Vitezistii!F$1)=0," ",SUMIFS(Data!$K:$K,Data!$A:$A,Vitezistii!$B73,Data!$C:$C,Vitezistii!F$1))+SUMIFS(Data!$S:$S,Data!$A:$A,Vitezistii!$B73,Data!$C:$C,Vitezistii!F$1),0)</f>
        <v>1.75</v>
      </c>
      <c r="G73" s="31">
        <f>IFERROR(IF(SUMIFS(Data!$K:$K,Data!$A:$A,Vitezistii!$B73,Data!$C:$C,Vitezistii!G$1)=0," ",SUMIFS(Data!$K:$K,Data!$A:$A,Vitezistii!$B73,Data!$C:$C,Vitezistii!G$1))+SUMIFS(Data!$S:$S,Data!$A:$A,Vitezistii!$B73,Data!$C:$C,Vitezistii!G$1),0)</f>
        <v>2</v>
      </c>
      <c r="H73" s="31">
        <f>IFERROR(IF(SUMIFS(Data!$K:$K,Data!$A:$A,Vitezistii!$B73,Data!$C:$C,Vitezistii!H$1)=0," ",SUMIFS(Data!$K:$K,Data!$A:$A,Vitezistii!$B73,Data!$C:$C,Vitezistii!H$1))+SUMIFS(Data!$S:$S,Data!$A:$A,Vitezistii!$B73,Data!$C:$C,Vitezistii!H$1),0)</f>
        <v>2</v>
      </c>
      <c r="I73" s="31">
        <f>IFERROR(IF(SUMIFS(Data!$K:$K,Data!$A:$A,Vitezistii!$B73,Data!$C:$C,Vitezistii!I$1)=0," ",SUMIFS(Data!$K:$K,Data!$A:$A,Vitezistii!$B73,Data!$C:$C,Vitezistii!I$1))+SUMIFS(Data!$S:$S,Data!$A:$A,Vitezistii!$B73,Data!$C:$C,Vitezistii!I$1),0)</f>
        <v>0</v>
      </c>
      <c r="J73" s="31">
        <f>IFERROR(IF(SUMIFS(Data!$K:$K,Data!$A:$A,Vitezistii!$B73,Data!$C:$C,Vitezistii!J$1)=0," ",SUMIFS(Data!$K:$K,Data!$A:$A,Vitezistii!$B73,Data!$C:$C,Vitezistii!J$1))+SUMIFS(Data!$S:$S,Data!$A:$A,Vitezistii!$B73,Data!$C:$C,Vitezistii!J$1),0)</f>
        <v>0</v>
      </c>
      <c r="K73" s="31">
        <f>IFERROR(IF(SUMIFS(Data!$K:$K,Data!$A:$A,Vitezistii!$B73,Data!$C:$C,Vitezistii!K$1)=0," ",SUMIFS(Data!$K:$K,Data!$A:$A,Vitezistii!$B73,Data!$C:$C,Vitezistii!K$1))+SUMIFS(Data!$S:$S,Data!$A:$A,Vitezistii!$B73,Data!$C:$C,Vitezistii!K$1),0)</f>
        <v>0</v>
      </c>
      <c r="L73" s="31">
        <f>IFERROR(IF(SUMIFS(Data!$K:$K,Data!$A:$A,Vitezistii!$B73,Data!$C:$C,Vitezistii!L$1)=0," ",SUMIFS(Data!$K:$K,Data!$A:$A,Vitezistii!$B73,Data!$C:$C,Vitezistii!L$1))+SUMIFS(Data!$S:$S,Data!$A:$A,Vitezistii!$B73,Data!$C:$C,Vitezistii!L$1),0)</f>
        <v>0</v>
      </c>
      <c r="M73" s="31">
        <f>IFERROR(IF(SUMIFS(Data!$K:$K,Data!$A:$A,Vitezistii!$B73,Data!$C:$C,Vitezistii!M$1)=0," ",SUMIFS(Data!$K:$K,Data!$A:$A,Vitezistii!$B73,Data!$C:$C,Vitezistii!M$1))+SUMIFS(Data!$S:$S,Data!$A:$A,Vitezistii!$B73,Data!$C:$C,Vitezistii!M$1),0)</f>
        <v>0</v>
      </c>
      <c r="N73" s="31">
        <f>IFERROR(IF(SUMIFS(Data!$K:$K,Data!$A:$A,Vitezistii!$B73,Data!$C:$C,Vitezistii!N$1)=0," ",SUMIFS(Data!$K:$K,Data!$A:$A,Vitezistii!$B73,Data!$C:$C,Vitezistii!N$1))+SUMIFS(Data!$S:$S,Data!$A:$A,Vitezistii!$B73,Data!$C:$C,Vitezistii!N$1),0)</f>
        <v>0</v>
      </c>
      <c r="O73" s="31">
        <f>IFERROR(IF(SUMIFS(Data!$K:$K,Data!$A:$A,Vitezistii!$B73,Data!$C:$C,Vitezistii!O$1)=0," ",SUMIFS(Data!$K:$K,Data!$A:$A,Vitezistii!$B73,Data!$C:$C,Vitezistii!O$1))+SUMIFS(Data!$S:$S,Data!$A:$A,Vitezistii!$B73,Data!$C:$C,Vitezistii!O$1),0)</f>
        <v>0</v>
      </c>
      <c r="P73" s="31">
        <f>IFERROR(IF(SUMIFS(Data!$K:$K,Data!$A:$A,Vitezistii!$B73,Data!$C:$C,Vitezistii!P$1)=0," ",SUMIFS(Data!$K:$K,Data!$A:$A,Vitezistii!$B73,Data!$C:$C,Vitezistii!P$1))+SUMIFS(Data!$S:$S,Data!$A:$A,Vitezistii!$B73,Data!$C:$C,Vitezistii!P$1),0)</f>
        <v>0</v>
      </c>
      <c r="Q73" s="31">
        <f>IFERROR(IF(SUMIFS(Data!$K:$K,Data!$A:$A,Vitezistii!$B73,Data!$C:$C,Vitezistii!Q$1)=0," ",SUMIFS(Data!$K:$K,Data!$A:$A,Vitezistii!$B73,Data!$C:$C,Vitezistii!Q$1))+SUMIFS(Data!$S:$S,Data!$A:$A,Vitezistii!$B73,Data!$C:$C,Vitezistii!Q$1),0)</f>
        <v>0</v>
      </c>
      <c r="R73" s="31">
        <f>SUM(C73:Q73)</f>
        <v>12</v>
      </c>
      <c r="S73" s="31">
        <f>SUMIFS(Data!D:D,Data!A:A,Vitezistii!B133)</f>
        <v>0</v>
      </c>
      <c r="T73" s="12">
        <f>SUMIFS(Data!I:I,Data!A:A,Vitezistii!B73)/COUNTIF(Data!A:A,Vitezistii!B73)</f>
        <v>3.7637289372554968E-3</v>
      </c>
    </row>
    <row r="74" spans="1:20" ht="13" x14ac:dyDescent="0.3">
      <c r="A74" s="79">
        <v>73</v>
      </c>
      <c r="B74" s="30" t="s">
        <v>303</v>
      </c>
      <c r="C74" s="31">
        <f>IFERROR(IF(SUMIFS(Data!$K:$K,Data!$A:$A,Vitezistii!$B74,Data!$C:$C,Vitezistii!C$1)=0," ",SUMIFS(Data!$K:$K,Data!$A:$A,Vitezistii!$B74,Data!$C:$C,Vitezistii!C$1))+SUMIFS(Data!$S:$S,Data!$A:$A,Vitezistii!$B74,Data!$C:$C,Vitezistii!C$1),0)</f>
        <v>0.25</v>
      </c>
      <c r="D74" s="31">
        <f>IFERROR(IF(SUMIFS(Data!$K:$K,Data!$A:$A,Vitezistii!$B74,Data!$C:$C,Vitezistii!D$1)=0," ",SUMIFS(Data!$K:$K,Data!$A:$A,Vitezistii!$B74,Data!$C:$C,Vitezistii!D$1))+SUMIFS(Data!$S:$S,Data!$A:$A,Vitezistii!$B74,Data!$C:$C,Vitezistii!D$1),0)</f>
        <v>0.25</v>
      </c>
      <c r="E74" s="31">
        <f>IFERROR(IF(SUMIFS(Data!$K:$K,Data!$A:$A,Vitezistii!$B74,Data!$C:$C,Vitezistii!E$1)=0," ",SUMIFS(Data!$K:$K,Data!$A:$A,Vitezistii!$B74,Data!$C:$C,Vitezistii!E$1))+SUMIFS(Data!$S:$S,Data!$A:$A,Vitezistii!$B74,Data!$C:$C,Vitezistii!E$1),0)</f>
        <v>0.25</v>
      </c>
      <c r="F74" s="31">
        <f>IFERROR(IF(SUMIFS(Data!$K:$K,Data!$A:$A,Vitezistii!$B74,Data!$C:$C,Vitezistii!F$1)=0," ",SUMIFS(Data!$K:$K,Data!$A:$A,Vitezistii!$B74,Data!$C:$C,Vitezistii!F$1))+SUMIFS(Data!$S:$S,Data!$A:$A,Vitezistii!$B74,Data!$C:$C,Vitezistii!F$1),0)</f>
        <v>1.75</v>
      </c>
      <c r="G74" s="31">
        <f>IFERROR(IF(SUMIFS(Data!$K:$K,Data!$A:$A,Vitezistii!$B74,Data!$C:$C,Vitezistii!G$1)=0," ",SUMIFS(Data!$K:$K,Data!$A:$A,Vitezistii!$B74,Data!$C:$C,Vitezistii!G$1))+SUMIFS(Data!$S:$S,Data!$A:$A,Vitezistii!$B74,Data!$C:$C,Vitezistii!G$1),0)</f>
        <v>0.25</v>
      </c>
      <c r="H74" s="31">
        <f>IFERROR(IF(SUMIFS(Data!$K:$K,Data!$A:$A,Vitezistii!$B74,Data!$C:$C,Vitezistii!H$1)=0," ",SUMIFS(Data!$K:$K,Data!$A:$A,Vitezistii!$B74,Data!$C:$C,Vitezistii!H$1))+SUMIFS(Data!$S:$S,Data!$A:$A,Vitezistii!$B74,Data!$C:$C,Vitezistii!H$1),0)</f>
        <v>1.25</v>
      </c>
      <c r="I74" s="31">
        <f>IFERROR(IF(SUMIFS(Data!$K:$K,Data!$A:$A,Vitezistii!$B74,Data!$C:$C,Vitezistii!I$1)=0," ",SUMIFS(Data!$K:$K,Data!$A:$A,Vitezistii!$B74,Data!$C:$C,Vitezistii!I$1))+SUMIFS(Data!$S:$S,Data!$A:$A,Vitezistii!$B74,Data!$C:$C,Vitezistii!I$1),0)</f>
        <v>0.25</v>
      </c>
      <c r="J74" s="31">
        <f>IFERROR(IF(SUMIFS(Data!$K:$K,Data!$A:$A,Vitezistii!$B74,Data!$C:$C,Vitezistii!J$1)=0," ",SUMIFS(Data!$K:$K,Data!$A:$A,Vitezistii!$B74,Data!$C:$C,Vitezistii!J$1))+SUMIFS(Data!$S:$S,Data!$A:$A,Vitezistii!$B74,Data!$C:$C,Vitezistii!J$1),0)</f>
        <v>0.25</v>
      </c>
      <c r="K74" s="31">
        <f>IFERROR(IF(SUMIFS(Data!$K:$K,Data!$A:$A,Vitezistii!$B74,Data!$C:$C,Vitezistii!K$1)=0," ",SUMIFS(Data!$K:$K,Data!$A:$A,Vitezistii!$B74,Data!$C:$C,Vitezistii!K$1))+SUMIFS(Data!$S:$S,Data!$A:$A,Vitezistii!$B74,Data!$C:$C,Vitezistii!K$1),0)</f>
        <v>0.25</v>
      </c>
      <c r="L74" s="31">
        <f>IFERROR(IF(SUMIFS(Data!$K:$K,Data!$A:$A,Vitezistii!$B74,Data!$C:$C,Vitezistii!L$1)=0," ",SUMIFS(Data!$K:$K,Data!$A:$A,Vitezistii!$B74,Data!$C:$C,Vitezistii!L$1))+SUMIFS(Data!$S:$S,Data!$A:$A,Vitezistii!$B74,Data!$C:$C,Vitezistii!L$1),0)</f>
        <v>1.75</v>
      </c>
      <c r="M74" s="31">
        <f>IFERROR(IF(SUMIFS(Data!$K:$K,Data!$A:$A,Vitezistii!$B74,Data!$C:$C,Vitezistii!M$1)=0," ",SUMIFS(Data!$K:$K,Data!$A:$A,Vitezistii!$B74,Data!$C:$C,Vitezistii!M$1))+SUMIFS(Data!$S:$S,Data!$A:$A,Vitezistii!$B74,Data!$C:$C,Vitezistii!M$1),0)</f>
        <v>0.25</v>
      </c>
      <c r="N74" s="31">
        <f>IFERROR(IF(SUMIFS(Data!$K:$K,Data!$A:$A,Vitezistii!$B74,Data!$C:$C,Vitezistii!N$1)=0," ",SUMIFS(Data!$K:$K,Data!$A:$A,Vitezistii!$B74,Data!$C:$C,Vitezistii!N$1))+SUMIFS(Data!$S:$S,Data!$A:$A,Vitezistii!$B74,Data!$C:$C,Vitezistii!N$1),0)</f>
        <v>2</v>
      </c>
      <c r="O74" s="31">
        <f>IFERROR(IF(SUMIFS(Data!$K:$K,Data!$A:$A,Vitezistii!$B74,Data!$C:$C,Vitezistii!O$1)=0," ",SUMIFS(Data!$K:$K,Data!$A:$A,Vitezistii!$B74,Data!$C:$C,Vitezistii!O$1))+SUMIFS(Data!$S:$S,Data!$A:$A,Vitezistii!$B74,Data!$C:$C,Vitezistii!O$1),0)</f>
        <v>0.5</v>
      </c>
      <c r="P74" s="31">
        <f>IFERROR(IF(SUMIFS(Data!$K:$K,Data!$A:$A,Vitezistii!$B74,Data!$C:$C,Vitezistii!P$1)=0," ",SUMIFS(Data!$K:$K,Data!$A:$A,Vitezistii!$B74,Data!$C:$C,Vitezistii!P$1))+SUMIFS(Data!$S:$S,Data!$A:$A,Vitezistii!$B74,Data!$C:$C,Vitezistii!P$1),0)</f>
        <v>1.75</v>
      </c>
      <c r="Q74" s="31">
        <f>IFERROR(IF(SUMIFS(Data!$K:$K,Data!$A:$A,Vitezistii!$B74,Data!$C:$C,Vitezistii!Q$1)=0," ",SUMIFS(Data!$K:$K,Data!$A:$A,Vitezistii!$B74,Data!$C:$C,Vitezistii!Q$1))+SUMIFS(Data!$S:$S,Data!$A:$A,Vitezistii!$B74,Data!$C:$C,Vitezistii!Q$1),0)</f>
        <v>1</v>
      </c>
      <c r="R74" s="31">
        <f>SUM(C74:Q74)</f>
        <v>12</v>
      </c>
      <c r="S74" s="31">
        <f>SUMIFS(Data!D:D,Data!A:A,Vitezistii!B134)</f>
        <v>0</v>
      </c>
      <c r="T74" s="12">
        <f>SUMIFS(Data!I:I,Data!A:A,Vitezistii!B74)/COUNTIF(Data!A:A,Vitezistii!B74)</f>
        <v>5.0951311903604628E-3</v>
      </c>
    </row>
    <row r="75" spans="1:20" ht="13" x14ac:dyDescent="0.3">
      <c r="A75" s="79">
        <v>74</v>
      </c>
      <c r="B75" s="79" t="s">
        <v>483</v>
      </c>
      <c r="C75" s="31">
        <f>IFERROR(IF(SUMIFS(Data!$K:$K,Data!$A:$A,Vitezistii!$B75,Data!$C:$C,Vitezistii!C$1)=0," ",SUMIFS(Data!$K:$K,Data!$A:$A,Vitezistii!$B75,Data!$C:$C,Vitezistii!C$1))+SUMIFS(Data!$S:$S,Data!$A:$A,Vitezistii!$B75,Data!$C:$C,Vitezistii!C$1),0)</f>
        <v>0</v>
      </c>
      <c r="D75" s="31">
        <f>IFERROR(IF(SUMIFS(Data!$K:$K,Data!$A:$A,Vitezistii!$B75,Data!$C:$C,Vitezistii!D$1)=0," ",SUMIFS(Data!$K:$K,Data!$A:$A,Vitezistii!$B75,Data!$C:$C,Vitezistii!D$1))+SUMIFS(Data!$S:$S,Data!$A:$A,Vitezistii!$B75,Data!$C:$C,Vitezistii!D$1),0)</f>
        <v>0</v>
      </c>
      <c r="E75" s="31">
        <f>IFERROR(IF(SUMIFS(Data!$K:$K,Data!$A:$A,Vitezistii!$B75,Data!$C:$C,Vitezistii!E$1)=0," ",SUMIFS(Data!$K:$K,Data!$A:$A,Vitezistii!$B75,Data!$C:$C,Vitezistii!E$1))+SUMIFS(Data!$S:$S,Data!$A:$A,Vitezistii!$B75,Data!$C:$C,Vitezistii!E$1),0)</f>
        <v>0</v>
      </c>
      <c r="F75" s="31">
        <f>IFERROR(IF(SUMIFS(Data!$K:$K,Data!$A:$A,Vitezistii!$B75,Data!$C:$C,Vitezistii!F$1)=0," ",SUMIFS(Data!$K:$K,Data!$A:$A,Vitezistii!$B75,Data!$C:$C,Vitezistii!F$1))+SUMIFS(Data!$S:$S,Data!$A:$A,Vitezistii!$B75,Data!$C:$C,Vitezistii!F$1),0)</f>
        <v>0</v>
      </c>
      <c r="G75" s="31">
        <f>IFERROR(IF(SUMIFS(Data!$K:$K,Data!$A:$A,Vitezistii!$B75,Data!$C:$C,Vitezistii!G$1)=0," ",SUMIFS(Data!$K:$K,Data!$A:$A,Vitezistii!$B75,Data!$C:$C,Vitezistii!G$1))+SUMIFS(Data!$S:$S,Data!$A:$A,Vitezistii!$B75,Data!$C:$C,Vitezistii!G$1),0)</f>
        <v>0</v>
      </c>
      <c r="H75" s="31">
        <f>IFERROR(IF(SUMIFS(Data!$K:$K,Data!$A:$A,Vitezistii!$B75,Data!$C:$C,Vitezistii!H$1)=0," ",SUMIFS(Data!$K:$K,Data!$A:$A,Vitezistii!$B75,Data!$C:$C,Vitezistii!H$1))+SUMIFS(Data!$S:$S,Data!$A:$A,Vitezistii!$B75,Data!$C:$C,Vitezistii!H$1),0)</f>
        <v>0</v>
      </c>
      <c r="I75" s="31">
        <f>IFERROR(IF(SUMIFS(Data!$K:$K,Data!$A:$A,Vitezistii!$B75,Data!$C:$C,Vitezistii!I$1)=0," ",SUMIFS(Data!$K:$K,Data!$A:$A,Vitezistii!$B75,Data!$C:$C,Vitezistii!I$1))+SUMIFS(Data!$S:$S,Data!$A:$A,Vitezistii!$B75,Data!$C:$C,Vitezistii!I$1),0)</f>
        <v>0</v>
      </c>
      <c r="J75" s="31">
        <f>IFERROR(IF(SUMIFS(Data!$K:$K,Data!$A:$A,Vitezistii!$B75,Data!$C:$C,Vitezistii!J$1)=0," ",SUMIFS(Data!$K:$K,Data!$A:$A,Vitezistii!$B75,Data!$C:$C,Vitezistii!J$1))+SUMIFS(Data!$S:$S,Data!$A:$A,Vitezistii!$B75,Data!$C:$C,Vitezistii!J$1),0)</f>
        <v>0</v>
      </c>
      <c r="K75" s="31">
        <f>IFERROR(IF(SUMIFS(Data!$K:$K,Data!$A:$A,Vitezistii!$B75,Data!$C:$C,Vitezistii!K$1)=0," ",SUMIFS(Data!$K:$K,Data!$A:$A,Vitezistii!$B75,Data!$C:$C,Vitezistii!K$1))+SUMIFS(Data!$S:$S,Data!$A:$A,Vitezistii!$B75,Data!$C:$C,Vitezistii!K$1),0)</f>
        <v>1.25</v>
      </c>
      <c r="L75" s="31">
        <f>IFERROR(IF(SUMIFS(Data!$K:$K,Data!$A:$A,Vitezistii!$B75,Data!$C:$C,Vitezistii!L$1)=0," ",SUMIFS(Data!$K:$K,Data!$A:$A,Vitezistii!$B75,Data!$C:$C,Vitezistii!L$1))+SUMIFS(Data!$S:$S,Data!$A:$A,Vitezistii!$B75,Data!$C:$C,Vitezistii!L$1),0)</f>
        <v>1</v>
      </c>
      <c r="M75" s="31">
        <f>IFERROR(IF(SUMIFS(Data!$K:$K,Data!$A:$A,Vitezistii!$B75,Data!$C:$C,Vitezistii!M$1)=0," ",SUMIFS(Data!$K:$K,Data!$A:$A,Vitezistii!$B75,Data!$C:$C,Vitezistii!M$1))+SUMIFS(Data!$S:$S,Data!$A:$A,Vitezistii!$B75,Data!$C:$C,Vitezistii!M$1),0)</f>
        <v>0</v>
      </c>
      <c r="N75" s="31">
        <f>IFERROR(IF(SUMIFS(Data!$K:$K,Data!$A:$A,Vitezistii!$B75,Data!$C:$C,Vitezistii!N$1)=0," ",SUMIFS(Data!$K:$K,Data!$A:$A,Vitezistii!$B75,Data!$C:$C,Vitezistii!N$1))+SUMIFS(Data!$S:$S,Data!$A:$A,Vitezistii!$B75,Data!$C:$C,Vitezistii!N$1),0)</f>
        <v>2</v>
      </c>
      <c r="O75" s="31">
        <f>IFERROR(IF(SUMIFS(Data!$K:$K,Data!$A:$A,Vitezistii!$B75,Data!$C:$C,Vitezistii!O$1)=0," ",SUMIFS(Data!$K:$K,Data!$A:$A,Vitezistii!$B75,Data!$C:$C,Vitezistii!O$1))+SUMIFS(Data!$S:$S,Data!$A:$A,Vitezistii!$B75,Data!$C:$C,Vitezistii!O$1),0)</f>
        <v>2.5</v>
      </c>
      <c r="P75" s="31">
        <f>IFERROR(IF(SUMIFS(Data!$K:$K,Data!$A:$A,Vitezistii!$B75,Data!$C:$C,Vitezistii!P$1)=0," ",SUMIFS(Data!$K:$K,Data!$A:$A,Vitezistii!$B75,Data!$C:$C,Vitezistii!P$1))+SUMIFS(Data!$S:$S,Data!$A:$A,Vitezistii!$B75,Data!$C:$C,Vitezistii!P$1),0)</f>
        <v>3</v>
      </c>
      <c r="Q75" s="31">
        <f>IFERROR(IF(SUMIFS(Data!$K:$K,Data!$A:$A,Vitezistii!$B75,Data!$C:$C,Vitezistii!Q$1)=0," ",SUMIFS(Data!$K:$K,Data!$A:$A,Vitezistii!$B75,Data!$C:$C,Vitezistii!Q$1))+SUMIFS(Data!$S:$S,Data!$A:$A,Vitezistii!$B75,Data!$C:$C,Vitezistii!Q$1),0)</f>
        <v>2</v>
      </c>
      <c r="R75" s="31">
        <f>SUM(C75:Q75)</f>
        <v>11.75</v>
      </c>
      <c r="S75" s="31">
        <f>SUMIFS(Data!D:D,Data!A:A,Vitezistii!B135)</f>
        <v>0</v>
      </c>
      <c r="T75" s="12">
        <f>SUMIFS(Data!I:I,Data!A:A,Vitezistii!B75)/COUNTIF(Data!A:A,Vitezistii!B75)</f>
        <v>3.82289274468327E-3</v>
      </c>
    </row>
    <row r="76" spans="1:20" ht="13" x14ac:dyDescent="0.3">
      <c r="A76" s="79">
        <v>75</v>
      </c>
      <c r="B76" s="30" t="s">
        <v>48</v>
      </c>
      <c r="C76" s="31">
        <f>IFERROR(IF(SUMIFS(Data!$K:$K,Data!$A:$A,Vitezistii!$B76,Data!$C:$C,Vitezistii!C$1)=0," ",SUMIFS(Data!$K:$K,Data!$A:$A,Vitezistii!$B76,Data!$C:$C,Vitezistii!C$1))+SUMIFS(Data!$S:$S,Data!$A:$A,Vitezistii!$B76,Data!$C:$C,Vitezistii!C$1),0)</f>
        <v>0.5</v>
      </c>
      <c r="D76" s="31">
        <f>IFERROR(IF(SUMIFS(Data!$K:$K,Data!$A:$A,Vitezistii!$B76,Data!$C:$C,Vitezistii!D$1)=0," ",SUMIFS(Data!$K:$K,Data!$A:$A,Vitezistii!$B76,Data!$C:$C,Vitezistii!D$1))+SUMIFS(Data!$S:$S,Data!$A:$A,Vitezistii!$B76,Data!$C:$C,Vitezistii!D$1),0)</f>
        <v>0.25</v>
      </c>
      <c r="E76" s="31">
        <f>IFERROR(IF(SUMIFS(Data!$K:$K,Data!$A:$A,Vitezistii!$B76,Data!$C:$C,Vitezistii!E$1)=0," ",SUMIFS(Data!$K:$K,Data!$A:$A,Vitezistii!$B76,Data!$C:$C,Vitezistii!E$1))+SUMIFS(Data!$S:$S,Data!$A:$A,Vitezistii!$B76,Data!$C:$C,Vitezistii!E$1),0)</f>
        <v>1</v>
      </c>
      <c r="F76" s="31">
        <f>IFERROR(IF(SUMIFS(Data!$K:$K,Data!$A:$A,Vitezistii!$B76,Data!$C:$C,Vitezistii!F$1)=0," ",SUMIFS(Data!$K:$K,Data!$A:$A,Vitezistii!$B76,Data!$C:$C,Vitezistii!F$1))+SUMIFS(Data!$S:$S,Data!$A:$A,Vitezistii!$B76,Data!$C:$C,Vitezistii!F$1),0)</f>
        <v>0.25</v>
      </c>
      <c r="G76" s="31">
        <f>IFERROR(IF(SUMIFS(Data!$K:$K,Data!$A:$A,Vitezistii!$B76,Data!$C:$C,Vitezistii!G$1)=0," ",SUMIFS(Data!$K:$K,Data!$A:$A,Vitezistii!$B76,Data!$C:$C,Vitezistii!G$1))+SUMIFS(Data!$S:$S,Data!$A:$A,Vitezistii!$B76,Data!$C:$C,Vitezistii!G$1),0)</f>
        <v>1</v>
      </c>
      <c r="H76" s="31">
        <f>IFERROR(IF(SUMIFS(Data!$K:$K,Data!$A:$A,Vitezistii!$B76,Data!$C:$C,Vitezistii!H$1)=0," ",SUMIFS(Data!$K:$K,Data!$A:$A,Vitezistii!$B76,Data!$C:$C,Vitezistii!H$1))+SUMIFS(Data!$S:$S,Data!$A:$A,Vitezistii!$B76,Data!$C:$C,Vitezistii!H$1),0)</f>
        <v>0.25</v>
      </c>
      <c r="I76" s="31">
        <f>IFERROR(IF(SUMIFS(Data!$K:$K,Data!$A:$A,Vitezistii!$B76,Data!$C:$C,Vitezistii!I$1)=0," ",SUMIFS(Data!$K:$K,Data!$A:$A,Vitezistii!$B76,Data!$C:$C,Vitezistii!I$1))+SUMIFS(Data!$S:$S,Data!$A:$A,Vitezistii!$B76,Data!$C:$C,Vitezistii!I$1),0)</f>
        <v>1.25</v>
      </c>
      <c r="J76" s="31">
        <f>IFERROR(IF(SUMIFS(Data!$K:$K,Data!$A:$A,Vitezistii!$B76,Data!$C:$C,Vitezistii!J$1)=0," ",SUMIFS(Data!$K:$K,Data!$A:$A,Vitezistii!$B76,Data!$C:$C,Vitezistii!J$1))+SUMIFS(Data!$S:$S,Data!$A:$A,Vitezistii!$B76,Data!$C:$C,Vitezistii!J$1),0)</f>
        <v>1.25</v>
      </c>
      <c r="K76" s="31">
        <f>IFERROR(IF(SUMIFS(Data!$K:$K,Data!$A:$A,Vitezistii!$B76,Data!$C:$C,Vitezistii!K$1)=0," ",SUMIFS(Data!$K:$K,Data!$A:$A,Vitezistii!$B76,Data!$C:$C,Vitezistii!K$1))+SUMIFS(Data!$S:$S,Data!$A:$A,Vitezistii!$B76,Data!$C:$C,Vitezistii!K$1),0)</f>
        <v>0.75</v>
      </c>
      <c r="L76" s="31">
        <f>IFERROR(IF(SUMIFS(Data!$K:$K,Data!$A:$A,Vitezistii!$B76,Data!$C:$C,Vitezistii!L$1)=0," ",SUMIFS(Data!$K:$K,Data!$A:$A,Vitezistii!$B76,Data!$C:$C,Vitezistii!L$1))+SUMIFS(Data!$S:$S,Data!$A:$A,Vitezistii!$B76,Data!$C:$C,Vitezistii!L$1),0)</f>
        <v>0.25</v>
      </c>
      <c r="M76" s="31">
        <f>IFERROR(IF(SUMIFS(Data!$K:$K,Data!$A:$A,Vitezistii!$B76,Data!$C:$C,Vitezistii!M$1)=0," ",SUMIFS(Data!$K:$K,Data!$A:$A,Vitezistii!$B76,Data!$C:$C,Vitezistii!M$1))+SUMIFS(Data!$S:$S,Data!$A:$A,Vitezistii!$B76,Data!$C:$C,Vitezistii!M$1),0)</f>
        <v>1.25</v>
      </c>
      <c r="N76" s="31">
        <f>IFERROR(IF(SUMIFS(Data!$K:$K,Data!$A:$A,Vitezistii!$B76,Data!$C:$C,Vitezistii!N$1)=0," ",SUMIFS(Data!$K:$K,Data!$A:$A,Vitezistii!$B76,Data!$C:$C,Vitezistii!N$1))+SUMIFS(Data!$S:$S,Data!$A:$A,Vitezistii!$B76,Data!$C:$C,Vitezistii!N$1),0)</f>
        <v>0.25</v>
      </c>
      <c r="O76" s="31">
        <f>IFERROR(IF(SUMIFS(Data!$K:$K,Data!$A:$A,Vitezistii!$B76,Data!$C:$C,Vitezistii!O$1)=0," ",SUMIFS(Data!$K:$K,Data!$A:$A,Vitezistii!$B76,Data!$C:$C,Vitezistii!O$1))+SUMIFS(Data!$S:$S,Data!$A:$A,Vitezistii!$B76,Data!$C:$C,Vitezistii!O$1),0)</f>
        <v>0.25</v>
      </c>
      <c r="P76" s="31">
        <f>IFERROR(IF(SUMIFS(Data!$K:$K,Data!$A:$A,Vitezistii!$B76,Data!$C:$C,Vitezistii!P$1)=0," ",SUMIFS(Data!$K:$K,Data!$A:$A,Vitezistii!$B76,Data!$C:$C,Vitezistii!P$1))+SUMIFS(Data!$S:$S,Data!$A:$A,Vitezistii!$B76,Data!$C:$C,Vitezistii!P$1),0)</f>
        <v>0</v>
      </c>
      <c r="Q76" s="31">
        <f>IFERROR(IF(SUMIFS(Data!$K:$K,Data!$A:$A,Vitezistii!$B76,Data!$C:$C,Vitezistii!Q$1)=0," ",SUMIFS(Data!$K:$K,Data!$A:$A,Vitezistii!$B76,Data!$C:$C,Vitezistii!Q$1))+SUMIFS(Data!$S:$S,Data!$A:$A,Vitezistii!$B76,Data!$C:$C,Vitezistii!Q$1),0)</f>
        <v>3</v>
      </c>
      <c r="R76" s="31">
        <f>SUM(C76:Q76)</f>
        <v>11.5</v>
      </c>
      <c r="S76" s="31">
        <f>SUMIFS(Data!D:D,Data!A:A,Vitezistii!B136)</f>
        <v>0</v>
      </c>
      <c r="T76" s="12">
        <f>SUMIFS(Data!I:I,Data!A:A,Vitezistii!B76)/COUNTIF(Data!A:A,Vitezistii!B76)</f>
        <v>4.7447208964683909E-3</v>
      </c>
    </row>
    <row r="77" spans="1:20" ht="13" x14ac:dyDescent="0.3">
      <c r="A77" s="79">
        <v>76</v>
      </c>
      <c r="B77" s="30" t="s">
        <v>226</v>
      </c>
      <c r="C77" s="31">
        <f>IFERROR(IF(SUMIFS(Data!$K:$K,Data!$A:$A,Vitezistii!$B77,Data!$C:$C,Vitezistii!C$1)=0," ",SUMIFS(Data!$K:$K,Data!$A:$A,Vitezistii!$B77,Data!$C:$C,Vitezistii!C$1))+SUMIFS(Data!$S:$S,Data!$A:$A,Vitezistii!$B77,Data!$C:$C,Vitezistii!C$1),0)</f>
        <v>0</v>
      </c>
      <c r="D77" s="31">
        <f>IFERROR(IF(SUMIFS(Data!$K:$K,Data!$A:$A,Vitezistii!$B77,Data!$C:$C,Vitezistii!D$1)=0," ",SUMIFS(Data!$K:$K,Data!$A:$A,Vitezistii!$B77,Data!$C:$C,Vitezistii!D$1))+SUMIFS(Data!$S:$S,Data!$A:$A,Vitezistii!$B77,Data!$C:$C,Vitezistii!D$1),0)</f>
        <v>0</v>
      </c>
      <c r="E77" s="31">
        <f>IFERROR(IF(SUMIFS(Data!$K:$K,Data!$A:$A,Vitezistii!$B77,Data!$C:$C,Vitezistii!E$1)=0," ",SUMIFS(Data!$K:$K,Data!$A:$A,Vitezistii!$B77,Data!$C:$C,Vitezistii!E$1))+SUMIFS(Data!$S:$S,Data!$A:$A,Vitezistii!$B77,Data!$C:$C,Vitezistii!E$1),0)</f>
        <v>0</v>
      </c>
      <c r="F77" s="31">
        <f>IFERROR(IF(SUMIFS(Data!$K:$K,Data!$A:$A,Vitezistii!$B77,Data!$C:$C,Vitezistii!F$1)=0," ",SUMIFS(Data!$K:$K,Data!$A:$A,Vitezistii!$B77,Data!$C:$C,Vitezistii!F$1))+SUMIFS(Data!$S:$S,Data!$A:$A,Vitezistii!$B77,Data!$C:$C,Vitezistii!F$1),0)</f>
        <v>0.5</v>
      </c>
      <c r="G77" s="31">
        <f>IFERROR(IF(SUMIFS(Data!$K:$K,Data!$A:$A,Vitezistii!$B77,Data!$C:$C,Vitezistii!G$1)=0," ",SUMIFS(Data!$K:$K,Data!$A:$A,Vitezistii!$B77,Data!$C:$C,Vitezistii!G$1))+SUMIFS(Data!$S:$S,Data!$A:$A,Vitezistii!$B77,Data!$C:$C,Vitezistii!G$1),0)</f>
        <v>1</v>
      </c>
      <c r="H77" s="31">
        <f>IFERROR(IF(SUMIFS(Data!$K:$K,Data!$A:$A,Vitezistii!$B77,Data!$C:$C,Vitezistii!H$1)=0," ",SUMIFS(Data!$K:$K,Data!$A:$A,Vitezistii!$B77,Data!$C:$C,Vitezistii!H$1))+SUMIFS(Data!$S:$S,Data!$A:$A,Vitezistii!$B77,Data!$C:$C,Vitezistii!H$1),0)</f>
        <v>1</v>
      </c>
      <c r="I77" s="31">
        <f>IFERROR(IF(SUMIFS(Data!$K:$K,Data!$A:$A,Vitezistii!$B77,Data!$C:$C,Vitezistii!I$1)=0," ",SUMIFS(Data!$K:$K,Data!$A:$A,Vitezistii!$B77,Data!$C:$C,Vitezistii!I$1))+SUMIFS(Data!$S:$S,Data!$A:$A,Vitezistii!$B77,Data!$C:$C,Vitezistii!I$1),0)</f>
        <v>0.75</v>
      </c>
      <c r="J77" s="31">
        <f>IFERROR(IF(SUMIFS(Data!$K:$K,Data!$A:$A,Vitezistii!$B77,Data!$C:$C,Vitezistii!J$1)=0," ",SUMIFS(Data!$K:$K,Data!$A:$A,Vitezistii!$B77,Data!$C:$C,Vitezistii!J$1))+SUMIFS(Data!$S:$S,Data!$A:$A,Vitezistii!$B77,Data!$C:$C,Vitezistii!J$1),0)</f>
        <v>4</v>
      </c>
      <c r="K77" s="31">
        <f>IFERROR(IF(SUMIFS(Data!$K:$K,Data!$A:$A,Vitezistii!$B77,Data!$C:$C,Vitezistii!K$1)=0," ",SUMIFS(Data!$K:$K,Data!$A:$A,Vitezistii!$B77,Data!$C:$C,Vitezistii!K$1))+SUMIFS(Data!$S:$S,Data!$A:$A,Vitezistii!$B77,Data!$C:$C,Vitezistii!K$1),0)</f>
        <v>1</v>
      </c>
      <c r="L77" s="31">
        <f>IFERROR(IF(SUMIFS(Data!$K:$K,Data!$A:$A,Vitezistii!$B77,Data!$C:$C,Vitezistii!L$1)=0," ",SUMIFS(Data!$K:$K,Data!$A:$A,Vitezistii!$B77,Data!$C:$C,Vitezistii!L$1))+SUMIFS(Data!$S:$S,Data!$A:$A,Vitezistii!$B77,Data!$C:$C,Vitezistii!L$1),0)</f>
        <v>0.75</v>
      </c>
      <c r="M77" s="31">
        <f>IFERROR(IF(SUMIFS(Data!$K:$K,Data!$A:$A,Vitezistii!$B77,Data!$C:$C,Vitezistii!M$1)=0," ",SUMIFS(Data!$K:$K,Data!$A:$A,Vitezistii!$B77,Data!$C:$C,Vitezistii!M$1))+SUMIFS(Data!$S:$S,Data!$A:$A,Vitezistii!$B77,Data!$C:$C,Vitezistii!M$1),0)</f>
        <v>0</v>
      </c>
      <c r="N77" s="31">
        <f>IFERROR(IF(SUMIFS(Data!$K:$K,Data!$A:$A,Vitezistii!$B77,Data!$C:$C,Vitezistii!N$1)=0," ",SUMIFS(Data!$K:$K,Data!$A:$A,Vitezistii!$B77,Data!$C:$C,Vitezistii!N$1))+SUMIFS(Data!$S:$S,Data!$A:$A,Vitezistii!$B77,Data!$C:$C,Vitezistii!N$1),0)</f>
        <v>0</v>
      </c>
      <c r="O77" s="31">
        <f>IFERROR(IF(SUMIFS(Data!$K:$K,Data!$A:$A,Vitezistii!$B77,Data!$C:$C,Vitezistii!O$1)=0," ",SUMIFS(Data!$K:$K,Data!$A:$A,Vitezistii!$B77,Data!$C:$C,Vitezistii!O$1))+SUMIFS(Data!$S:$S,Data!$A:$A,Vitezistii!$B77,Data!$C:$C,Vitezistii!O$1),0)</f>
        <v>1.25</v>
      </c>
      <c r="P77" s="31">
        <f>IFERROR(IF(SUMIFS(Data!$K:$K,Data!$A:$A,Vitezistii!$B77,Data!$C:$C,Vitezistii!P$1)=0," ",SUMIFS(Data!$K:$K,Data!$A:$A,Vitezistii!$B77,Data!$C:$C,Vitezistii!P$1))+SUMIFS(Data!$S:$S,Data!$A:$A,Vitezistii!$B77,Data!$C:$C,Vitezistii!P$1),0)</f>
        <v>0</v>
      </c>
      <c r="Q77" s="31">
        <f>IFERROR(IF(SUMIFS(Data!$K:$K,Data!$A:$A,Vitezistii!$B77,Data!$C:$C,Vitezistii!Q$1)=0," ",SUMIFS(Data!$K:$K,Data!$A:$A,Vitezistii!$B77,Data!$C:$C,Vitezistii!Q$1))+SUMIFS(Data!$S:$S,Data!$A:$A,Vitezistii!$B77,Data!$C:$C,Vitezistii!Q$1),0)</f>
        <v>0.25</v>
      </c>
      <c r="R77" s="31">
        <f>SUM(C77:Q77)</f>
        <v>10.5</v>
      </c>
      <c r="S77" s="31">
        <f>SUMIFS(Data!D:D,Data!A:A,Vitezistii!B137)</f>
        <v>0</v>
      </c>
      <c r="T77" s="12">
        <f>SUMIFS(Data!I:I,Data!A:A,Vitezistii!B77)/COUNTIF(Data!A:A,Vitezistii!B77)</f>
        <v>4.1469477211832266E-3</v>
      </c>
    </row>
    <row r="78" spans="1:20" ht="13" x14ac:dyDescent="0.3">
      <c r="A78" s="79">
        <v>77</v>
      </c>
      <c r="B78" s="30" t="s">
        <v>396</v>
      </c>
      <c r="C78" s="31">
        <f>IFERROR(IF(SUMIFS(Data!$K:$K,Data!$A:$A,Vitezistii!$B78,Data!$C:$C,Vitezistii!C$1)=0," ",SUMIFS(Data!$K:$K,Data!$A:$A,Vitezistii!$B78,Data!$C:$C,Vitezistii!C$1))+SUMIFS(Data!$S:$S,Data!$A:$A,Vitezistii!$B78,Data!$C:$C,Vitezistii!C$1),0)</f>
        <v>0</v>
      </c>
      <c r="D78" s="31">
        <f>IFERROR(IF(SUMIFS(Data!$K:$K,Data!$A:$A,Vitezistii!$B78,Data!$C:$C,Vitezistii!D$1)=0," ",SUMIFS(Data!$K:$K,Data!$A:$A,Vitezistii!$B78,Data!$C:$C,Vitezistii!D$1))+SUMIFS(Data!$S:$S,Data!$A:$A,Vitezistii!$B78,Data!$C:$C,Vitezistii!D$1),0)</f>
        <v>0</v>
      </c>
      <c r="E78" s="31">
        <f>IFERROR(IF(SUMIFS(Data!$K:$K,Data!$A:$A,Vitezistii!$B78,Data!$C:$C,Vitezistii!E$1)=0," ",SUMIFS(Data!$K:$K,Data!$A:$A,Vitezistii!$B78,Data!$C:$C,Vitezistii!E$1))+SUMIFS(Data!$S:$S,Data!$A:$A,Vitezistii!$B78,Data!$C:$C,Vitezistii!E$1),0)</f>
        <v>0</v>
      </c>
      <c r="F78" s="31">
        <f>IFERROR(IF(SUMIFS(Data!$K:$K,Data!$A:$A,Vitezistii!$B78,Data!$C:$C,Vitezistii!F$1)=0," ",SUMIFS(Data!$K:$K,Data!$A:$A,Vitezistii!$B78,Data!$C:$C,Vitezistii!F$1))+SUMIFS(Data!$S:$S,Data!$A:$A,Vitezistii!$B78,Data!$C:$C,Vitezistii!F$1),0)</f>
        <v>1</v>
      </c>
      <c r="G78" s="31">
        <f>IFERROR(IF(SUMIFS(Data!$K:$K,Data!$A:$A,Vitezistii!$B78,Data!$C:$C,Vitezistii!G$1)=0," ",SUMIFS(Data!$K:$K,Data!$A:$A,Vitezistii!$B78,Data!$C:$C,Vitezistii!G$1))+SUMIFS(Data!$S:$S,Data!$A:$A,Vitezistii!$B78,Data!$C:$C,Vitezistii!G$1),0)</f>
        <v>1.25</v>
      </c>
      <c r="H78" s="31">
        <f>IFERROR(IF(SUMIFS(Data!$K:$K,Data!$A:$A,Vitezistii!$B78,Data!$C:$C,Vitezistii!H$1)=0," ",SUMIFS(Data!$K:$K,Data!$A:$A,Vitezistii!$B78,Data!$C:$C,Vitezistii!H$1))+SUMIFS(Data!$S:$S,Data!$A:$A,Vitezistii!$B78,Data!$C:$C,Vitezistii!H$1),0)</f>
        <v>1.25</v>
      </c>
      <c r="I78" s="31">
        <f>IFERROR(IF(SUMIFS(Data!$K:$K,Data!$A:$A,Vitezistii!$B78,Data!$C:$C,Vitezistii!I$1)=0," ",SUMIFS(Data!$K:$K,Data!$A:$A,Vitezistii!$B78,Data!$C:$C,Vitezistii!I$1))+SUMIFS(Data!$S:$S,Data!$A:$A,Vitezistii!$B78,Data!$C:$C,Vitezistii!I$1),0)</f>
        <v>0.75</v>
      </c>
      <c r="J78" s="31">
        <f>IFERROR(IF(SUMIFS(Data!$K:$K,Data!$A:$A,Vitezistii!$B78,Data!$C:$C,Vitezistii!J$1)=0," ",SUMIFS(Data!$K:$K,Data!$A:$A,Vitezistii!$B78,Data!$C:$C,Vitezistii!J$1))+SUMIFS(Data!$S:$S,Data!$A:$A,Vitezistii!$B78,Data!$C:$C,Vitezistii!J$1),0)</f>
        <v>1.5</v>
      </c>
      <c r="K78" s="31">
        <f>IFERROR(IF(SUMIFS(Data!$K:$K,Data!$A:$A,Vitezistii!$B78,Data!$C:$C,Vitezistii!K$1)=0," ",SUMIFS(Data!$K:$K,Data!$A:$A,Vitezistii!$B78,Data!$C:$C,Vitezistii!K$1))+SUMIFS(Data!$S:$S,Data!$A:$A,Vitezistii!$B78,Data!$C:$C,Vitezistii!K$1),0)</f>
        <v>0.5</v>
      </c>
      <c r="L78" s="31">
        <f>IFERROR(IF(SUMIFS(Data!$K:$K,Data!$A:$A,Vitezistii!$B78,Data!$C:$C,Vitezistii!L$1)=0," ",SUMIFS(Data!$K:$K,Data!$A:$A,Vitezistii!$B78,Data!$C:$C,Vitezistii!L$1))+SUMIFS(Data!$S:$S,Data!$A:$A,Vitezistii!$B78,Data!$C:$C,Vitezistii!L$1),0)</f>
        <v>0.75</v>
      </c>
      <c r="M78" s="31">
        <f>IFERROR(IF(SUMIFS(Data!$K:$K,Data!$A:$A,Vitezistii!$B78,Data!$C:$C,Vitezistii!M$1)=0," ",SUMIFS(Data!$K:$K,Data!$A:$A,Vitezistii!$B78,Data!$C:$C,Vitezistii!M$1))+SUMIFS(Data!$S:$S,Data!$A:$A,Vitezistii!$B78,Data!$C:$C,Vitezistii!M$1),0)</f>
        <v>1</v>
      </c>
      <c r="N78" s="31">
        <f>IFERROR(IF(SUMIFS(Data!$K:$K,Data!$A:$A,Vitezistii!$B78,Data!$C:$C,Vitezistii!N$1)=0," ",SUMIFS(Data!$K:$K,Data!$A:$A,Vitezistii!$B78,Data!$C:$C,Vitezistii!N$1))+SUMIFS(Data!$S:$S,Data!$A:$A,Vitezistii!$B78,Data!$C:$C,Vitezistii!N$1),0)</f>
        <v>1</v>
      </c>
      <c r="O78" s="31">
        <f>IFERROR(IF(SUMIFS(Data!$K:$K,Data!$A:$A,Vitezistii!$B78,Data!$C:$C,Vitezistii!O$1)=0," ",SUMIFS(Data!$K:$K,Data!$A:$A,Vitezistii!$B78,Data!$C:$C,Vitezistii!O$1))+SUMIFS(Data!$S:$S,Data!$A:$A,Vitezistii!$B78,Data!$C:$C,Vitezistii!O$1),0)</f>
        <v>0</v>
      </c>
      <c r="P78" s="31">
        <f>IFERROR(IF(SUMIFS(Data!$K:$K,Data!$A:$A,Vitezistii!$B78,Data!$C:$C,Vitezistii!P$1)=0," ",SUMIFS(Data!$K:$K,Data!$A:$A,Vitezistii!$B78,Data!$C:$C,Vitezistii!P$1))+SUMIFS(Data!$S:$S,Data!$A:$A,Vitezistii!$B78,Data!$C:$C,Vitezistii!P$1),0)</f>
        <v>0.5</v>
      </c>
      <c r="Q78" s="31">
        <f>IFERROR(IF(SUMIFS(Data!$K:$K,Data!$A:$A,Vitezistii!$B78,Data!$C:$C,Vitezistii!Q$1)=0," ",SUMIFS(Data!$K:$K,Data!$A:$A,Vitezistii!$B78,Data!$C:$C,Vitezistii!Q$1))+SUMIFS(Data!$S:$S,Data!$A:$A,Vitezistii!$B78,Data!$C:$C,Vitezistii!Q$1),0)</f>
        <v>0.5</v>
      </c>
      <c r="R78" s="31">
        <f>SUM(C78:Q78)</f>
        <v>10</v>
      </c>
      <c r="S78" s="31">
        <f>SUMIFS(Data!D:D,Data!A:A,Vitezistii!B138)</f>
        <v>0</v>
      </c>
      <c r="T78" s="12">
        <f>SUMIFS(Data!I:I,Data!A:A,Vitezistii!B78)/COUNTIF(Data!A:A,Vitezistii!B78)</f>
        <v>4.8471380399228792E-3</v>
      </c>
    </row>
    <row r="79" spans="1:20" ht="13" x14ac:dyDescent="0.3">
      <c r="A79" s="79">
        <v>78</v>
      </c>
      <c r="B79" s="30" t="s">
        <v>136</v>
      </c>
      <c r="C79" s="31">
        <f>IFERROR(IF(SUMIFS(Data!$K:$K,Data!$A:$A,Vitezistii!$B79,Data!$C:$C,Vitezistii!C$1)=0," ",SUMIFS(Data!$K:$K,Data!$A:$A,Vitezistii!$B79,Data!$C:$C,Vitezistii!C$1))+SUMIFS(Data!$S:$S,Data!$A:$A,Vitezistii!$B79,Data!$C:$C,Vitezistii!C$1),0)</f>
        <v>0</v>
      </c>
      <c r="D79" s="31">
        <f>IFERROR(IF(SUMIFS(Data!$K:$K,Data!$A:$A,Vitezistii!$B79,Data!$C:$C,Vitezistii!D$1)=0," ",SUMIFS(Data!$K:$K,Data!$A:$A,Vitezistii!$B79,Data!$C:$C,Vitezistii!D$1))+SUMIFS(Data!$S:$S,Data!$A:$A,Vitezistii!$B79,Data!$C:$C,Vitezistii!D$1),0)</f>
        <v>1.25</v>
      </c>
      <c r="E79" s="31">
        <f>IFERROR(IF(SUMIFS(Data!$K:$K,Data!$A:$A,Vitezistii!$B79,Data!$C:$C,Vitezistii!E$1)=0," ",SUMIFS(Data!$K:$K,Data!$A:$A,Vitezistii!$B79,Data!$C:$C,Vitezistii!E$1))+SUMIFS(Data!$S:$S,Data!$A:$A,Vitezistii!$B79,Data!$C:$C,Vitezistii!E$1),0)</f>
        <v>0</v>
      </c>
      <c r="F79" s="31">
        <f>IFERROR(IF(SUMIFS(Data!$K:$K,Data!$A:$A,Vitezistii!$B79,Data!$C:$C,Vitezistii!F$1)=0," ",SUMIFS(Data!$K:$K,Data!$A:$A,Vitezistii!$B79,Data!$C:$C,Vitezistii!F$1))+SUMIFS(Data!$S:$S,Data!$A:$A,Vitezistii!$B79,Data!$C:$C,Vitezistii!F$1),0)</f>
        <v>0</v>
      </c>
      <c r="G79" s="31">
        <f>IFERROR(IF(SUMIFS(Data!$K:$K,Data!$A:$A,Vitezistii!$B79,Data!$C:$C,Vitezistii!G$1)=0," ",SUMIFS(Data!$K:$K,Data!$A:$A,Vitezistii!$B79,Data!$C:$C,Vitezistii!G$1))+SUMIFS(Data!$S:$S,Data!$A:$A,Vitezistii!$B79,Data!$C:$C,Vitezistii!G$1),0)</f>
        <v>0.25</v>
      </c>
      <c r="H79" s="31">
        <f>IFERROR(IF(SUMIFS(Data!$K:$K,Data!$A:$A,Vitezistii!$B79,Data!$C:$C,Vitezistii!H$1)=0," ",SUMIFS(Data!$K:$K,Data!$A:$A,Vitezistii!$B79,Data!$C:$C,Vitezistii!H$1))+SUMIFS(Data!$S:$S,Data!$A:$A,Vitezistii!$B79,Data!$C:$C,Vitezistii!H$1),0)</f>
        <v>0</v>
      </c>
      <c r="I79" s="31">
        <f>IFERROR(IF(SUMIFS(Data!$K:$K,Data!$A:$A,Vitezistii!$B79,Data!$C:$C,Vitezistii!I$1)=0," ",SUMIFS(Data!$K:$K,Data!$A:$A,Vitezistii!$B79,Data!$C:$C,Vitezistii!I$1))+SUMIFS(Data!$S:$S,Data!$A:$A,Vitezistii!$B79,Data!$C:$C,Vitezistii!I$1),0)</f>
        <v>1.25</v>
      </c>
      <c r="J79" s="31">
        <f>IFERROR(IF(SUMIFS(Data!$K:$K,Data!$A:$A,Vitezistii!$B79,Data!$C:$C,Vitezistii!J$1)=0," ",SUMIFS(Data!$K:$K,Data!$A:$A,Vitezistii!$B79,Data!$C:$C,Vitezistii!J$1))+SUMIFS(Data!$S:$S,Data!$A:$A,Vitezistii!$B79,Data!$C:$C,Vitezistii!J$1),0)</f>
        <v>2.5</v>
      </c>
      <c r="K79" s="31">
        <f>IFERROR(IF(SUMIFS(Data!$K:$K,Data!$A:$A,Vitezistii!$B79,Data!$C:$C,Vitezistii!K$1)=0," ",SUMIFS(Data!$K:$K,Data!$A:$A,Vitezistii!$B79,Data!$C:$C,Vitezistii!K$1))+SUMIFS(Data!$S:$S,Data!$A:$A,Vitezistii!$B79,Data!$C:$C,Vitezistii!K$1),0)</f>
        <v>1.25</v>
      </c>
      <c r="L79" s="31">
        <f>IFERROR(IF(SUMIFS(Data!$K:$K,Data!$A:$A,Vitezistii!$B79,Data!$C:$C,Vitezistii!L$1)=0," ",SUMIFS(Data!$K:$K,Data!$A:$A,Vitezistii!$B79,Data!$C:$C,Vitezistii!L$1))+SUMIFS(Data!$S:$S,Data!$A:$A,Vitezistii!$B79,Data!$C:$C,Vitezistii!L$1),0)</f>
        <v>0.25</v>
      </c>
      <c r="M79" s="31">
        <f>IFERROR(IF(SUMIFS(Data!$K:$K,Data!$A:$A,Vitezistii!$B79,Data!$C:$C,Vitezistii!M$1)=0," ",SUMIFS(Data!$K:$K,Data!$A:$A,Vitezistii!$B79,Data!$C:$C,Vitezistii!M$1))+SUMIFS(Data!$S:$S,Data!$A:$A,Vitezistii!$B79,Data!$C:$C,Vitezistii!M$1),0)</f>
        <v>2.5</v>
      </c>
      <c r="N79" s="31">
        <f>IFERROR(IF(SUMIFS(Data!$K:$K,Data!$A:$A,Vitezistii!$B79,Data!$C:$C,Vitezistii!N$1)=0," ",SUMIFS(Data!$K:$K,Data!$A:$A,Vitezistii!$B79,Data!$C:$C,Vitezistii!N$1))+SUMIFS(Data!$S:$S,Data!$A:$A,Vitezistii!$B79,Data!$C:$C,Vitezistii!N$1),0)</f>
        <v>0.25</v>
      </c>
      <c r="O79" s="31">
        <f>IFERROR(IF(SUMIFS(Data!$K:$K,Data!$A:$A,Vitezistii!$B79,Data!$C:$C,Vitezistii!O$1)=0," ",SUMIFS(Data!$K:$K,Data!$A:$A,Vitezistii!$B79,Data!$C:$C,Vitezistii!O$1))+SUMIFS(Data!$S:$S,Data!$A:$A,Vitezistii!$B79,Data!$C:$C,Vitezistii!O$1),0)</f>
        <v>0.25</v>
      </c>
      <c r="P79" s="31">
        <f>IFERROR(IF(SUMIFS(Data!$K:$K,Data!$A:$A,Vitezistii!$B79,Data!$C:$C,Vitezistii!P$1)=0," ",SUMIFS(Data!$K:$K,Data!$A:$A,Vitezistii!$B79,Data!$C:$C,Vitezistii!P$1))+SUMIFS(Data!$S:$S,Data!$A:$A,Vitezistii!$B79,Data!$C:$C,Vitezistii!P$1),0)</f>
        <v>0</v>
      </c>
      <c r="Q79" s="31">
        <f>IFERROR(IF(SUMIFS(Data!$K:$K,Data!$A:$A,Vitezistii!$B79,Data!$C:$C,Vitezistii!Q$1)=0," ",SUMIFS(Data!$K:$K,Data!$A:$A,Vitezistii!$B79,Data!$C:$C,Vitezistii!Q$1))+SUMIFS(Data!$S:$S,Data!$A:$A,Vitezistii!$B79,Data!$C:$C,Vitezistii!Q$1),0)</f>
        <v>0</v>
      </c>
      <c r="R79" s="31">
        <f>SUM(C79:Q79)</f>
        <v>9.75</v>
      </c>
      <c r="S79" s="31">
        <f>SUMIFS(Data!D:D,Data!A:A,Vitezistii!B139)</f>
        <v>0</v>
      </c>
      <c r="T79" s="12">
        <f>SUMIFS(Data!I:I,Data!A:A,Vitezistii!B79)/COUNTIF(Data!A:A,Vitezistii!B79)</f>
        <v>5.2166493747391809E-3</v>
      </c>
    </row>
    <row r="80" spans="1:20" ht="13" x14ac:dyDescent="0.3">
      <c r="A80" s="79">
        <v>79</v>
      </c>
      <c r="B80" s="30" t="s">
        <v>469</v>
      </c>
      <c r="C80" s="31">
        <f>IFERROR(IF(SUMIFS(Data!$K:$K,Data!$A:$A,Vitezistii!$B80,Data!$C:$C,Vitezistii!C$1)=0," ",SUMIFS(Data!$K:$K,Data!$A:$A,Vitezistii!$B80,Data!$C:$C,Vitezistii!C$1))+SUMIFS(Data!$S:$S,Data!$A:$A,Vitezistii!$B80,Data!$C:$C,Vitezistii!C$1),0)</f>
        <v>0</v>
      </c>
      <c r="D80" s="31">
        <f>IFERROR(IF(SUMIFS(Data!$K:$K,Data!$A:$A,Vitezistii!$B80,Data!$C:$C,Vitezistii!D$1)=0," ",SUMIFS(Data!$K:$K,Data!$A:$A,Vitezistii!$B80,Data!$C:$C,Vitezistii!D$1))+SUMIFS(Data!$S:$S,Data!$A:$A,Vitezistii!$B80,Data!$C:$C,Vitezistii!D$1),0)</f>
        <v>0</v>
      </c>
      <c r="E80" s="31">
        <f>IFERROR(IF(SUMIFS(Data!$K:$K,Data!$A:$A,Vitezistii!$B80,Data!$C:$C,Vitezistii!E$1)=0," ",SUMIFS(Data!$K:$K,Data!$A:$A,Vitezistii!$B80,Data!$C:$C,Vitezistii!E$1))+SUMIFS(Data!$S:$S,Data!$A:$A,Vitezistii!$B80,Data!$C:$C,Vitezistii!E$1),0)</f>
        <v>0</v>
      </c>
      <c r="F80" s="31">
        <f>IFERROR(IF(SUMIFS(Data!$K:$K,Data!$A:$A,Vitezistii!$B80,Data!$C:$C,Vitezistii!F$1)=0," ",SUMIFS(Data!$K:$K,Data!$A:$A,Vitezistii!$B80,Data!$C:$C,Vitezistii!F$1))+SUMIFS(Data!$S:$S,Data!$A:$A,Vitezistii!$B80,Data!$C:$C,Vitezistii!F$1),0)</f>
        <v>0</v>
      </c>
      <c r="G80" s="31">
        <f>IFERROR(IF(SUMIFS(Data!$K:$K,Data!$A:$A,Vitezistii!$B80,Data!$C:$C,Vitezistii!G$1)=0," ",SUMIFS(Data!$K:$K,Data!$A:$A,Vitezistii!$B80,Data!$C:$C,Vitezistii!G$1))+SUMIFS(Data!$S:$S,Data!$A:$A,Vitezistii!$B80,Data!$C:$C,Vitezistii!G$1),0)</f>
        <v>0</v>
      </c>
      <c r="H80" s="31">
        <f>IFERROR(IF(SUMIFS(Data!$K:$K,Data!$A:$A,Vitezistii!$B80,Data!$C:$C,Vitezistii!H$1)=0," ",SUMIFS(Data!$K:$K,Data!$A:$A,Vitezistii!$B80,Data!$C:$C,Vitezistii!H$1))+SUMIFS(Data!$S:$S,Data!$A:$A,Vitezistii!$B80,Data!$C:$C,Vitezistii!H$1),0)</f>
        <v>0</v>
      </c>
      <c r="I80" s="31">
        <f>IFERROR(IF(SUMIFS(Data!$K:$K,Data!$A:$A,Vitezistii!$B80,Data!$C:$C,Vitezistii!I$1)=0," ",SUMIFS(Data!$K:$K,Data!$A:$A,Vitezistii!$B80,Data!$C:$C,Vitezistii!I$1))+SUMIFS(Data!$S:$S,Data!$A:$A,Vitezistii!$B80,Data!$C:$C,Vitezistii!I$1),0)</f>
        <v>0</v>
      </c>
      <c r="J80" s="31">
        <f>IFERROR(IF(SUMIFS(Data!$K:$K,Data!$A:$A,Vitezistii!$B80,Data!$C:$C,Vitezistii!J$1)=0," ",SUMIFS(Data!$K:$K,Data!$A:$A,Vitezistii!$B80,Data!$C:$C,Vitezistii!J$1))+SUMIFS(Data!$S:$S,Data!$A:$A,Vitezistii!$B80,Data!$C:$C,Vitezistii!J$1),0)</f>
        <v>2</v>
      </c>
      <c r="K80" s="31">
        <f>IFERROR(IF(SUMIFS(Data!$K:$K,Data!$A:$A,Vitezistii!$B80,Data!$C:$C,Vitezistii!K$1)=0," ",SUMIFS(Data!$K:$K,Data!$A:$A,Vitezistii!$B80,Data!$C:$C,Vitezistii!K$1))+SUMIFS(Data!$S:$S,Data!$A:$A,Vitezistii!$B80,Data!$C:$C,Vitezistii!K$1),0)</f>
        <v>0</v>
      </c>
      <c r="L80" s="31">
        <f>IFERROR(IF(SUMIFS(Data!$K:$K,Data!$A:$A,Vitezistii!$B80,Data!$C:$C,Vitezistii!L$1)=0," ",SUMIFS(Data!$K:$K,Data!$A:$A,Vitezistii!$B80,Data!$C:$C,Vitezistii!L$1))+SUMIFS(Data!$S:$S,Data!$A:$A,Vitezistii!$B80,Data!$C:$C,Vitezistii!L$1),0)</f>
        <v>4.5</v>
      </c>
      <c r="M80" s="31">
        <f>IFERROR(IF(SUMIFS(Data!$K:$K,Data!$A:$A,Vitezistii!$B80,Data!$C:$C,Vitezistii!M$1)=0," ",SUMIFS(Data!$K:$K,Data!$A:$A,Vitezistii!$B80,Data!$C:$C,Vitezistii!M$1))+SUMIFS(Data!$S:$S,Data!$A:$A,Vitezistii!$B80,Data!$C:$C,Vitezistii!M$1),0)</f>
        <v>0</v>
      </c>
      <c r="N80" s="31">
        <f>IFERROR(IF(SUMIFS(Data!$K:$K,Data!$A:$A,Vitezistii!$B80,Data!$C:$C,Vitezistii!N$1)=0," ",SUMIFS(Data!$K:$K,Data!$A:$A,Vitezistii!$B80,Data!$C:$C,Vitezistii!N$1))+SUMIFS(Data!$S:$S,Data!$A:$A,Vitezistii!$B80,Data!$C:$C,Vitezistii!N$1),0)</f>
        <v>0</v>
      </c>
      <c r="O80" s="31">
        <f>IFERROR(IF(SUMIFS(Data!$K:$K,Data!$A:$A,Vitezistii!$B80,Data!$C:$C,Vitezistii!O$1)=0," ",SUMIFS(Data!$K:$K,Data!$A:$A,Vitezistii!$B80,Data!$C:$C,Vitezistii!O$1))+SUMIFS(Data!$S:$S,Data!$A:$A,Vitezistii!$B80,Data!$C:$C,Vitezistii!O$1),0)</f>
        <v>1.25</v>
      </c>
      <c r="P80" s="31">
        <f>IFERROR(IF(SUMIFS(Data!$K:$K,Data!$A:$A,Vitezistii!$B80,Data!$C:$C,Vitezistii!P$1)=0," ",SUMIFS(Data!$K:$K,Data!$A:$A,Vitezistii!$B80,Data!$C:$C,Vitezistii!P$1))+SUMIFS(Data!$S:$S,Data!$A:$A,Vitezistii!$B80,Data!$C:$C,Vitezistii!P$1),0)</f>
        <v>0</v>
      </c>
      <c r="Q80" s="31">
        <f>IFERROR(IF(SUMIFS(Data!$K:$K,Data!$A:$A,Vitezistii!$B80,Data!$C:$C,Vitezistii!Q$1)=0," ",SUMIFS(Data!$K:$K,Data!$A:$A,Vitezistii!$B80,Data!$C:$C,Vitezistii!Q$1))+SUMIFS(Data!$S:$S,Data!$A:$A,Vitezistii!$B80,Data!$C:$C,Vitezistii!Q$1),0)</f>
        <v>2</v>
      </c>
      <c r="R80" s="31">
        <f>SUM(C80:Q80)</f>
        <v>9.75</v>
      </c>
      <c r="S80" s="31">
        <f>SUMIFS(Data!D:D,Data!A:A,Vitezistii!B140)</f>
        <v>0</v>
      </c>
      <c r="T80" s="12">
        <f>SUMIFS(Data!I:I,Data!A:A,Vitezistii!B80)/COUNTIF(Data!A:A,Vitezistii!B80)</f>
        <v>3.6543744038727787E-3</v>
      </c>
    </row>
    <row r="81" spans="1:20" ht="13" x14ac:dyDescent="0.3">
      <c r="A81" s="79">
        <v>80</v>
      </c>
      <c r="B81" s="30" t="s">
        <v>293</v>
      </c>
      <c r="C81" s="31">
        <f>IFERROR(IF(SUMIFS(Data!$K:$K,Data!$A:$A,Vitezistii!$B81,Data!$C:$C,Vitezistii!C$1)=0," ",SUMIFS(Data!$K:$K,Data!$A:$A,Vitezistii!$B81,Data!$C:$C,Vitezistii!C$1))+SUMIFS(Data!$S:$S,Data!$A:$A,Vitezistii!$B81,Data!$C:$C,Vitezistii!C$1),0)</f>
        <v>2.5</v>
      </c>
      <c r="D81" s="31">
        <f>IFERROR(IF(SUMIFS(Data!$K:$K,Data!$A:$A,Vitezistii!$B81,Data!$C:$C,Vitezistii!D$1)=0," ",SUMIFS(Data!$K:$K,Data!$A:$A,Vitezistii!$B81,Data!$C:$C,Vitezistii!D$1))+SUMIFS(Data!$S:$S,Data!$A:$A,Vitezistii!$B81,Data!$C:$C,Vitezistii!D$1),0)</f>
        <v>1.75</v>
      </c>
      <c r="E81" s="31">
        <f>IFERROR(IF(SUMIFS(Data!$K:$K,Data!$A:$A,Vitezistii!$B81,Data!$C:$C,Vitezistii!E$1)=0," ",SUMIFS(Data!$K:$K,Data!$A:$A,Vitezistii!$B81,Data!$C:$C,Vitezistii!E$1))+SUMIFS(Data!$S:$S,Data!$A:$A,Vitezistii!$B81,Data!$C:$C,Vitezistii!E$1),0)</f>
        <v>1.75</v>
      </c>
      <c r="F81" s="31">
        <f>IFERROR(IF(SUMIFS(Data!$K:$K,Data!$A:$A,Vitezistii!$B81,Data!$C:$C,Vitezistii!F$1)=0," ",SUMIFS(Data!$K:$K,Data!$A:$A,Vitezistii!$B81,Data!$C:$C,Vitezistii!F$1))+SUMIFS(Data!$S:$S,Data!$A:$A,Vitezistii!$B81,Data!$C:$C,Vitezistii!F$1),0)</f>
        <v>1.75</v>
      </c>
      <c r="G81" s="31">
        <f>IFERROR(IF(SUMIFS(Data!$K:$K,Data!$A:$A,Vitezistii!$B81,Data!$C:$C,Vitezistii!G$1)=0," ",SUMIFS(Data!$K:$K,Data!$A:$A,Vitezistii!$B81,Data!$C:$C,Vitezistii!G$1))+SUMIFS(Data!$S:$S,Data!$A:$A,Vitezistii!$B81,Data!$C:$C,Vitezistii!G$1),0)</f>
        <v>1.75</v>
      </c>
      <c r="H81" s="31">
        <f>IFERROR(IF(SUMIFS(Data!$K:$K,Data!$A:$A,Vitezistii!$B81,Data!$C:$C,Vitezistii!H$1)=0," ",SUMIFS(Data!$K:$K,Data!$A:$A,Vitezistii!$B81,Data!$C:$C,Vitezistii!H$1))+SUMIFS(Data!$S:$S,Data!$A:$A,Vitezistii!$B81,Data!$C:$C,Vitezistii!H$1),0)</f>
        <v>0</v>
      </c>
      <c r="I81" s="31">
        <f>IFERROR(IF(SUMIFS(Data!$K:$K,Data!$A:$A,Vitezistii!$B81,Data!$C:$C,Vitezistii!I$1)=0," ",SUMIFS(Data!$K:$K,Data!$A:$A,Vitezistii!$B81,Data!$C:$C,Vitezistii!I$1))+SUMIFS(Data!$S:$S,Data!$A:$A,Vitezistii!$B81,Data!$C:$C,Vitezistii!I$1),0)</f>
        <v>0</v>
      </c>
      <c r="J81" s="31">
        <f>IFERROR(IF(SUMIFS(Data!$K:$K,Data!$A:$A,Vitezistii!$B81,Data!$C:$C,Vitezistii!J$1)=0," ",SUMIFS(Data!$K:$K,Data!$A:$A,Vitezistii!$B81,Data!$C:$C,Vitezistii!J$1))+SUMIFS(Data!$S:$S,Data!$A:$A,Vitezistii!$B81,Data!$C:$C,Vitezistii!J$1),0)</f>
        <v>0</v>
      </c>
      <c r="K81" s="31">
        <f>IFERROR(IF(SUMIFS(Data!$K:$K,Data!$A:$A,Vitezistii!$B81,Data!$C:$C,Vitezistii!K$1)=0," ",SUMIFS(Data!$K:$K,Data!$A:$A,Vitezistii!$B81,Data!$C:$C,Vitezistii!K$1))+SUMIFS(Data!$S:$S,Data!$A:$A,Vitezistii!$B81,Data!$C:$C,Vitezistii!K$1),0)</f>
        <v>0</v>
      </c>
      <c r="L81" s="31">
        <f>IFERROR(IF(SUMIFS(Data!$K:$K,Data!$A:$A,Vitezistii!$B81,Data!$C:$C,Vitezistii!L$1)=0," ",SUMIFS(Data!$K:$K,Data!$A:$A,Vitezistii!$B81,Data!$C:$C,Vitezistii!L$1))+SUMIFS(Data!$S:$S,Data!$A:$A,Vitezistii!$B81,Data!$C:$C,Vitezistii!L$1),0)</f>
        <v>0</v>
      </c>
      <c r="M81" s="31">
        <f>IFERROR(IF(SUMIFS(Data!$K:$K,Data!$A:$A,Vitezistii!$B81,Data!$C:$C,Vitezistii!M$1)=0," ",SUMIFS(Data!$K:$K,Data!$A:$A,Vitezistii!$B81,Data!$C:$C,Vitezistii!M$1))+SUMIFS(Data!$S:$S,Data!$A:$A,Vitezistii!$B81,Data!$C:$C,Vitezistii!M$1),0)</f>
        <v>0</v>
      </c>
      <c r="N81" s="31">
        <f>IFERROR(IF(SUMIFS(Data!$K:$K,Data!$A:$A,Vitezistii!$B81,Data!$C:$C,Vitezistii!N$1)=0," ",SUMIFS(Data!$K:$K,Data!$A:$A,Vitezistii!$B81,Data!$C:$C,Vitezistii!N$1))+SUMIFS(Data!$S:$S,Data!$A:$A,Vitezistii!$B81,Data!$C:$C,Vitezistii!N$1),0)</f>
        <v>0</v>
      </c>
      <c r="O81" s="31">
        <f>IFERROR(IF(SUMIFS(Data!$K:$K,Data!$A:$A,Vitezistii!$B81,Data!$C:$C,Vitezistii!O$1)=0," ",SUMIFS(Data!$K:$K,Data!$A:$A,Vitezistii!$B81,Data!$C:$C,Vitezistii!O$1))+SUMIFS(Data!$S:$S,Data!$A:$A,Vitezistii!$B81,Data!$C:$C,Vitezistii!O$1),0)</f>
        <v>0</v>
      </c>
      <c r="P81" s="31">
        <f>IFERROR(IF(SUMIFS(Data!$K:$K,Data!$A:$A,Vitezistii!$B81,Data!$C:$C,Vitezistii!P$1)=0," ",SUMIFS(Data!$K:$K,Data!$A:$A,Vitezistii!$B81,Data!$C:$C,Vitezistii!P$1))+SUMIFS(Data!$S:$S,Data!$A:$A,Vitezistii!$B81,Data!$C:$C,Vitezistii!P$1),0)</f>
        <v>0</v>
      </c>
      <c r="Q81" s="31">
        <f>IFERROR(IF(SUMIFS(Data!$K:$K,Data!$A:$A,Vitezistii!$B81,Data!$C:$C,Vitezistii!Q$1)=0," ",SUMIFS(Data!$K:$K,Data!$A:$A,Vitezistii!$B81,Data!$C:$C,Vitezistii!Q$1))+SUMIFS(Data!$S:$S,Data!$A:$A,Vitezistii!$B81,Data!$C:$C,Vitezistii!Q$1),0)</f>
        <v>0</v>
      </c>
      <c r="R81" s="31">
        <f>SUM(C81:Q81)</f>
        <v>9.5</v>
      </c>
      <c r="S81" s="31">
        <f>SUMIFS(Data!D:D,Data!A:A,Vitezistii!B141)</f>
        <v>0</v>
      </c>
      <c r="T81" s="12">
        <f>SUMIFS(Data!I:I,Data!A:A,Vitezistii!B81)/COUNTIF(Data!A:A,Vitezistii!B81)</f>
        <v>3.8546940329297367E-3</v>
      </c>
    </row>
    <row r="82" spans="1:20" ht="13" x14ac:dyDescent="0.3">
      <c r="A82" s="79">
        <v>81</v>
      </c>
      <c r="B82" s="30" t="s">
        <v>373</v>
      </c>
      <c r="C82" s="31">
        <f>IFERROR(IF(SUMIFS(Data!$K:$K,Data!$A:$A,Vitezistii!$B82,Data!$C:$C,Vitezistii!C$1)=0," ",SUMIFS(Data!$K:$K,Data!$A:$A,Vitezistii!$B82,Data!$C:$C,Vitezistii!C$1))+SUMIFS(Data!$S:$S,Data!$A:$A,Vitezistii!$B82,Data!$C:$C,Vitezistii!C$1),0)</f>
        <v>0.5</v>
      </c>
      <c r="D82" s="31">
        <f>IFERROR(IF(SUMIFS(Data!$K:$K,Data!$A:$A,Vitezistii!$B82,Data!$C:$C,Vitezistii!D$1)=0," ",SUMIFS(Data!$K:$K,Data!$A:$A,Vitezistii!$B82,Data!$C:$C,Vitezistii!D$1))+SUMIFS(Data!$S:$S,Data!$A:$A,Vitezistii!$B82,Data!$C:$C,Vitezistii!D$1),0)</f>
        <v>3.5</v>
      </c>
      <c r="E82" s="31">
        <f>IFERROR(IF(SUMIFS(Data!$K:$K,Data!$A:$A,Vitezistii!$B82,Data!$C:$C,Vitezistii!E$1)=0," ",SUMIFS(Data!$K:$K,Data!$A:$A,Vitezistii!$B82,Data!$C:$C,Vitezistii!E$1))+SUMIFS(Data!$S:$S,Data!$A:$A,Vitezistii!$B82,Data!$C:$C,Vitezistii!E$1),0)</f>
        <v>5</v>
      </c>
      <c r="F82" s="31">
        <f>IFERROR(IF(SUMIFS(Data!$K:$K,Data!$A:$A,Vitezistii!$B82,Data!$C:$C,Vitezistii!F$1)=0," ",SUMIFS(Data!$K:$K,Data!$A:$A,Vitezistii!$B82,Data!$C:$C,Vitezistii!F$1))+SUMIFS(Data!$S:$S,Data!$A:$A,Vitezistii!$B82,Data!$C:$C,Vitezistii!F$1),0)</f>
        <v>0.25</v>
      </c>
      <c r="G82" s="31">
        <f>IFERROR(IF(SUMIFS(Data!$K:$K,Data!$A:$A,Vitezistii!$B82,Data!$C:$C,Vitezistii!G$1)=0," ",SUMIFS(Data!$K:$K,Data!$A:$A,Vitezistii!$B82,Data!$C:$C,Vitezistii!G$1))+SUMIFS(Data!$S:$S,Data!$A:$A,Vitezistii!$B82,Data!$C:$C,Vitezistii!G$1),0)</f>
        <v>0</v>
      </c>
      <c r="H82" s="31">
        <f>IFERROR(IF(SUMIFS(Data!$K:$K,Data!$A:$A,Vitezistii!$B82,Data!$C:$C,Vitezistii!H$1)=0," ",SUMIFS(Data!$K:$K,Data!$A:$A,Vitezistii!$B82,Data!$C:$C,Vitezistii!H$1))+SUMIFS(Data!$S:$S,Data!$A:$A,Vitezistii!$B82,Data!$C:$C,Vitezistii!H$1),0)</f>
        <v>0</v>
      </c>
      <c r="I82" s="31">
        <f>IFERROR(IF(SUMIFS(Data!$K:$K,Data!$A:$A,Vitezistii!$B82,Data!$C:$C,Vitezistii!I$1)=0," ",SUMIFS(Data!$K:$K,Data!$A:$A,Vitezistii!$B82,Data!$C:$C,Vitezistii!I$1))+SUMIFS(Data!$S:$S,Data!$A:$A,Vitezistii!$B82,Data!$C:$C,Vitezistii!I$1),0)</f>
        <v>0</v>
      </c>
      <c r="J82" s="31">
        <f>IFERROR(IF(SUMIFS(Data!$K:$K,Data!$A:$A,Vitezistii!$B82,Data!$C:$C,Vitezistii!J$1)=0," ",SUMIFS(Data!$K:$K,Data!$A:$A,Vitezistii!$B82,Data!$C:$C,Vitezistii!J$1))+SUMIFS(Data!$S:$S,Data!$A:$A,Vitezistii!$B82,Data!$C:$C,Vitezistii!J$1),0)</f>
        <v>0</v>
      </c>
      <c r="K82" s="31">
        <f>IFERROR(IF(SUMIFS(Data!$K:$K,Data!$A:$A,Vitezistii!$B82,Data!$C:$C,Vitezistii!K$1)=0," ",SUMIFS(Data!$K:$K,Data!$A:$A,Vitezistii!$B82,Data!$C:$C,Vitezistii!K$1))+SUMIFS(Data!$S:$S,Data!$A:$A,Vitezistii!$B82,Data!$C:$C,Vitezistii!K$1),0)</f>
        <v>0</v>
      </c>
      <c r="L82" s="31">
        <f>IFERROR(IF(SUMIFS(Data!$K:$K,Data!$A:$A,Vitezistii!$B82,Data!$C:$C,Vitezistii!L$1)=0," ",SUMIFS(Data!$K:$K,Data!$A:$A,Vitezistii!$B82,Data!$C:$C,Vitezistii!L$1))+SUMIFS(Data!$S:$S,Data!$A:$A,Vitezistii!$B82,Data!$C:$C,Vitezistii!L$1),0)</f>
        <v>0</v>
      </c>
      <c r="M82" s="31">
        <f>IFERROR(IF(SUMIFS(Data!$K:$K,Data!$A:$A,Vitezistii!$B82,Data!$C:$C,Vitezistii!M$1)=0," ",SUMIFS(Data!$K:$K,Data!$A:$A,Vitezistii!$B82,Data!$C:$C,Vitezistii!M$1))+SUMIFS(Data!$S:$S,Data!$A:$A,Vitezistii!$B82,Data!$C:$C,Vitezistii!M$1),0)</f>
        <v>0</v>
      </c>
      <c r="N82" s="31">
        <f>IFERROR(IF(SUMIFS(Data!$K:$K,Data!$A:$A,Vitezistii!$B82,Data!$C:$C,Vitezistii!N$1)=0," ",SUMIFS(Data!$K:$K,Data!$A:$A,Vitezistii!$B82,Data!$C:$C,Vitezistii!N$1))+SUMIFS(Data!$S:$S,Data!$A:$A,Vitezistii!$B82,Data!$C:$C,Vitezistii!N$1),0)</f>
        <v>0</v>
      </c>
      <c r="O82" s="31">
        <f>IFERROR(IF(SUMIFS(Data!$K:$K,Data!$A:$A,Vitezistii!$B82,Data!$C:$C,Vitezistii!O$1)=0," ",SUMIFS(Data!$K:$K,Data!$A:$A,Vitezistii!$B82,Data!$C:$C,Vitezistii!O$1))+SUMIFS(Data!$S:$S,Data!$A:$A,Vitezistii!$B82,Data!$C:$C,Vitezistii!O$1),0)</f>
        <v>0</v>
      </c>
      <c r="P82" s="31">
        <f>IFERROR(IF(SUMIFS(Data!$K:$K,Data!$A:$A,Vitezistii!$B82,Data!$C:$C,Vitezistii!P$1)=0," ",SUMIFS(Data!$K:$K,Data!$A:$A,Vitezistii!$B82,Data!$C:$C,Vitezistii!P$1))+SUMIFS(Data!$S:$S,Data!$A:$A,Vitezistii!$B82,Data!$C:$C,Vitezistii!P$1),0)</f>
        <v>0</v>
      </c>
      <c r="Q82" s="31">
        <f>IFERROR(IF(SUMIFS(Data!$K:$K,Data!$A:$A,Vitezistii!$B82,Data!$C:$C,Vitezistii!Q$1)=0," ",SUMIFS(Data!$K:$K,Data!$A:$A,Vitezistii!$B82,Data!$C:$C,Vitezistii!Q$1))+SUMIFS(Data!$S:$S,Data!$A:$A,Vitezistii!$B82,Data!$C:$C,Vitezistii!Q$1),0)</f>
        <v>0</v>
      </c>
      <c r="R82" s="31">
        <f>SUM(C82:Q82)</f>
        <v>9.25</v>
      </c>
      <c r="S82" s="31">
        <f>SUMIFS(Data!D:D,Data!A:A,Vitezistii!B142)</f>
        <v>0</v>
      </c>
      <c r="T82" s="12">
        <f>SUMIFS(Data!I:I,Data!A:A,Vitezistii!B82)/COUNTIF(Data!A:A,Vitezistii!B82)</f>
        <v>4.2791116551693428E-3</v>
      </c>
    </row>
    <row r="83" spans="1:20" ht="13" x14ac:dyDescent="0.3">
      <c r="A83" s="79">
        <v>82</v>
      </c>
      <c r="B83" s="30" t="s">
        <v>284</v>
      </c>
      <c r="C83" s="31">
        <f>IFERROR(IF(SUMIFS(Data!$K:$K,Data!$A:$A,Vitezistii!$B83,Data!$C:$C,Vitezistii!C$1)=0," ",SUMIFS(Data!$K:$K,Data!$A:$A,Vitezistii!$B83,Data!$C:$C,Vitezistii!C$1))+SUMIFS(Data!$S:$S,Data!$A:$A,Vitezistii!$B83,Data!$C:$C,Vitezistii!C$1),0)</f>
        <v>1.5</v>
      </c>
      <c r="D83" s="31">
        <f>IFERROR(IF(SUMIFS(Data!$K:$K,Data!$A:$A,Vitezistii!$B83,Data!$C:$C,Vitezistii!D$1)=0," ",SUMIFS(Data!$K:$K,Data!$A:$A,Vitezistii!$B83,Data!$C:$C,Vitezistii!D$1))+SUMIFS(Data!$S:$S,Data!$A:$A,Vitezistii!$B83,Data!$C:$C,Vitezistii!D$1),0)</f>
        <v>0</v>
      </c>
      <c r="E83" s="31">
        <f>IFERROR(IF(SUMIFS(Data!$K:$K,Data!$A:$A,Vitezistii!$B83,Data!$C:$C,Vitezistii!E$1)=0," ",SUMIFS(Data!$K:$K,Data!$A:$A,Vitezistii!$B83,Data!$C:$C,Vitezistii!E$1))+SUMIFS(Data!$S:$S,Data!$A:$A,Vitezistii!$B83,Data!$C:$C,Vitezistii!E$1),0)</f>
        <v>1</v>
      </c>
      <c r="F83" s="31">
        <f>IFERROR(IF(SUMIFS(Data!$K:$K,Data!$A:$A,Vitezistii!$B83,Data!$C:$C,Vitezistii!F$1)=0," ",SUMIFS(Data!$K:$K,Data!$A:$A,Vitezistii!$B83,Data!$C:$C,Vitezistii!F$1))+SUMIFS(Data!$S:$S,Data!$A:$A,Vitezistii!$B83,Data!$C:$C,Vitezistii!F$1),0)</f>
        <v>0</v>
      </c>
      <c r="G83" s="31">
        <f>IFERROR(IF(SUMIFS(Data!$K:$K,Data!$A:$A,Vitezistii!$B83,Data!$C:$C,Vitezistii!G$1)=0," ",SUMIFS(Data!$K:$K,Data!$A:$A,Vitezistii!$B83,Data!$C:$C,Vitezistii!G$1))+SUMIFS(Data!$S:$S,Data!$A:$A,Vitezistii!$B83,Data!$C:$C,Vitezistii!G$1),0)</f>
        <v>1</v>
      </c>
      <c r="H83" s="31">
        <f>IFERROR(IF(SUMIFS(Data!$K:$K,Data!$A:$A,Vitezistii!$B83,Data!$C:$C,Vitezistii!H$1)=0," ",SUMIFS(Data!$K:$K,Data!$A:$A,Vitezistii!$B83,Data!$C:$C,Vitezistii!H$1))+SUMIFS(Data!$S:$S,Data!$A:$A,Vitezistii!$B83,Data!$C:$C,Vitezistii!H$1),0)</f>
        <v>0</v>
      </c>
      <c r="I83" s="31">
        <f>IFERROR(IF(SUMIFS(Data!$K:$K,Data!$A:$A,Vitezistii!$B83,Data!$C:$C,Vitezistii!I$1)=0," ",SUMIFS(Data!$K:$K,Data!$A:$A,Vitezistii!$B83,Data!$C:$C,Vitezistii!I$1))+SUMIFS(Data!$S:$S,Data!$A:$A,Vitezistii!$B83,Data!$C:$C,Vitezistii!I$1),0)</f>
        <v>1.5</v>
      </c>
      <c r="J83" s="31">
        <f>IFERROR(IF(SUMIFS(Data!$K:$K,Data!$A:$A,Vitezistii!$B83,Data!$C:$C,Vitezistii!J$1)=0," ",SUMIFS(Data!$K:$K,Data!$A:$A,Vitezistii!$B83,Data!$C:$C,Vitezistii!J$1))+SUMIFS(Data!$S:$S,Data!$A:$A,Vitezistii!$B83,Data!$C:$C,Vitezistii!J$1),0)</f>
        <v>1</v>
      </c>
      <c r="K83" s="31">
        <f>IFERROR(IF(SUMIFS(Data!$K:$K,Data!$A:$A,Vitezistii!$B83,Data!$C:$C,Vitezistii!K$1)=0," ",SUMIFS(Data!$K:$K,Data!$A:$A,Vitezistii!$B83,Data!$C:$C,Vitezistii!K$1))+SUMIFS(Data!$S:$S,Data!$A:$A,Vitezistii!$B83,Data!$C:$C,Vitezistii!K$1),0)</f>
        <v>1.75</v>
      </c>
      <c r="L83" s="31">
        <f>IFERROR(IF(SUMIFS(Data!$K:$K,Data!$A:$A,Vitezistii!$B83,Data!$C:$C,Vitezistii!L$1)=0," ",SUMIFS(Data!$K:$K,Data!$A:$A,Vitezistii!$B83,Data!$C:$C,Vitezistii!L$1))+SUMIFS(Data!$S:$S,Data!$A:$A,Vitezistii!$B83,Data!$C:$C,Vitezistii!L$1),0)</f>
        <v>1.25</v>
      </c>
      <c r="M83" s="31">
        <f>IFERROR(IF(SUMIFS(Data!$K:$K,Data!$A:$A,Vitezistii!$B83,Data!$C:$C,Vitezistii!M$1)=0," ",SUMIFS(Data!$K:$K,Data!$A:$A,Vitezistii!$B83,Data!$C:$C,Vitezistii!M$1))+SUMIFS(Data!$S:$S,Data!$A:$A,Vitezistii!$B83,Data!$C:$C,Vitezistii!M$1),0)</f>
        <v>0</v>
      </c>
      <c r="N83" s="31">
        <f>IFERROR(IF(SUMIFS(Data!$K:$K,Data!$A:$A,Vitezistii!$B83,Data!$C:$C,Vitezistii!N$1)=0," ",SUMIFS(Data!$K:$K,Data!$A:$A,Vitezistii!$B83,Data!$C:$C,Vitezistii!N$1))+SUMIFS(Data!$S:$S,Data!$A:$A,Vitezistii!$B83,Data!$C:$C,Vitezistii!N$1),0)</f>
        <v>0</v>
      </c>
      <c r="O83" s="31">
        <f>IFERROR(IF(SUMIFS(Data!$K:$K,Data!$A:$A,Vitezistii!$B83,Data!$C:$C,Vitezistii!O$1)=0," ",SUMIFS(Data!$K:$K,Data!$A:$A,Vitezistii!$B83,Data!$C:$C,Vitezistii!O$1))+SUMIFS(Data!$S:$S,Data!$A:$A,Vitezistii!$B83,Data!$C:$C,Vitezistii!O$1),0)</f>
        <v>0</v>
      </c>
      <c r="P83" s="31">
        <f>IFERROR(IF(SUMIFS(Data!$K:$K,Data!$A:$A,Vitezistii!$B83,Data!$C:$C,Vitezistii!P$1)=0," ",SUMIFS(Data!$K:$K,Data!$A:$A,Vitezistii!$B83,Data!$C:$C,Vitezistii!P$1))+SUMIFS(Data!$S:$S,Data!$A:$A,Vitezistii!$B83,Data!$C:$C,Vitezistii!P$1),0)</f>
        <v>0</v>
      </c>
      <c r="Q83" s="31">
        <f>IFERROR(IF(SUMIFS(Data!$K:$K,Data!$A:$A,Vitezistii!$B83,Data!$C:$C,Vitezistii!Q$1)=0," ",SUMIFS(Data!$K:$K,Data!$A:$A,Vitezistii!$B83,Data!$C:$C,Vitezistii!Q$1))+SUMIFS(Data!$S:$S,Data!$A:$A,Vitezistii!$B83,Data!$C:$C,Vitezistii!Q$1),0)</f>
        <v>0</v>
      </c>
      <c r="R83" s="31">
        <f>SUM(C83:Q83)</f>
        <v>9</v>
      </c>
      <c r="S83" s="31">
        <f>SUMIFS(Data!D:D,Data!A:A,Vitezistii!B143)</f>
        <v>0</v>
      </c>
      <c r="T83" s="12">
        <f>SUMIFS(Data!I:I,Data!A:A,Vitezistii!B83)/COUNTIF(Data!A:A,Vitezistii!B83)</f>
        <v>4.9086132949307301E-3</v>
      </c>
    </row>
    <row r="84" spans="1:20" ht="13" x14ac:dyDescent="0.3">
      <c r="A84" s="79">
        <v>83</v>
      </c>
      <c r="B84" s="30" t="s">
        <v>431</v>
      </c>
      <c r="C84" s="31">
        <f>IFERROR(IF(SUMIFS(Data!$K:$K,Data!$A:$A,Vitezistii!$B84,Data!$C:$C,Vitezistii!C$1)=0," ",SUMIFS(Data!$K:$K,Data!$A:$A,Vitezistii!$B84,Data!$C:$C,Vitezistii!C$1))+SUMIFS(Data!$S:$S,Data!$A:$A,Vitezistii!$B84,Data!$C:$C,Vitezistii!C$1),0)</f>
        <v>0</v>
      </c>
      <c r="D84" s="31">
        <f>IFERROR(IF(SUMIFS(Data!$K:$K,Data!$A:$A,Vitezistii!$B84,Data!$C:$C,Vitezistii!D$1)=0," ",SUMIFS(Data!$K:$K,Data!$A:$A,Vitezistii!$B84,Data!$C:$C,Vitezistii!D$1))+SUMIFS(Data!$S:$S,Data!$A:$A,Vitezistii!$B84,Data!$C:$C,Vitezistii!D$1),0)</f>
        <v>0</v>
      </c>
      <c r="E84" s="31">
        <f>IFERROR(IF(SUMIFS(Data!$K:$K,Data!$A:$A,Vitezistii!$B84,Data!$C:$C,Vitezistii!E$1)=0," ",SUMIFS(Data!$K:$K,Data!$A:$A,Vitezistii!$B84,Data!$C:$C,Vitezistii!E$1))+SUMIFS(Data!$S:$S,Data!$A:$A,Vitezistii!$B84,Data!$C:$C,Vitezistii!E$1),0)</f>
        <v>0</v>
      </c>
      <c r="F84" s="31">
        <f>IFERROR(IF(SUMIFS(Data!$K:$K,Data!$A:$A,Vitezistii!$B84,Data!$C:$C,Vitezistii!F$1)=0," ",SUMIFS(Data!$K:$K,Data!$A:$A,Vitezistii!$B84,Data!$C:$C,Vitezistii!F$1))+SUMIFS(Data!$S:$S,Data!$A:$A,Vitezistii!$B84,Data!$C:$C,Vitezistii!F$1),0)</f>
        <v>0</v>
      </c>
      <c r="G84" s="31">
        <f>IFERROR(IF(SUMIFS(Data!$K:$K,Data!$A:$A,Vitezistii!$B84,Data!$C:$C,Vitezistii!G$1)=0," ",SUMIFS(Data!$K:$K,Data!$A:$A,Vitezistii!$B84,Data!$C:$C,Vitezistii!G$1))+SUMIFS(Data!$S:$S,Data!$A:$A,Vitezistii!$B84,Data!$C:$C,Vitezistii!G$1),0)</f>
        <v>0</v>
      </c>
      <c r="H84" s="31">
        <f>IFERROR(IF(SUMIFS(Data!$K:$K,Data!$A:$A,Vitezistii!$B84,Data!$C:$C,Vitezistii!H$1)=0," ",SUMIFS(Data!$K:$K,Data!$A:$A,Vitezistii!$B84,Data!$C:$C,Vitezistii!H$1))+SUMIFS(Data!$S:$S,Data!$A:$A,Vitezistii!$B84,Data!$C:$C,Vitezistii!H$1),0)</f>
        <v>1</v>
      </c>
      <c r="I84" s="31">
        <f>IFERROR(IF(SUMIFS(Data!$K:$K,Data!$A:$A,Vitezistii!$B84,Data!$C:$C,Vitezistii!I$1)=0," ",SUMIFS(Data!$K:$K,Data!$A:$A,Vitezistii!$B84,Data!$C:$C,Vitezistii!I$1))+SUMIFS(Data!$S:$S,Data!$A:$A,Vitezistii!$B84,Data!$C:$C,Vitezistii!I$1),0)</f>
        <v>0</v>
      </c>
      <c r="J84" s="31">
        <f>IFERROR(IF(SUMIFS(Data!$K:$K,Data!$A:$A,Vitezistii!$B84,Data!$C:$C,Vitezistii!J$1)=0," ",SUMIFS(Data!$K:$K,Data!$A:$A,Vitezistii!$B84,Data!$C:$C,Vitezistii!J$1))+SUMIFS(Data!$S:$S,Data!$A:$A,Vitezistii!$B84,Data!$C:$C,Vitezistii!J$1),0)</f>
        <v>0.5</v>
      </c>
      <c r="K84" s="31">
        <f>IFERROR(IF(SUMIFS(Data!$K:$K,Data!$A:$A,Vitezistii!$B84,Data!$C:$C,Vitezistii!K$1)=0," ",SUMIFS(Data!$K:$K,Data!$A:$A,Vitezistii!$B84,Data!$C:$C,Vitezistii!K$1))+SUMIFS(Data!$S:$S,Data!$A:$A,Vitezistii!$B84,Data!$C:$C,Vitezistii!K$1),0)</f>
        <v>1.25</v>
      </c>
      <c r="L84" s="31">
        <f>IFERROR(IF(SUMIFS(Data!$K:$K,Data!$A:$A,Vitezistii!$B84,Data!$C:$C,Vitezistii!L$1)=0," ",SUMIFS(Data!$K:$K,Data!$A:$A,Vitezistii!$B84,Data!$C:$C,Vitezistii!L$1))+SUMIFS(Data!$S:$S,Data!$A:$A,Vitezistii!$B84,Data!$C:$C,Vitezistii!L$1),0)</f>
        <v>0.5</v>
      </c>
      <c r="M84" s="31">
        <f>IFERROR(IF(SUMIFS(Data!$K:$K,Data!$A:$A,Vitezistii!$B84,Data!$C:$C,Vitezistii!M$1)=0," ",SUMIFS(Data!$K:$K,Data!$A:$A,Vitezistii!$B84,Data!$C:$C,Vitezistii!M$1))+SUMIFS(Data!$S:$S,Data!$A:$A,Vitezistii!$B84,Data!$C:$C,Vitezistii!M$1),0)</f>
        <v>1.5</v>
      </c>
      <c r="N84" s="31">
        <f>IFERROR(IF(SUMIFS(Data!$K:$K,Data!$A:$A,Vitezistii!$B84,Data!$C:$C,Vitezistii!N$1)=0," ",SUMIFS(Data!$K:$K,Data!$A:$A,Vitezistii!$B84,Data!$C:$C,Vitezistii!N$1))+SUMIFS(Data!$S:$S,Data!$A:$A,Vitezistii!$B84,Data!$C:$C,Vitezistii!N$1),0)</f>
        <v>0.25</v>
      </c>
      <c r="O84" s="31">
        <f>IFERROR(IF(SUMIFS(Data!$K:$K,Data!$A:$A,Vitezistii!$B84,Data!$C:$C,Vitezistii!O$1)=0," ",SUMIFS(Data!$K:$K,Data!$A:$A,Vitezistii!$B84,Data!$C:$C,Vitezistii!O$1))+SUMIFS(Data!$S:$S,Data!$A:$A,Vitezistii!$B84,Data!$C:$C,Vitezistii!O$1),0)</f>
        <v>0</v>
      </c>
      <c r="P84" s="31">
        <f>IFERROR(IF(SUMIFS(Data!$K:$K,Data!$A:$A,Vitezistii!$B84,Data!$C:$C,Vitezistii!P$1)=0," ",SUMIFS(Data!$K:$K,Data!$A:$A,Vitezistii!$B84,Data!$C:$C,Vitezistii!P$1))+SUMIFS(Data!$S:$S,Data!$A:$A,Vitezistii!$B84,Data!$C:$C,Vitezistii!P$1),0)</f>
        <v>1.75</v>
      </c>
      <c r="Q84" s="31">
        <f>IFERROR(IF(SUMIFS(Data!$K:$K,Data!$A:$A,Vitezistii!$B84,Data!$C:$C,Vitezistii!Q$1)=0," ",SUMIFS(Data!$K:$K,Data!$A:$A,Vitezistii!$B84,Data!$C:$C,Vitezistii!Q$1))+SUMIFS(Data!$S:$S,Data!$A:$A,Vitezistii!$B84,Data!$C:$C,Vitezistii!Q$1),0)</f>
        <v>1.5</v>
      </c>
      <c r="R84" s="31">
        <f>SUM(C84:Q84)</f>
        <v>8.25</v>
      </c>
      <c r="S84" s="31">
        <f>SUMIFS(Data!D:D,Data!A:A,Vitezistii!B144)</f>
        <v>0</v>
      </c>
      <c r="T84" s="12">
        <f>SUMIFS(Data!I:I,Data!A:A,Vitezistii!B84)/COUNTIF(Data!A:A,Vitezistii!B84)</f>
        <v>5.1478548729842356E-3</v>
      </c>
    </row>
    <row r="85" spans="1:20" ht="13" x14ac:dyDescent="0.3">
      <c r="A85" s="79">
        <v>84</v>
      </c>
      <c r="B85" s="30" t="s">
        <v>242</v>
      </c>
      <c r="C85" s="31">
        <f>IFERROR(IF(SUMIFS(Data!$K:$K,Data!$A:$A,Vitezistii!$B85,Data!$C:$C,Vitezistii!C$1)=0," ",SUMIFS(Data!$K:$K,Data!$A:$A,Vitezistii!$B85,Data!$C:$C,Vitezistii!C$1))+SUMIFS(Data!$S:$S,Data!$A:$A,Vitezistii!$B85,Data!$C:$C,Vitezistii!C$1),0)</f>
        <v>1.5</v>
      </c>
      <c r="D85" s="31">
        <f>IFERROR(IF(SUMIFS(Data!$K:$K,Data!$A:$A,Vitezistii!$B85,Data!$C:$C,Vitezistii!D$1)=0," ",SUMIFS(Data!$K:$K,Data!$A:$A,Vitezistii!$B85,Data!$C:$C,Vitezistii!D$1))+SUMIFS(Data!$S:$S,Data!$A:$A,Vitezistii!$B85,Data!$C:$C,Vitezistii!D$1),0)</f>
        <v>1.5</v>
      </c>
      <c r="E85" s="31">
        <f>IFERROR(IF(SUMIFS(Data!$K:$K,Data!$A:$A,Vitezistii!$B85,Data!$C:$C,Vitezistii!E$1)=0," ",SUMIFS(Data!$K:$K,Data!$A:$A,Vitezistii!$B85,Data!$C:$C,Vitezistii!E$1))+SUMIFS(Data!$S:$S,Data!$A:$A,Vitezistii!$B85,Data!$C:$C,Vitezistii!E$1),0)</f>
        <v>1.25</v>
      </c>
      <c r="F85" s="31">
        <f>IFERROR(IF(SUMIFS(Data!$K:$K,Data!$A:$A,Vitezistii!$B85,Data!$C:$C,Vitezistii!F$1)=0," ",SUMIFS(Data!$K:$K,Data!$A:$A,Vitezistii!$B85,Data!$C:$C,Vitezistii!F$1))+SUMIFS(Data!$S:$S,Data!$A:$A,Vitezistii!$B85,Data!$C:$C,Vitezistii!F$1),0)</f>
        <v>1.75</v>
      </c>
      <c r="G85" s="31">
        <f>IFERROR(IF(SUMIFS(Data!$K:$K,Data!$A:$A,Vitezistii!$B85,Data!$C:$C,Vitezistii!G$1)=0," ",SUMIFS(Data!$K:$K,Data!$A:$A,Vitezistii!$B85,Data!$C:$C,Vitezistii!G$1))+SUMIFS(Data!$S:$S,Data!$A:$A,Vitezistii!$B85,Data!$C:$C,Vitezistii!G$1),0)</f>
        <v>0</v>
      </c>
      <c r="H85" s="31">
        <f>IFERROR(IF(SUMIFS(Data!$K:$K,Data!$A:$A,Vitezistii!$B85,Data!$C:$C,Vitezistii!H$1)=0," ",SUMIFS(Data!$K:$K,Data!$A:$A,Vitezistii!$B85,Data!$C:$C,Vitezistii!H$1))+SUMIFS(Data!$S:$S,Data!$A:$A,Vitezistii!$B85,Data!$C:$C,Vitezistii!H$1),0)</f>
        <v>0</v>
      </c>
      <c r="I85" s="31">
        <f>IFERROR(IF(SUMIFS(Data!$K:$K,Data!$A:$A,Vitezistii!$B85,Data!$C:$C,Vitezistii!I$1)=0," ",SUMIFS(Data!$K:$K,Data!$A:$A,Vitezistii!$B85,Data!$C:$C,Vitezistii!I$1))+SUMIFS(Data!$S:$S,Data!$A:$A,Vitezistii!$B85,Data!$C:$C,Vitezistii!I$1),0)</f>
        <v>0</v>
      </c>
      <c r="J85" s="31">
        <f>IFERROR(IF(SUMIFS(Data!$K:$K,Data!$A:$A,Vitezistii!$B85,Data!$C:$C,Vitezistii!J$1)=0," ",SUMIFS(Data!$K:$K,Data!$A:$A,Vitezistii!$B85,Data!$C:$C,Vitezistii!J$1))+SUMIFS(Data!$S:$S,Data!$A:$A,Vitezistii!$B85,Data!$C:$C,Vitezistii!J$1),0)</f>
        <v>0</v>
      </c>
      <c r="K85" s="31">
        <f>IFERROR(IF(SUMIFS(Data!$K:$K,Data!$A:$A,Vitezistii!$B85,Data!$C:$C,Vitezistii!K$1)=0," ",SUMIFS(Data!$K:$K,Data!$A:$A,Vitezistii!$B85,Data!$C:$C,Vitezistii!K$1))+SUMIFS(Data!$S:$S,Data!$A:$A,Vitezistii!$B85,Data!$C:$C,Vitezistii!K$1),0)</f>
        <v>0</v>
      </c>
      <c r="L85" s="31">
        <f>IFERROR(IF(SUMIFS(Data!$K:$K,Data!$A:$A,Vitezistii!$B85,Data!$C:$C,Vitezistii!L$1)=0," ",SUMIFS(Data!$K:$K,Data!$A:$A,Vitezistii!$B85,Data!$C:$C,Vitezistii!L$1))+SUMIFS(Data!$S:$S,Data!$A:$A,Vitezistii!$B85,Data!$C:$C,Vitezistii!L$1),0)</f>
        <v>0</v>
      </c>
      <c r="M85" s="31">
        <f>IFERROR(IF(SUMIFS(Data!$K:$K,Data!$A:$A,Vitezistii!$B85,Data!$C:$C,Vitezistii!M$1)=0," ",SUMIFS(Data!$K:$K,Data!$A:$A,Vitezistii!$B85,Data!$C:$C,Vitezistii!M$1))+SUMIFS(Data!$S:$S,Data!$A:$A,Vitezistii!$B85,Data!$C:$C,Vitezistii!M$1),0)</f>
        <v>2</v>
      </c>
      <c r="N85" s="31">
        <f>IFERROR(IF(SUMIFS(Data!$K:$K,Data!$A:$A,Vitezistii!$B85,Data!$C:$C,Vitezistii!N$1)=0," ",SUMIFS(Data!$K:$K,Data!$A:$A,Vitezistii!$B85,Data!$C:$C,Vitezistii!N$1))+SUMIFS(Data!$S:$S,Data!$A:$A,Vitezistii!$B85,Data!$C:$C,Vitezistii!N$1),0)</f>
        <v>0</v>
      </c>
      <c r="O85" s="31">
        <f>IFERROR(IF(SUMIFS(Data!$K:$K,Data!$A:$A,Vitezistii!$B85,Data!$C:$C,Vitezistii!O$1)=0," ",SUMIFS(Data!$K:$K,Data!$A:$A,Vitezistii!$B85,Data!$C:$C,Vitezistii!O$1))+SUMIFS(Data!$S:$S,Data!$A:$A,Vitezistii!$B85,Data!$C:$C,Vitezistii!O$1),0)</f>
        <v>0</v>
      </c>
      <c r="P85" s="31">
        <f>IFERROR(IF(SUMIFS(Data!$K:$K,Data!$A:$A,Vitezistii!$B85,Data!$C:$C,Vitezistii!P$1)=0," ",SUMIFS(Data!$K:$K,Data!$A:$A,Vitezistii!$B85,Data!$C:$C,Vitezistii!P$1))+SUMIFS(Data!$S:$S,Data!$A:$A,Vitezistii!$B85,Data!$C:$C,Vitezistii!P$1),0)</f>
        <v>0</v>
      </c>
      <c r="Q85" s="31">
        <f>IFERROR(IF(SUMIFS(Data!$K:$K,Data!$A:$A,Vitezistii!$B85,Data!$C:$C,Vitezistii!Q$1)=0," ",SUMIFS(Data!$K:$K,Data!$A:$A,Vitezistii!$B85,Data!$C:$C,Vitezistii!Q$1))+SUMIFS(Data!$S:$S,Data!$A:$A,Vitezistii!$B85,Data!$C:$C,Vitezistii!Q$1),0)</f>
        <v>0</v>
      </c>
      <c r="R85" s="31">
        <f>SUM(C85:Q85)</f>
        <v>8</v>
      </c>
      <c r="S85" s="31">
        <f>SUMIFS(Data!D:D,Data!A:A,Vitezistii!B145)</f>
        <v>0</v>
      </c>
      <c r="T85" s="12">
        <f>SUMIFS(Data!I:I,Data!A:A,Vitezistii!B85)/COUNTIF(Data!A:A,Vitezistii!B85)</f>
        <v>4.0240174534564386E-3</v>
      </c>
    </row>
    <row r="86" spans="1:20" ht="13" x14ac:dyDescent="0.3">
      <c r="A86" s="79">
        <v>85</v>
      </c>
      <c r="B86" s="30" t="s">
        <v>433</v>
      </c>
      <c r="C86" s="31">
        <f>IFERROR(IF(SUMIFS(Data!$K:$K,Data!$A:$A,Vitezistii!$B86,Data!$C:$C,Vitezistii!C$1)=0," ",SUMIFS(Data!$K:$K,Data!$A:$A,Vitezistii!$B86,Data!$C:$C,Vitezistii!C$1))+SUMIFS(Data!$S:$S,Data!$A:$A,Vitezistii!$B86,Data!$C:$C,Vitezistii!C$1),0)</f>
        <v>0</v>
      </c>
      <c r="D86" s="31">
        <f>IFERROR(IF(SUMIFS(Data!$K:$K,Data!$A:$A,Vitezistii!$B86,Data!$C:$C,Vitezistii!D$1)=0," ",SUMIFS(Data!$K:$K,Data!$A:$A,Vitezistii!$B86,Data!$C:$C,Vitezistii!D$1))+SUMIFS(Data!$S:$S,Data!$A:$A,Vitezistii!$B86,Data!$C:$C,Vitezistii!D$1),0)</f>
        <v>0</v>
      </c>
      <c r="E86" s="31">
        <f>IFERROR(IF(SUMIFS(Data!$K:$K,Data!$A:$A,Vitezistii!$B86,Data!$C:$C,Vitezistii!E$1)=0," ",SUMIFS(Data!$K:$K,Data!$A:$A,Vitezistii!$B86,Data!$C:$C,Vitezistii!E$1))+SUMIFS(Data!$S:$S,Data!$A:$A,Vitezistii!$B86,Data!$C:$C,Vitezistii!E$1),0)</f>
        <v>0</v>
      </c>
      <c r="F86" s="31">
        <f>IFERROR(IF(SUMIFS(Data!$K:$K,Data!$A:$A,Vitezistii!$B86,Data!$C:$C,Vitezistii!F$1)=0," ",SUMIFS(Data!$K:$K,Data!$A:$A,Vitezistii!$B86,Data!$C:$C,Vitezistii!F$1))+SUMIFS(Data!$S:$S,Data!$A:$A,Vitezistii!$B86,Data!$C:$C,Vitezistii!F$1),0)</f>
        <v>0</v>
      </c>
      <c r="G86" s="31">
        <f>IFERROR(IF(SUMIFS(Data!$K:$K,Data!$A:$A,Vitezistii!$B86,Data!$C:$C,Vitezistii!G$1)=0," ",SUMIFS(Data!$K:$K,Data!$A:$A,Vitezistii!$B86,Data!$C:$C,Vitezistii!G$1))+SUMIFS(Data!$S:$S,Data!$A:$A,Vitezistii!$B86,Data!$C:$C,Vitezistii!G$1),0)</f>
        <v>1.5</v>
      </c>
      <c r="H86" s="31">
        <f>IFERROR(IF(SUMIFS(Data!$K:$K,Data!$A:$A,Vitezistii!$B86,Data!$C:$C,Vitezistii!H$1)=0," ",SUMIFS(Data!$K:$K,Data!$A:$A,Vitezistii!$B86,Data!$C:$C,Vitezistii!H$1))+SUMIFS(Data!$S:$S,Data!$A:$A,Vitezistii!$B86,Data!$C:$C,Vitezistii!H$1),0)</f>
        <v>1.5</v>
      </c>
      <c r="I86" s="31">
        <f>IFERROR(IF(SUMIFS(Data!$K:$K,Data!$A:$A,Vitezistii!$B86,Data!$C:$C,Vitezistii!I$1)=0," ",SUMIFS(Data!$K:$K,Data!$A:$A,Vitezistii!$B86,Data!$C:$C,Vitezistii!I$1))+SUMIFS(Data!$S:$S,Data!$A:$A,Vitezistii!$B86,Data!$C:$C,Vitezistii!I$1),0)</f>
        <v>2.5</v>
      </c>
      <c r="J86" s="31">
        <f>IFERROR(IF(SUMIFS(Data!$K:$K,Data!$A:$A,Vitezistii!$B86,Data!$C:$C,Vitezistii!J$1)=0," ",SUMIFS(Data!$K:$K,Data!$A:$A,Vitezistii!$B86,Data!$C:$C,Vitezistii!J$1))+SUMIFS(Data!$S:$S,Data!$A:$A,Vitezistii!$B86,Data!$C:$C,Vitezistii!J$1),0)</f>
        <v>1.25</v>
      </c>
      <c r="K86" s="31">
        <f>IFERROR(IF(SUMIFS(Data!$K:$K,Data!$A:$A,Vitezistii!$B86,Data!$C:$C,Vitezistii!K$1)=0," ",SUMIFS(Data!$K:$K,Data!$A:$A,Vitezistii!$B86,Data!$C:$C,Vitezistii!K$1))+SUMIFS(Data!$S:$S,Data!$A:$A,Vitezistii!$B86,Data!$C:$C,Vitezistii!K$1),0)</f>
        <v>0</v>
      </c>
      <c r="L86" s="31">
        <f>IFERROR(IF(SUMIFS(Data!$K:$K,Data!$A:$A,Vitezistii!$B86,Data!$C:$C,Vitezistii!L$1)=0," ",SUMIFS(Data!$K:$K,Data!$A:$A,Vitezistii!$B86,Data!$C:$C,Vitezistii!L$1))+SUMIFS(Data!$S:$S,Data!$A:$A,Vitezistii!$B86,Data!$C:$C,Vitezistii!L$1),0)</f>
        <v>0</v>
      </c>
      <c r="M86" s="31">
        <f>IFERROR(IF(SUMIFS(Data!$K:$K,Data!$A:$A,Vitezistii!$B86,Data!$C:$C,Vitezistii!M$1)=0," ",SUMIFS(Data!$K:$K,Data!$A:$A,Vitezistii!$B86,Data!$C:$C,Vitezistii!M$1))+SUMIFS(Data!$S:$S,Data!$A:$A,Vitezistii!$B86,Data!$C:$C,Vitezistii!M$1),0)</f>
        <v>0</v>
      </c>
      <c r="N86" s="31">
        <f>IFERROR(IF(SUMIFS(Data!$K:$K,Data!$A:$A,Vitezistii!$B86,Data!$C:$C,Vitezistii!N$1)=0," ",SUMIFS(Data!$K:$K,Data!$A:$A,Vitezistii!$B86,Data!$C:$C,Vitezistii!N$1))+SUMIFS(Data!$S:$S,Data!$A:$A,Vitezistii!$B86,Data!$C:$C,Vitezistii!N$1),0)</f>
        <v>0</v>
      </c>
      <c r="O86" s="31">
        <f>IFERROR(IF(SUMIFS(Data!$K:$K,Data!$A:$A,Vitezistii!$B86,Data!$C:$C,Vitezistii!O$1)=0," ",SUMIFS(Data!$K:$K,Data!$A:$A,Vitezistii!$B86,Data!$C:$C,Vitezistii!O$1))+SUMIFS(Data!$S:$S,Data!$A:$A,Vitezistii!$B86,Data!$C:$C,Vitezistii!O$1),0)</f>
        <v>0</v>
      </c>
      <c r="P86" s="31">
        <f>IFERROR(IF(SUMIFS(Data!$K:$K,Data!$A:$A,Vitezistii!$B86,Data!$C:$C,Vitezistii!P$1)=0," ",SUMIFS(Data!$K:$K,Data!$A:$A,Vitezistii!$B86,Data!$C:$C,Vitezistii!P$1))+SUMIFS(Data!$S:$S,Data!$A:$A,Vitezistii!$B86,Data!$C:$C,Vitezistii!P$1),0)</f>
        <v>0</v>
      </c>
      <c r="Q86" s="31">
        <f>IFERROR(IF(SUMIFS(Data!$K:$K,Data!$A:$A,Vitezistii!$B86,Data!$C:$C,Vitezistii!Q$1)=0," ",SUMIFS(Data!$K:$K,Data!$A:$A,Vitezistii!$B86,Data!$C:$C,Vitezistii!Q$1))+SUMIFS(Data!$S:$S,Data!$A:$A,Vitezistii!$B86,Data!$C:$C,Vitezistii!Q$1),0)</f>
        <v>0</v>
      </c>
      <c r="R86" s="31">
        <f>SUM(C86:Q86)</f>
        <v>6.75</v>
      </c>
      <c r="S86" s="31">
        <f>SUMIFS(Data!D:D,Data!A:A,Vitezistii!B146)</f>
        <v>0</v>
      </c>
      <c r="T86" s="12">
        <f>SUMIFS(Data!I:I,Data!A:A,Vitezistii!B86)/COUNTIF(Data!A:A,Vitezistii!B86)</f>
        <v>4.0041008594025327E-3</v>
      </c>
    </row>
    <row r="87" spans="1:20" ht="13" x14ac:dyDescent="0.3">
      <c r="A87" s="79">
        <v>86</v>
      </c>
      <c r="B87" s="30" t="s">
        <v>362</v>
      </c>
      <c r="C87" s="31">
        <f>IFERROR(IF(SUMIFS(Data!$K:$K,Data!$A:$A,Vitezistii!$B87,Data!$C:$C,Vitezistii!C$1)=0," ",SUMIFS(Data!$K:$K,Data!$A:$A,Vitezistii!$B87,Data!$C:$C,Vitezistii!C$1))+SUMIFS(Data!$S:$S,Data!$A:$A,Vitezistii!$B87,Data!$C:$C,Vitezistii!C$1),0)</f>
        <v>4</v>
      </c>
      <c r="D87" s="31">
        <f>IFERROR(IF(SUMIFS(Data!$K:$K,Data!$A:$A,Vitezistii!$B87,Data!$C:$C,Vitezistii!D$1)=0," ",SUMIFS(Data!$K:$K,Data!$A:$A,Vitezistii!$B87,Data!$C:$C,Vitezistii!D$1))+SUMIFS(Data!$S:$S,Data!$A:$A,Vitezistii!$B87,Data!$C:$C,Vitezistii!D$1),0)</f>
        <v>0.25</v>
      </c>
      <c r="E87" s="31">
        <f>IFERROR(IF(SUMIFS(Data!$K:$K,Data!$A:$A,Vitezistii!$B87,Data!$C:$C,Vitezistii!E$1)=0," ",SUMIFS(Data!$K:$K,Data!$A:$A,Vitezistii!$B87,Data!$C:$C,Vitezistii!E$1))+SUMIFS(Data!$S:$S,Data!$A:$A,Vitezistii!$B87,Data!$C:$C,Vitezistii!E$1),0)</f>
        <v>0</v>
      </c>
      <c r="F87" s="31">
        <f>IFERROR(IF(SUMIFS(Data!$K:$K,Data!$A:$A,Vitezistii!$B87,Data!$C:$C,Vitezistii!F$1)=0," ",SUMIFS(Data!$K:$K,Data!$A:$A,Vitezistii!$B87,Data!$C:$C,Vitezistii!F$1))+SUMIFS(Data!$S:$S,Data!$A:$A,Vitezistii!$B87,Data!$C:$C,Vitezistii!F$1),0)</f>
        <v>0.25</v>
      </c>
      <c r="G87" s="31">
        <f>IFERROR(IF(SUMIFS(Data!$K:$K,Data!$A:$A,Vitezistii!$B87,Data!$C:$C,Vitezistii!G$1)=0," ",SUMIFS(Data!$K:$K,Data!$A:$A,Vitezistii!$B87,Data!$C:$C,Vitezistii!G$1))+SUMIFS(Data!$S:$S,Data!$A:$A,Vitezistii!$B87,Data!$C:$C,Vitezistii!G$1),0)</f>
        <v>0.75</v>
      </c>
      <c r="H87" s="31">
        <f>IFERROR(IF(SUMIFS(Data!$K:$K,Data!$A:$A,Vitezistii!$B87,Data!$C:$C,Vitezistii!H$1)=0," ",SUMIFS(Data!$K:$K,Data!$A:$A,Vitezistii!$B87,Data!$C:$C,Vitezistii!H$1))+SUMIFS(Data!$S:$S,Data!$A:$A,Vitezistii!$B87,Data!$C:$C,Vitezistii!H$1),0)</f>
        <v>1.25</v>
      </c>
      <c r="I87" s="31">
        <f>IFERROR(IF(SUMIFS(Data!$K:$K,Data!$A:$A,Vitezistii!$B87,Data!$C:$C,Vitezistii!I$1)=0," ",SUMIFS(Data!$K:$K,Data!$A:$A,Vitezistii!$B87,Data!$C:$C,Vitezistii!I$1))+SUMIFS(Data!$S:$S,Data!$A:$A,Vitezistii!$B87,Data!$C:$C,Vitezistii!I$1),0)</f>
        <v>0</v>
      </c>
      <c r="J87" s="31">
        <f>IFERROR(IF(SUMIFS(Data!$K:$K,Data!$A:$A,Vitezistii!$B87,Data!$C:$C,Vitezistii!J$1)=0," ",SUMIFS(Data!$K:$K,Data!$A:$A,Vitezistii!$B87,Data!$C:$C,Vitezistii!J$1))+SUMIFS(Data!$S:$S,Data!$A:$A,Vitezistii!$B87,Data!$C:$C,Vitezistii!J$1),0)</f>
        <v>0</v>
      </c>
      <c r="K87" s="31">
        <f>IFERROR(IF(SUMIFS(Data!$K:$K,Data!$A:$A,Vitezistii!$B87,Data!$C:$C,Vitezistii!K$1)=0," ",SUMIFS(Data!$K:$K,Data!$A:$A,Vitezistii!$B87,Data!$C:$C,Vitezistii!K$1))+SUMIFS(Data!$S:$S,Data!$A:$A,Vitezistii!$B87,Data!$C:$C,Vitezistii!K$1),0)</f>
        <v>0</v>
      </c>
      <c r="L87" s="31">
        <f>IFERROR(IF(SUMIFS(Data!$K:$K,Data!$A:$A,Vitezistii!$B87,Data!$C:$C,Vitezistii!L$1)=0," ",SUMIFS(Data!$K:$K,Data!$A:$A,Vitezistii!$B87,Data!$C:$C,Vitezistii!L$1))+SUMIFS(Data!$S:$S,Data!$A:$A,Vitezistii!$B87,Data!$C:$C,Vitezistii!L$1),0)</f>
        <v>0</v>
      </c>
      <c r="M87" s="31">
        <f>IFERROR(IF(SUMIFS(Data!$K:$K,Data!$A:$A,Vitezistii!$B87,Data!$C:$C,Vitezistii!M$1)=0," ",SUMIFS(Data!$K:$K,Data!$A:$A,Vitezistii!$B87,Data!$C:$C,Vitezistii!M$1))+SUMIFS(Data!$S:$S,Data!$A:$A,Vitezistii!$B87,Data!$C:$C,Vitezistii!M$1),0)</f>
        <v>0</v>
      </c>
      <c r="N87" s="31">
        <f>IFERROR(IF(SUMIFS(Data!$K:$K,Data!$A:$A,Vitezistii!$B87,Data!$C:$C,Vitezistii!N$1)=0," ",SUMIFS(Data!$K:$K,Data!$A:$A,Vitezistii!$B87,Data!$C:$C,Vitezistii!N$1))+SUMIFS(Data!$S:$S,Data!$A:$A,Vitezistii!$B87,Data!$C:$C,Vitezistii!N$1),0)</f>
        <v>0</v>
      </c>
      <c r="O87" s="31">
        <f>IFERROR(IF(SUMIFS(Data!$K:$K,Data!$A:$A,Vitezistii!$B87,Data!$C:$C,Vitezistii!O$1)=0," ",SUMIFS(Data!$K:$K,Data!$A:$A,Vitezistii!$B87,Data!$C:$C,Vitezistii!O$1))+SUMIFS(Data!$S:$S,Data!$A:$A,Vitezistii!$B87,Data!$C:$C,Vitezistii!O$1),0)</f>
        <v>0</v>
      </c>
      <c r="P87" s="31">
        <f>IFERROR(IF(SUMIFS(Data!$K:$K,Data!$A:$A,Vitezistii!$B87,Data!$C:$C,Vitezistii!P$1)=0," ",SUMIFS(Data!$K:$K,Data!$A:$A,Vitezistii!$B87,Data!$C:$C,Vitezistii!P$1))+SUMIFS(Data!$S:$S,Data!$A:$A,Vitezistii!$B87,Data!$C:$C,Vitezistii!P$1),0)</f>
        <v>0</v>
      </c>
      <c r="Q87" s="31">
        <f>IFERROR(IF(SUMIFS(Data!$K:$K,Data!$A:$A,Vitezistii!$B87,Data!$C:$C,Vitezistii!Q$1)=0," ",SUMIFS(Data!$K:$K,Data!$A:$A,Vitezistii!$B87,Data!$C:$C,Vitezistii!Q$1))+SUMIFS(Data!$S:$S,Data!$A:$A,Vitezistii!$B87,Data!$C:$C,Vitezistii!Q$1),0)</f>
        <v>0</v>
      </c>
      <c r="R87" s="31">
        <f>SUM(C87:Q87)</f>
        <v>6.5</v>
      </c>
      <c r="S87" s="31">
        <f>SUMIFS(Data!D:D,Data!A:A,Vitezistii!B147)</f>
        <v>0</v>
      </c>
      <c r="T87" s="12">
        <f>SUMIFS(Data!I:I,Data!A:A,Vitezistii!B87)/COUNTIF(Data!A:A,Vitezistii!B87)</f>
        <v>5.5475472145557524E-3</v>
      </c>
    </row>
    <row r="88" spans="1:20" ht="13" x14ac:dyDescent="0.3">
      <c r="A88" s="79">
        <v>87</v>
      </c>
      <c r="B88" s="30" t="s">
        <v>380</v>
      </c>
      <c r="C88" s="31">
        <f>IFERROR(IF(SUMIFS(Data!$K:$K,Data!$A:$A,Vitezistii!$B88,Data!$C:$C,Vitezistii!C$1)=0," ",SUMIFS(Data!$K:$K,Data!$A:$A,Vitezistii!$B88,Data!$C:$C,Vitezistii!C$1))+SUMIFS(Data!$S:$S,Data!$A:$A,Vitezistii!$B88,Data!$C:$C,Vitezistii!C$1),0)</f>
        <v>0</v>
      </c>
      <c r="D88" s="31">
        <f>IFERROR(IF(SUMIFS(Data!$K:$K,Data!$A:$A,Vitezistii!$B88,Data!$C:$C,Vitezistii!D$1)=0," ",SUMIFS(Data!$K:$K,Data!$A:$A,Vitezistii!$B88,Data!$C:$C,Vitezistii!D$1))+SUMIFS(Data!$S:$S,Data!$A:$A,Vitezistii!$B88,Data!$C:$C,Vitezistii!D$1),0)</f>
        <v>1</v>
      </c>
      <c r="E88" s="31">
        <f>IFERROR(IF(SUMIFS(Data!$K:$K,Data!$A:$A,Vitezistii!$B88,Data!$C:$C,Vitezistii!E$1)=0," ",SUMIFS(Data!$K:$K,Data!$A:$A,Vitezistii!$B88,Data!$C:$C,Vitezistii!E$1))+SUMIFS(Data!$S:$S,Data!$A:$A,Vitezistii!$B88,Data!$C:$C,Vitezistii!E$1),0)</f>
        <v>0</v>
      </c>
      <c r="F88" s="31">
        <f>IFERROR(IF(SUMIFS(Data!$K:$K,Data!$A:$A,Vitezistii!$B88,Data!$C:$C,Vitezistii!F$1)=0," ",SUMIFS(Data!$K:$K,Data!$A:$A,Vitezistii!$B88,Data!$C:$C,Vitezistii!F$1))+SUMIFS(Data!$S:$S,Data!$A:$A,Vitezistii!$B88,Data!$C:$C,Vitezistii!F$1),0)</f>
        <v>0</v>
      </c>
      <c r="G88" s="31">
        <f>IFERROR(IF(SUMIFS(Data!$K:$K,Data!$A:$A,Vitezistii!$B88,Data!$C:$C,Vitezistii!G$1)=0," ",SUMIFS(Data!$K:$K,Data!$A:$A,Vitezistii!$B88,Data!$C:$C,Vitezistii!G$1))+SUMIFS(Data!$S:$S,Data!$A:$A,Vitezistii!$B88,Data!$C:$C,Vitezistii!G$1),0)</f>
        <v>0</v>
      </c>
      <c r="H88" s="31">
        <f>IFERROR(IF(SUMIFS(Data!$K:$K,Data!$A:$A,Vitezistii!$B88,Data!$C:$C,Vitezistii!H$1)=0," ",SUMIFS(Data!$K:$K,Data!$A:$A,Vitezistii!$B88,Data!$C:$C,Vitezistii!H$1))+SUMIFS(Data!$S:$S,Data!$A:$A,Vitezistii!$B88,Data!$C:$C,Vitezistii!H$1),0)</f>
        <v>0</v>
      </c>
      <c r="I88" s="31">
        <f>IFERROR(IF(SUMIFS(Data!$K:$K,Data!$A:$A,Vitezistii!$B88,Data!$C:$C,Vitezistii!I$1)=0," ",SUMIFS(Data!$K:$K,Data!$A:$A,Vitezistii!$B88,Data!$C:$C,Vitezistii!I$1))+SUMIFS(Data!$S:$S,Data!$A:$A,Vitezistii!$B88,Data!$C:$C,Vitezistii!I$1),0)</f>
        <v>0</v>
      </c>
      <c r="J88" s="31">
        <f>IFERROR(IF(SUMIFS(Data!$K:$K,Data!$A:$A,Vitezistii!$B88,Data!$C:$C,Vitezistii!J$1)=0," ",SUMIFS(Data!$K:$K,Data!$A:$A,Vitezistii!$B88,Data!$C:$C,Vitezistii!J$1))+SUMIFS(Data!$S:$S,Data!$A:$A,Vitezistii!$B88,Data!$C:$C,Vitezistii!J$1),0)</f>
        <v>2.5</v>
      </c>
      <c r="K88" s="31">
        <f>IFERROR(IF(SUMIFS(Data!$K:$K,Data!$A:$A,Vitezistii!$B88,Data!$C:$C,Vitezistii!K$1)=0," ",SUMIFS(Data!$K:$K,Data!$A:$A,Vitezistii!$B88,Data!$C:$C,Vitezistii!K$1))+SUMIFS(Data!$S:$S,Data!$A:$A,Vitezistii!$B88,Data!$C:$C,Vitezistii!K$1),0)</f>
        <v>0</v>
      </c>
      <c r="L88" s="31">
        <f>IFERROR(IF(SUMIFS(Data!$K:$K,Data!$A:$A,Vitezistii!$B88,Data!$C:$C,Vitezistii!L$1)=0," ",SUMIFS(Data!$K:$K,Data!$A:$A,Vitezistii!$B88,Data!$C:$C,Vitezistii!L$1))+SUMIFS(Data!$S:$S,Data!$A:$A,Vitezistii!$B88,Data!$C:$C,Vitezistii!L$1),0)</f>
        <v>0</v>
      </c>
      <c r="M88" s="31">
        <f>IFERROR(IF(SUMIFS(Data!$K:$K,Data!$A:$A,Vitezistii!$B88,Data!$C:$C,Vitezistii!M$1)=0," ",SUMIFS(Data!$K:$K,Data!$A:$A,Vitezistii!$B88,Data!$C:$C,Vitezistii!M$1))+SUMIFS(Data!$S:$S,Data!$A:$A,Vitezistii!$B88,Data!$C:$C,Vitezistii!M$1),0)</f>
        <v>0</v>
      </c>
      <c r="N88" s="31">
        <f>IFERROR(IF(SUMIFS(Data!$K:$K,Data!$A:$A,Vitezistii!$B88,Data!$C:$C,Vitezistii!N$1)=0," ",SUMIFS(Data!$K:$K,Data!$A:$A,Vitezistii!$B88,Data!$C:$C,Vitezistii!N$1))+SUMIFS(Data!$S:$S,Data!$A:$A,Vitezistii!$B88,Data!$C:$C,Vitezistii!N$1),0)</f>
        <v>2.5</v>
      </c>
      <c r="O88" s="31">
        <f>IFERROR(IF(SUMIFS(Data!$K:$K,Data!$A:$A,Vitezistii!$B88,Data!$C:$C,Vitezistii!O$1)=0," ",SUMIFS(Data!$K:$K,Data!$A:$A,Vitezistii!$B88,Data!$C:$C,Vitezistii!O$1))+SUMIFS(Data!$S:$S,Data!$A:$A,Vitezistii!$B88,Data!$C:$C,Vitezistii!O$1),0)</f>
        <v>0</v>
      </c>
      <c r="P88" s="31">
        <f>IFERROR(IF(SUMIFS(Data!$K:$K,Data!$A:$A,Vitezistii!$B88,Data!$C:$C,Vitezistii!P$1)=0," ",SUMIFS(Data!$K:$K,Data!$A:$A,Vitezistii!$B88,Data!$C:$C,Vitezistii!P$1))+SUMIFS(Data!$S:$S,Data!$A:$A,Vitezistii!$B88,Data!$C:$C,Vitezistii!P$1),0)</f>
        <v>0</v>
      </c>
      <c r="Q88" s="31">
        <f>IFERROR(IF(SUMIFS(Data!$K:$K,Data!$A:$A,Vitezistii!$B88,Data!$C:$C,Vitezistii!Q$1)=0," ",SUMIFS(Data!$K:$K,Data!$A:$A,Vitezistii!$B88,Data!$C:$C,Vitezistii!Q$1))+SUMIFS(Data!$S:$S,Data!$A:$A,Vitezistii!$B88,Data!$C:$C,Vitezistii!Q$1),0)</f>
        <v>0</v>
      </c>
      <c r="R88" s="31">
        <f>SUM(C88:Q88)</f>
        <v>6</v>
      </c>
      <c r="S88" s="31">
        <f>SUMIFS(Data!D:D,Data!A:A,Vitezistii!B148)</f>
        <v>0</v>
      </c>
      <c r="T88" s="12">
        <f>SUMIFS(Data!I:I,Data!A:A,Vitezistii!B88)/COUNTIF(Data!A:A,Vitezistii!B88)</f>
        <v>3.9040296115225811E-3</v>
      </c>
    </row>
    <row r="89" spans="1:20" ht="13" x14ac:dyDescent="0.3">
      <c r="A89" s="79">
        <v>88</v>
      </c>
      <c r="B89" s="30" t="s">
        <v>406</v>
      </c>
      <c r="C89" s="31">
        <f>IFERROR(IF(SUMIFS(Data!$K:$K,Data!$A:$A,Vitezistii!$B89,Data!$C:$C,Vitezistii!C$1)=0," ",SUMIFS(Data!$K:$K,Data!$A:$A,Vitezistii!$B89,Data!$C:$C,Vitezistii!C$1))+SUMIFS(Data!$S:$S,Data!$A:$A,Vitezistii!$B89,Data!$C:$C,Vitezistii!C$1),0)</f>
        <v>0</v>
      </c>
      <c r="D89" s="31">
        <f>IFERROR(IF(SUMIFS(Data!$K:$K,Data!$A:$A,Vitezistii!$B89,Data!$C:$C,Vitezistii!D$1)=0," ",SUMIFS(Data!$K:$K,Data!$A:$A,Vitezistii!$B89,Data!$C:$C,Vitezistii!D$1))+SUMIFS(Data!$S:$S,Data!$A:$A,Vitezistii!$B89,Data!$C:$C,Vitezistii!D$1),0)</f>
        <v>0</v>
      </c>
      <c r="E89" s="31">
        <f>IFERROR(IF(SUMIFS(Data!$K:$K,Data!$A:$A,Vitezistii!$B89,Data!$C:$C,Vitezistii!E$1)=0," ",SUMIFS(Data!$K:$K,Data!$A:$A,Vitezistii!$B89,Data!$C:$C,Vitezistii!E$1))+SUMIFS(Data!$S:$S,Data!$A:$A,Vitezistii!$B89,Data!$C:$C,Vitezistii!E$1),0)</f>
        <v>0</v>
      </c>
      <c r="F89" s="31">
        <f>IFERROR(IF(SUMIFS(Data!$K:$K,Data!$A:$A,Vitezistii!$B89,Data!$C:$C,Vitezistii!F$1)=0," ",SUMIFS(Data!$K:$K,Data!$A:$A,Vitezistii!$B89,Data!$C:$C,Vitezistii!F$1))+SUMIFS(Data!$S:$S,Data!$A:$A,Vitezistii!$B89,Data!$C:$C,Vitezistii!F$1),0)</f>
        <v>0</v>
      </c>
      <c r="G89" s="31">
        <f>IFERROR(IF(SUMIFS(Data!$K:$K,Data!$A:$A,Vitezistii!$B89,Data!$C:$C,Vitezistii!G$1)=0," ",SUMIFS(Data!$K:$K,Data!$A:$A,Vitezistii!$B89,Data!$C:$C,Vitezistii!G$1))+SUMIFS(Data!$S:$S,Data!$A:$A,Vitezistii!$B89,Data!$C:$C,Vitezistii!G$1),0)</f>
        <v>1.75</v>
      </c>
      <c r="H89" s="31">
        <f>IFERROR(IF(SUMIFS(Data!$K:$K,Data!$A:$A,Vitezistii!$B89,Data!$C:$C,Vitezistii!H$1)=0," ",SUMIFS(Data!$K:$K,Data!$A:$A,Vitezistii!$B89,Data!$C:$C,Vitezistii!H$1))+SUMIFS(Data!$S:$S,Data!$A:$A,Vitezistii!$B89,Data!$C:$C,Vitezistii!H$1),0)</f>
        <v>0.25</v>
      </c>
      <c r="I89" s="31">
        <f>IFERROR(IF(SUMIFS(Data!$K:$K,Data!$A:$A,Vitezistii!$B89,Data!$C:$C,Vitezistii!I$1)=0," ",SUMIFS(Data!$K:$K,Data!$A:$A,Vitezistii!$B89,Data!$C:$C,Vitezistii!I$1))+SUMIFS(Data!$S:$S,Data!$A:$A,Vitezistii!$B89,Data!$C:$C,Vitezistii!I$1),0)</f>
        <v>0.25</v>
      </c>
      <c r="J89" s="31">
        <f>IFERROR(IF(SUMIFS(Data!$K:$K,Data!$A:$A,Vitezistii!$B89,Data!$C:$C,Vitezistii!J$1)=0," ",SUMIFS(Data!$K:$K,Data!$A:$A,Vitezistii!$B89,Data!$C:$C,Vitezistii!J$1))+SUMIFS(Data!$S:$S,Data!$A:$A,Vitezistii!$B89,Data!$C:$C,Vitezistii!J$1),0)</f>
        <v>3</v>
      </c>
      <c r="K89" s="31">
        <f>IFERROR(IF(SUMIFS(Data!$K:$K,Data!$A:$A,Vitezistii!$B89,Data!$C:$C,Vitezistii!K$1)=0," ",SUMIFS(Data!$K:$K,Data!$A:$A,Vitezistii!$B89,Data!$C:$C,Vitezistii!K$1))+SUMIFS(Data!$S:$S,Data!$A:$A,Vitezistii!$B89,Data!$C:$C,Vitezistii!K$1),0)</f>
        <v>0</v>
      </c>
      <c r="L89" s="31">
        <f>IFERROR(IF(SUMIFS(Data!$K:$K,Data!$A:$A,Vitezistii!$B89,Data!$C:$C,Vitezistii!L$1)=0," ",SUMIFS(Data!$K:$K,Data!$A:$A,Vitezistii!$B89,Data!$C:$C,Vitezistii!L$1))+SUMIFS(Data!$S:$S,Data!$A:$A,Vitezistii!$B89,Data!$C:$C,Vitezistii!L$1),0)</f>
        <v>0.5</v>
      </c>
      <c r="M89" s="31">
        <f>IFERROR(IF(SUMIFS(Data!$K:$K,Data!$A:$A,Vitezistii!$B89,Data!$C:$C,Vitezistii!M$1)=0," ",SUMIFS(Data!$K:$K,Data!$A:$A,Vitezistii!$B89,Data!$C:$C,Vitezistii!M$1))+SUMIFS(Data!$S:$S,Data!$A:$A,Vitezistii!$B89,Data!$C:$C,Vitezistii!M$1),0)</f>
        <v>0</v>
      </c>
      <c r="N89" s="31">
        <f>IFERROR(IF(SUMIFS(Data!$K:$K,Data!$A:$A,Vitezistii!$B89,Data!$C:$C,Vitezistii!N$1)=0," ",SUMIFS(Data!$K:$K,Data!$A:$A,Vitezistii!$B89,Data!$C:$C,Vitezistii!N$1))+SUMIFS(Data!$S:$S,Data!$A:$A,Vitezistii!$B89,Data!$C:$C,Vitezistii!N$1),0)</f>
        <v>0</v>
      </c>
      <c r="O89" s="31">
        <f>IFERROR(IF(SUMIFS(Data!$K:$K,Data!$A:$A,Vitezistii!$B89,Data!$C:$C,Vitezistii!O$1)=0," ",SUMIFS(Data!$K:$K,Data!$A:$A,Vitezistii!$B89,Data!$C:$C,Vitezistii!O$1))+SUMIFS(Data!$S:$S,Data!$A:$A,Vitezistii!$B89,Data!$C:$C,Vitezistii!O$1),0)</f>
        <v>0</v>
      </c>
      <c r="P89" s="31">
        <f>IFERROR(IF(SUMIFS(Data!$K:$K,Data!$A:$A,Vitezistii!$B89,Data!$C:$C,Vitezistii!P$1)=0," ",SUMIFS(Data!$K:$K,Data!$A:$A,Vitezistii!$B89,Data!$C:$C,Vitezistii!P$1))+SUMIFS(Data!$S:$S,Data!$A:$A,Vitezistii!$B89,Data!$C:$C,Vitezistii!P$1),0)</f>
        <v>0</v>
      </c>
      <c r="Q89" s="31">
        <f>IFERROR(IF(SUMIFS(Data!$K:$K,Data!$A:$A,Vitezistii!$B89,Data!$C:$C,Vitezistii!Q$1)=0," ",SUMIFS(Data!$K:$K,Data!$A:$A,Vitezistii!$B89,Data!$C:$C,Vitezistii!Q$1))+SUMIFS(Data!$S:$S,Data!$A:$A,Vitezistii!$B89,Data!$C:$C,Vitezistii!Q$1),0)</f>
        <v>0</v>
      </c>
      <c r="R89" s="31">
        <f>SUM(C89:Q89)</f>
        <v>5.75</v>
      </c>
      <c r="S89" s="31">
        <f>SUMIFS(Data!D:D,Data!A:A,Vitezistii!B149)</f>
        <v>0</v>
      </c>
      <c r="T89" s="12">
        <f>SUMIFS(Data!I:I,Data!A:A,Vitezistii!B89)/COUNTIF(Data!A:A,Vitezistii!B89)</f>
        <v>4.9843944427894792E-3</v>
      </c>
    </row>
    <row r="90" spans="1:20" ht="13" x14ac:dyDescent="0.3">
      <c r="A90" s="79">
        <v>89</v>
      </c>
      <c r="B90" s="30" t="s">
        <v>369</v>
      </c>
      <c r="C90" s="31">
        <f>IFERROR(IF(SUMIFS(Data!$K:$K,Data!$A:$A,Vitezistii!$B90,Data!$C:$C,Vitezistii!C$1)=0," ",SUMIFS(Data!$K:$K,Data!$A:$A,Vitezistii!$B90,Data!$C:$C,Vitezistii!C$1))+SUMIFS(Data!$S:$S,Data!$A:$A,Vitezistii!$B90,Data!$C:$C,Vitezistii!C$1),0)</f>
        <v>0</v>
      </c>
      <c r="D90" s="31">
        <f>IFERROR(IF(SUMIFS(Data!$K:$K,Data!$A:$A,Vitezistii!$B90,Data!$C:$C,Vitezistii!D$1)=0," ",SUMIFS(Data!$K:$K,Data!$A:$A,Vitezistii!$B90,Data!$C:$C,Vitezistii!D$1))+SUMIFS(Data!$S:$S,Data!$A:$A,Vitezistii!$B90,Data!$C:$C,Vitezistii!D$1),0)</f>
        <v>0</v>
      </c>
      <c r="E90" s="31">
        <f>IFERROR(IF(SUMIFS(Data!$K:$K,Data!$A:$A,Vitezistii!$B90,Data!$C:$C,Vitezistii!E$1)=0," ",SUMIFS(Data!$K:$K,Data!$A:$A,Vitezistii!$B90,Data!$C:$C,Vitezistii!E$1))+SUMIFS(Data!$S:$S,Data!$A:$A,Vitezistii!$B90,Data!$C:$C,Vitezistii!E$1),0)</f>
        <v>0</v>
      </c>
      <c r="F90" s="31">
        <f>IFERROR(IF(SUMIFS(Data!$K:$K,Data!$A:$A,Vitezistii!$B90,Data!$C:$C,Vitezistii!F$1)=0," ",SUMIFS(Data!$K:$K,Data!$A:$A,Vitezistii!$B90,Data!$C:$C,Vitezistii!F$1))+SUMIFS(Data!$S:$S,Data!$A:$A,Vitezistii!$B90,Data!$C:$C,Vitezistii!F$1),0)</f>
        <v>0</v>
      </c>
      <c r="G90" s="31">
        <f>IFERROR(IF(SUMIFS(Data!$K:$K,Data!$A:$A,Vitezistii!$B90,Data!$C:$C,Vitezistii!G$1)=0," ",SUMIFS(Data!$K:$K,Data!$A:$A,Vitezistii!$B90,Data!$C:$C,Vitezistii!G$1))+SUMIFS(Data!$S:$S,Data!$A:$A,Vitezistii!$B90,Data!$C:$C,Vitezistii!G$1),0)</f>
        <v>0</v>
      </c>
      <c r="H90" s="31">
        <f>IFERROR(IF(SUMIFS(Data!$K:$K,Data!$A:$A,Vitezistii!$B90,Data!$C:$C,Vitezistii!H$1)=0," ",SUMIFS(Data!$K:$K,Data!$A:$A,Vitezistii!$B90,Data!$C:$C,Vitezistii!H$1))+SUMIFS(Data!$S:$S,Data!$A:$A,Vitezistii!$B90,Data!$C:$C,Vitezistii!H$1),0)</f>
        <v>0</v>
      </c>
      <c r="I90" s="31">
        <f>IFERROR(IF(SUMIFS(Data!$K:$K,Data!$A:$A,Vitezistii!$B90,Data!$C:$C,Vitezistii!I$1)=0," ",SUMIFS(Data!$K:$K,Data!$A:$A,Vitezistii!$B90,Data!$C:$C,Vitezistii!I$1))+SUMIFS(Data!$S:$S,Data!$A:$A,Vitezistii!$B90,Data!$C:$C,Vitezistii!I$1),0)</f>
        <v>0.75</v>
      </c>
      <c r="J90" s="31">
        <f>IFERROR(IF(SUMIFS(Data!$K:$K,Data!$A:$A,Vitezistii!$B90,Data!$C:$C,Vitezistii!J$1)=0," ",SUMIFS(Data!$K:$K,Data!$A:$A,Vitezistii!$B90,Data!$C:$C,Vitezistii!J$1))+SUMIFS(Data!$S:$S,Data!$A:$A,Vitezistii!$B90,Data!$C:$C,Vitezistii!J$1),0)</f>
        <v>0</v>
      </c>
      <c r="K90" s="31">
        <f>IFERROR(IF(SUMIFS(Data!$K:$K,Data!$A:$A,Vitezistii!$B90,Data!$C:$C,Vitezistii!K$1)=0," ",SUMIFS(Data!$K:$K,Data!$A:$A,Vitezistii!$B90,Data!$C:$C,Vitezistii!K$1))+SUMIFS(Data!$S:$S,Data!$A:$A,Vitezistii!$B90,Data!$C:$C,Vitezistii!K$1),0)</f>
        <v>1.25</v>
      </c>
      <c r="L90" s="31">
        <f>IFERROR(IF(SUMIFS(Data!$K:$K,Data!$A:$A,Vitezistii!$B90,Data!$C:$C,Vitezistii!L$1)=0," ",SUMIFS(Data!$K:$K,Data!$A:$A,Vitezistii!$B90,Data!$C:$C,Vitezistii!L$1))+SUMIFS(Data!$S:$S,Data!$A:$A,Vitezistii!$B90,Data!$C:$C,Vitezistii!L$1),0)</f>
        <v>0</v>
      </c>
      <c r="M90" s="31">
        <f>IFERROR(IF(SUMIFS(Data!$K:$K,Data!$A:$A,Vitezistii!$B90,Data!$C:$C,Vitezistii!M$1)=0," ",SUMIFS(Data!$K:$K,Data!$A:$A,Vitezistii!$B90,Data!$C:$C,Vitezistii!M$1))+SUMIFS(Data!$S:$S,Data!$A:$A,Vitezistii!$B90,Data!$C:$C,Vitezistii!M$1),0)</f>
        <v>1.5</v>
      </c>
      <c r="N90" s="31">
        <f>IFERROR(IF(SUMIFS(Data!$K:$K,Data!$A:$A,Vitezistii!$B90,Data!$C:$C,Vitezistii!N$1)=0," ",SUMIFS(Data!$K:$K,Data!$A:$A,Vitezistii!$B90,Data!$C:$C,Vitezistii!N$1))+SUMIFS(Data!$S:$S,Data!$A:$A,Vitezistii!$B90,Data!$C:$C,Vitezistii!N$1),0)</f>
        <v>0.5</v>
      </c>
      <c r="O90" s="31">
        <f>IFERROR(IF(SUMIFS(Data!$K:$K,Data!$A:$A,Vitezistii!$B90,Data!$C:$C,Vitezistii!O$1)=0," ",SUMIFS(Data!$K:$K,Data!$A:$A,Vitezistii!$B90,Data!$C:$C,Vitezistii!O$1))+SUMIFS(Data!$S:$S,Data!$A:$A,Vitezistii!$B90,Data!$C:$C,Vitezistii!O$1),0)</f>
        <v>0</v>
      </c>
      <c r="P90" s="31">
        <f>IFERROR(IF(SUMIFS(Data!$K:$K,Data!$A:$A,Vitezistii!$B90,Data!$C:$C,Vitezistii!P$1)=0," ",SUMIFS(Data!$K:$K,Data!$A:$A,Vitezistii!$B90,Data!$C:$C,Vitezistii!P$1))+SUMIFS(Data!$S:$S,Data!$A:$A,Vitezistii!$B90,Data!$C:$C,Vitezistii!P$1),0)</f>
        <v>0</v>
      </c>
      <c r="Q90" s="31">
        <f>IFERROR(IF(SUMIFS(Data!$K:$K,Data!$A:$A,Vitezistii!$B90,Data!$C:$C,Vitezistii!Q$1)=0," ",SUMIFS(Data!$K:$K,Data!$A:$A,Vitezistii!$B90,Data!$C:$C,Vitezistii!Q$1))+SUMIFS(Data!$S:$S,Data!$A:$A,Vitezistii!$B90,Data!$C:$C,Vitezistii!Q$1),0)</f>
        <v>1.75</v>
      </c>
      <c r="R90" s="31">
        <f>SUM(C90:Q90)</f>
        <v>5.75</v>
      </c>
      <c r="S90" s="31">
        <f>SUMIFS(Data!D:D,Data!A:A,Vitezistii!B150)</f>
        <v>0</v>
      </c>
      <c r="T90" s="12">
        <f>SUMIFS(Data!I:I,Data!A:A,Vitezistii!B90)/COUNTIF(Data!A:A,Vitezistii!B90)</f>
        <v>8.7560896676548185E-3</v>
      </c>
    </row>
    <row r="91" spans="1:20" ht="13" x14ac:dyDescent="0.3">
      <c r="A91" s="79">
        <v>90</v>
      </c>
      <c r="B91" s="30" t="s">
        <v>352</v>
      </c>
      <c r="C91" s="31">
        <f>IFERROR(IF(SUMIFS(Data!$K:$K,Data!$A:$A,Vitezistii!$B91,Data!$C:$C,Vitezistii!C$1)=0," ",SUMIFS(Data!$K:$K,Data!$A:$A,Vitezistii!$B91,Data!$C:$C,Vitezistii!C$1))+SUMIFS(Data!$S:$S,Data!$A:$A,Vitezistii!$B91,Data!$C:$C,Vitezistii!C$1),0)</f>
        <v>3</v>
      </c>
      <c r="D91" s="31">
        <f>IFERROR(IF(SUMIFS(Data!$K:$K,Data!$A:$A,Vitezistii!$B91,Data!$C:$C,Vitezistii!D$1)=0," ",SUMIFS(Data!$K:$K,Data!$A:$A,Vitezistii!$B91,Data!$C:$C,Vitezistii!D$1))+SUMIFS(Data!$S:$S,Data!$A:$A,Vitezistii!$B91,Data!$C:$C,Vitezistii!D$1),0)</f>
        <v>2</v>
      </c>
      <c r="E91" s="31">
        <f>IFERROR(IF(SUMIFS(Data!$K:$K,Data!$A:$A,Vitezistii!$B91,Data!$C:$C,Vitezistii!E$1)=0," ",SUMIFS(Data!$K:$K,Data!$A:$A,Vitezistii!$B91,Data!$C:$C,Vitezistii!E$1))+SUMIFS(Data!$S:$S,Data!$A:$A,Vitezistii!$B91,Data!$C:$C,Vitezistii!E$1),0)</f>
        <v>0</v>
      </c>
      <c r="F91" s="31">
        <f>IFERROR(IF(SUMIFS(Data!$K:$K,Data!$A:$A,Vitezistii!$B91,Data!$C:$C,Vitezistii!F$1)=0," ",SUMIFS(Data!$K:$K,Data!$A:$A,Vitezistii!$B91,Data!$C:$C,Vitezistii!F$1))+SUMIFS(Data!$S:$S,Data!$A:$A,Vitezistii!$B91,Data!$C:$C,Vitezistii!F$1),0)</f>
        <v>0</v>
      </c>
      <c r="G91" s="31">
        <f>IFERROR(IF(SUMIFS(Data!$K:$K,Data!$A:$A,Vitezistii!$B91,Data!$C:$C,Vitezistii!G$1)=0," ",SUMIFS(Data!$K:$K,Data!$A:$A,Vitezistii!$B91,Data!$C:$C,Vitezistii!G$1))+SUMIFS(Data!$S:$S,Data!$A:$A,Vitezistii!$B91,Data!$C:$C,Vitezistii!G$1),0)</f>
        <v>0</v>
      </c>
      <c r="H91" s="31">
        <f>IFERROR(IF(SUMIFS(Data!$K:$K,Data!$A:$A,Vitezistii!$B91,Data!$C:$C,Vitezistii!H$1)=0," ",SUMIFS(Data!$K:$K,Data!$A:$A,Vitezistii!$B91,Data!$C:$C,Vitezistii!H$1))+SUMIFS(Data!$S:$S,Data!$A:$A,Vitezistii!$B91,Data!$C:$C,Vitezistii!H$1),0)</f>
        <v>0</v>
      </c>
      <c r="I91" s="31">
        <f>IFERROR(IF(SUMIFS(Data!$K:$K,Data!$A:$A,Vitezistii!$B91,Data!$C:$C,Vitezistii!I$1)=0," ",SUMIFS(Data!$K:$K,Data!$A:$A,Vitezistii!$B91,Data!$C:$C,Vitezistii!I$1))+SUMIFS(Data!$S:$S,Data!$A:$A,Vitezistii!$B91,Data!$C:$C,Vitezistii!I$1),0)</f>
        <v>0</v>
      </c>
      <c r="J91" s="31">
        <f>IFERROR(IF(SUMIFS(Data!$K:$K,Data!$A:$A,Vitezistii!$B91,Data!$C:$C,Vitezistii!J$1)=0," ",SUMIFS(Data!$K:$K,Data!$A:$A,Vitezistii!$B91,Data!$C:$C,Vitezistii!J$1))+SUMIFS(Data!$S:$S,Data!$A:$A,Vitezistii!$B91,Data!$C:$C,Vitezistii!J$1),0)</f>
        <v>0</v>
      </c>
      <c r="K91" s="31">
        <f>IFERROR(IF(SUMIFS(Data!$K:$K,Data!$A:$A,Vitezistii!$B91,Data!$C:$C,Vitezistii!K$1)=0," ",SUMIFS(Data!$K:$K,Data!$A:$A,Vitezistii!$B91,Data!$C:$C,Vitezistii!K$1))+SUMIFS(Data!$S:$S,Data!$A:$A,Vitezistii!$B91,Data!$C:$C,Vitezistii!K$1),0)</f>
        <v>0</v>
      </c>
      <c r="L91" s="31">
        <f>IFERROR(IF(SUMIFS(Data!$K:$K,Data!$A:$A,Vitezistii!$B91,Data!$C:$C,Vitezistii!L$1)=0," ",SUMIFS(Data!$K:$K,Data!$A:$A,Vitezistii!$B91,Data!$C:$C,Vitezistii!L$1))+SUMIFS(Data!$S:$S,Data!$A:$A,Vitezistii!$B91,Data!$C:$C,Vitezistii!L$1),0)</f>
        <v>0</v>
      </c>
      <c r="M91" s="31">
        <f>IFERROR(IF(SUMIFS(Data!$K:$K,Data!$A:$A,Vitezistii!$B91,Data!$C:$C,Vitezistii!M$1)=0," ",SUMIFS(Data!$K:$K,Data!$A:$A,Vitezistii!$B91,Data!$C:$C,Vitezistii!M$1))+SUMIFS(Data!$S:$S,Data!$A:$A,Vitezistii!$B91,Data!$C:$C,Vitezistii!M$1),0)</f>
        <v>0</v>
      </c>
      <c r="N91" s="31">
        <f>IFERROR(IF(SUMIFS(Data!$K:$K,Data!$A:$A,Vitezistii!$B91,Data!$C:$C,Vitezistii!N$1)=0," ",SUMIFS(Data!$K:$K,Data!$A:$A,Vitezistii!$B91,Data!$C:$C,Vitezistii!N$1))+SUMIFS(Data!$S:$S,Data!$A:$A,Vitezistii!$B91,Data!$C:$C,Vitezistii!N$1),0)</f>
        <v>0</v>
      </c>
      <c r="O91" s="31">
        <f>IFERROR(IF(SUMIFS(Data!$K:$K,Data!$A:$A,Vitezistii!$B91,Data!$C:$C,Vitezistii!O$1)=0," ",SUMIFS(Data!$K:$K,Data!$A:$A,Vitezistii!$B91,Data!$C:$C,Vitezistii!O$1))+SUMIFS(Data!$S:$S,Data!$A:$A,Vitezistii!$B91,Data!$C:$C,Vitezistii!O$1),0)</f>
        <v>0</v>
      </c>
      <c r="P91" s="31">
        <f>IFERROR(IF(SUMIFS(Data!$K:$K,Data!$A:$A,Vitezistii!$B91,Data!$C:$C,Vitezistii!P$1)=0," ",SUMIFS(Data!$K:$K,Data!$A:$A,Vitezistii!$B91,Data!$C:$C,Vitezistii!P$1))+SUMIFS(Data!$S:$S,Data!$A:$A,Vitezistii!$B91,Data!$C:$C,Vitezistii!P$1),0)</f>
        <v>0</v>
      </c>
      <c r="Q91" s="31">
        <f>IFERROR(IF(SUMIFS(Data!$K:$K,Data!$A:$A,Vitezistii!$B91,Data!$C:$C,Vitezistii!Q$1)=0," ",SUMIFS(Data!$K:$K,Data!$A:$A,Vitezistii!$B91,Data!$C:$C,Vitezistii!Q$1))+SUMIFS(Data!$S:$S,Data!$A:$A,Vitezistii!$B91,Data!$C:$C,Vitezistii!Q$1),0)</f>
        <v>0</v>
      </c>
      <c r="R91" s="31">
        <f>SUM(C91:Q91)</f>
        <v>5</v>
      </c>
      <c r="S91" s="31">
        <f>SUMIFS(Data!D:D,Data!A:A,Vitezistii!B151)</f>
        <v>0</v>
      </c>
      <c r="T91" s="12">
        <f>SUMIFS(Data!I:I,Data!A:A,Vitezistii!B91)/COUNTIF(Data!A:A,Vitezistii!B91)</f>
        <v>3.5793376205338866E-3</v>
      </c>
    </row>
    <row r="92" spans="1:20" ht="13" x14ac:dyDescent="0.3">
      <c r="A92" s="79">
        <v>91</v>
      </c>
      <c r="B92" s="30" t="s">
        <v>354</v>
      </c>
      <c r="C92" s="31">
        <f>IFERROR(IF(SUMIFS(Data!$K:$K,Data!$A:$A,Vitezistii!$B92,Data!$C:$C,Vitezistii!C$1)=0," ",SUMIFS(Data!$K:$K,Data!$A:$A,Vitezistii!$B92,Data!$C:$C,Vitezistii!C$1))+SUMIFS(Data!$S:$S,Data!$A:$A,Vitezistii!$B92,Data!$C:$C,Vitezistii!C$1),0)</f>
        <v>0.25</v>
      </c>
      <c r="D92" s="31">
        <f>IFERROR(IF(SUMIFS(Data!$K:$K,Data!$A:$A,Vitezistii!$B92,Data!$C:$C,Vitezistii!D$1)=0," ",SUMIFS(Data!$K:$K,Data!$A:$A,Vitezistii!$B92,Data!$C:$C,Vitezistii!D$1))+SUMIFS(Data!$S:$S,Data!$A:$A,Vitezistii!$B92,Data!$C:$C,Vitezistii!D$1),0)</f>
        <v>0.25</v>
      </c>
      <c r="E92" s="31">
        <f>IFERROR(IF(SUMIFS(Data!$K:$K,Data!$A:$A,Vitezistii!$B92,Data!$C:$C,Vitezistii!E$1)=0," ",SUMIFS(Data!$K:$K,Data!$A:$A,Vitezistii!$B92,Data!$C:$C,Vitezistii!E$1))+SUMIFS(Data!$S:$S,Data!$A:$A,Vitezistii!$B92,Data!$C:$C,Vitezistii!E$1),0)</f>
        <v>0.25</v>
      </c>
      <c r="F92" s="31">
        <f>IFERROR(IF(SUMIFS(Data!$K:$K,Data!$A:$A,Vitezistii!$B92,Data!$C:$C,Vitezistii!F$1)=0," ",SUMIFS(Data!$K:$K,Data!$A:$A,Vitezistii!$B92,Data!$C:$C,Vitezistii!F$1))+SUMIFS(Data!$S:$S,Data!$A:$A,Vitezistii!$B92,Data!$C:$C,Vitezistii!F$1),0)</f>
        <v>1</v>
      </c>
      <c r="G92" s="31">
        <f>IFERROR(IF(SUMIFS(Data!$K:$K,Data!$A:$A,Vitezistii!$B92,Data!$C:$C,Vitezistii!G$1)=0," ",SUMIFS(Data!$K:$K,Data!$A:$A,Vitezistii!$B92,Data!$C:$C,Vitezistii!G$1))+SUMIFS(Data!$S:$S,Data!$A:$A,Vitezistii!$B92,Data!$C:$C,Vitezistii!G$1),0)</f>
        <v>0.25</v>
      </c>
      <c r="H92" s="31">
        <f>IFERROR(IF(SUMIFS(Data!$K:$K,Data!$A:$A,Vitezistii!$B92,Data!$C:$C,Vitezistii!H$1)=0," ",SUMIFS(Data!$K:$K,Data!$A:$A,Vitezistii!$B92,Data!$C:$C,Vitezistii!H$1))+SUMIFS(Data!$S:$S,Data!$A:$A,Vitezistii!$B92,Data!$C:$C,Vitezistii!H$1),0)</f>
        <v>0</v>
      </c>
      <c r="I92" s="31">
        <f>IFERROR(IF(SUMIFS(Data!$K:$K,Data!$A:$A,Vitezistii!$B92,Data!$C:$C,Vitezistii!I$1)=0," ",SUMIFS(Data!$K:$K,Data!$A:$A,Vitezistii!$B92,Data!$C:$C,Vitezistii!I$1))+SUMIFS(Data!$S:$S,Data!$A:$A,Vitezistii!$B92,Data!$C:$C,Vitezistii!I$1),0)</f>
        <v>0.25</v>
      </c>
      <c r="J92" s="31">
        <f>IFERROR(IF(SUMIFS(Data!$K:$K,Data!$A:$A,Vitezistii!$B92,Data!$C:$C,Vitezistii!J$1)=0," ",SUMIFS(Data!$K:$K,Data!$A:$A,Vitezistii!$B92,Data!$C:$C,Vitezistii!J$1))+SUMIFS(Data!$S:$S,Data!$A:$A,Vitezistii!$B92,Data!$C:$C,Vitezistii!J$1),0)</f>
        <v>2</v>
      </c>
      <c r="K92" s="31">
        <f>IFERROR(IF(SUMIFS(Data!$K:$K,Data!$A:$A,Vitezistii!$B92,Data!$C:$C,Vitezistii!K$1)=0," ",SUMIFS(Data!$K:$K,Data!$A:$A,Vitezistii!$B92,Data!$C:$C,Vitezistii!K$1))+SUMIFS(Data!$S:$S,Data!$A:$A,Vitezistii!$B92,Data!$C:$C,Vitezistii!K$1),0)</f>
        <v>0.25</v>
      </c>
      <c r="L92" s="31">
        <f>IFERROR(IF(SUMIFS(Data!$K:$K,Data!$A:$A,Vitezistii!$B92,Data!$C:$C,Vitezistii!L$1)=0," ",SUMIFS(Data!$K:$K,Data!$A:$A,Vitezistii!$B92,Data!$C:$C,Vitezistii!L$1))+SUMIFS(Data!$S:$S,Data!$A:$A,Vitezistii!$B92,Data!$C:$C,Vitezistii!L$1),0)</f>
        <v>0</v>
      </c>
      <c r="M92" s="31">
        <f>IFERROR(IF(SUMIFS(Data!$K:$K,Data!$A:$A,Vitezistii!$B92,Data!$C:$C,Vitezistii!M$1)=0," ",SUMIFS(Data!$K:$K,Data!$A:$A,Vitezistii!$B92,Data!$C:$C,Vitezistii!M$1))+SUMIFS(Data!$S:$S,Data!$A:$A,Vitezistii!$B92,Data!$C:$C,Vitezistii!M$1),0)</f>
        <v>0</v>
      </c>
      <c r="N92" s="31">
        <f>IFERROR(IF(SUMIFS(Data!$K:$K,Data!$A:$A,Vitezistii!$B92,Data!$C:$C,Vitezistii!N$1)=0," ",SUMIFS(Data!$K:$K,Data!$A:$A,Vitezistii!$B92,Data!$C:$C,Vitezistii!N$1))+SUMIFS(Data!$S:$S,Data!$A:$A,Vitezistii!$B92,Data!$C:$C,Vitezistii!N$1),0)</f>
        <v>0</v>
      </c>
      <c r="O92" s="31">
        <f>IFERROR(IF(SUMIFS(Data!$K:$K,Data!$A:$A,Vitezistii!$B92,Data!$C:$C,Vitezistii!O$1)=0," ",SUMIFS(Data!$K:$K,Data!$A:$A,Vitezistii!$B92,Data!$C:$C,Vitezistii!O$1))+SUMIFS(Data!$S:$S,Data!$A:$A,Vitezistii!$B92,Data!$C:$C,Vitezistii!O$1),0)</f>
        <v>0</v>
      </c>
      <c r="P92" s="31">
        <f>IFERROR(IF(SUMIFS(Data!$K:$K,Data!$A:$A,Vitezistii!$B92,Data!$C:$C,Vitezistii!P$1)=0," ",SUMIFS(Data!$K:$K,Data!$A:$A,Vitezistii!$B92,Data!$C:$C,Vitezistii!P$1))+SUMIFS(Data!$S:$S,Data!$A:$A,Vitezistii!$B92,Data!$C:$C,Vitezistii!P$1),0)</f>
        <v>0</v>
      </c>
      <c r="Q92" s="31">
        <f>IFERROR(IF(SUMIFS(Data!$K:$K,Data!$A:$A,Vitezistii!$B92,Data!$C:$C,Vitezistii!Q$1)=0," ",SUMIFS(Data!$K:$K,Data!$A:$A,Vitezistii!$B92,Data!$C:$C,Vitezistii!Q$1))+SUMIFS(Data!$S:$S,Data!$A:$A,Vitezistii!$B92,Data!$C:$C,Vitezistii!Q$1),0)</f>
        <v>0</v>
      </c>
      <c r="R92" s="31">
        <f>SUM(C92:Q92)</f>
        <v>4.5</v>
      </c>
      <c r="S92" s="31">
        <f>SUMIFS(Data!D:D,Data!A:A,Vitezistii!B152)</f>
        <v>0</v>
      </c>
      <c r="T92" s="12">
        <f>SUMIFS(Data!I:I,Data!A:A,Vitezistii!B92)/COUNTIF(Data!A:A,Vitezistii!B92)</f>
        <v>5.2968491951695803E-3</v>
      </c>
    </row>
    <row r="93" spans="1:20" ht="13" x14ac:dyDescent="0.3">
      <c r="A93" s="79">
        <v>92</v>
      </c>
      <c r="B93" s="30" t="s">
        <v>206</v>
      </c>
      <c r="C93" s="31">
        <f>IFERROR(IF(SUMIFS(Data!$K:$K,Data!$A:$A,Vitezistii!$B93,Data!$C:$C,Vitezistii!C$1)=0," ",SUMIFS(Data!$K:$K,Data!$A:$A,Vitezistii!$B93,Data!$C:$C,Vitezistii!C$1))+SUMIFS(Data!$S:$S,Data!$A:$A,Vitezistii!$B93,Data!$C:$C,Vitezistii!C$1),0)</f>
        <v>0</v>
      </c>
      <c r="D93" s="31">
        <f>IFERROR(IF(SUMIFS(Data!$K:$K,Data!$A:$A,Vitezistii!$B93,Data!$C:$C,Vitezistii!D$1)=0," ",SUMIFS(Data!$K:$K,Data!$A:$A,Vitezistii!$B93,Data!$C:$C,Vitezistii!D$1))+SUMIFS(Data!$S:$S,Data!$A:$A,Vitezistii!$B93,Data!$C:$C,Vitezistii!D$1),0)</f>
        <v>0</v>
      </c>
      <c r="E93" s="31">
        <f>IFERROR(IF(SUMIFS(Data!$K:$K,Data!$A:$A,Vitezistii!$B93,Data!$C:$C,Vitezistii!E$1)=0," ",SUMIFS(Data!$K:$K,Data!$A:$A,Vitezistii!$B93,Data!$C:$C,Vitezistii!E$1))+SUMIFS(Data!$S:$S,Data!$A:$A,Vitezistii!$B93,Data!$C:$C,Vitezistii!E$1),0)</f>
        <v>0</v>
      </c>
      <c r="F93" s="31">
        <f>IFERROR(IF(SUMIFS(Data!$K:$K,Data!$A:$A,Vitezistii!$B93,Data!$C:$C,Vitezistii!F$1)=0," ",SUMIFS(Data!$K:$K,Data!$A:$A,Vitezistii!$B93,Data!$C:$C,Vitezistii!F$1))+SUMIFS(Data!$S:$S,Data!$A:$A,Vitezistii!$B93,Data!$C:$C,Vitezistii!F$1),0)</f>
        <v>0</v>
      </c>
      <c r="G93" s="31">
        <f>IFERROR(IF(SUMIFS(Data!$K:$K,Data!$A:$A,Vitezistii!$B93,Data!$C:$C,Vitezistii!G$1)=0," ",SUMIFS(Data!$K:$K,Data!$A:$A,Vitezistii!$B93,Data!$C:$C,Vitezistii!G$1))+SUMIFS(Data!$S:$S,Data!$A:$A,Vitezistii!$B93,Data!$C:$C,Vitezistii!G$1),0)</f>
        <v>0</v>
      </c>
      <c r="H93" s="31">
        <f>IFERROR(IF(SUMIFS(Data!$K:$K,Data!$A:$A,Vitezistii!$B93,Data!$C:$C,Vitezistii!H$1)=0," ",SUMIFS(Data!$K:$K,Data!$A:$A,Vitezistii!$B93,Data!$C:$C,Vitezistii!H$1))+SUMIFS(Data!$S:$S,Data!$A:$A,Vitezistii!$B93,Data!$C:$C,Vitezistii!H$1),0)</f>
        <v>0</v>
      </c>
      <c r="I93" s="31">
        <f>IFERROR(IF(SUMIFS(Data!$K:$K,Data!$A:$A,Vitezistii!$B93,Data!$C:$C,Vitezistii!I$1)=0," ",SUMIFS(Data!$K:$K,Data!$A:$A,Vitezistii!$B93,Data!$C:$C,Vitezistii!I$1))+SUMIFS(Data!$S:$S,Data!$A:$A,Vitezistii!$B93,Data!$C:$C,Vitezistii!I$1),0)</f>
        <v>2</v>
      </c>
      <c r="J93" s="31">
        <f>IFERROR(IF(SUMIFS(Data!$K:$K,Data!$A:$A,Vitezistii!$B93,Data!$C:$C,Vitezistii!J$1)=0," ",SUMIFS(Data!$K:$K,Data!$A:$A,Vitezistii!$B93,Data!$C:$C,Vitezistii!J$1))+SUMIFS(Data!$S:$S,Data!$A:$A,Vitezistii!$B93,Data!$C:$C,Vitezistii!J$1),0)</f>
        <v>1.5</v>
      </c>
      <c r="K93" s="31">
        <f>IFERROR(IF(SUMIFS(Data!$K:$K,Data!$A:$A,Vitezistii!$B93,Data!$C:$C,Vitezistii!K$1)=0," ",SUMIFS(Data!$K:$K,Data!$A:$A,Vitezistii!$B93,Data!$C:$C,Vitezistii!K$1))+SUMIFS(Data!$S:$S,Data!$A:$A,Vitezistii!$B93,Data!$C:$C,Vitezistii!K$1),0)</f>
        <v>0.75</v>
      </c>
      <c r="L93" s="31">
        <f>IFERROR(IF(SUMIFS(Data!$K:$K,Data!$A:$A,Vitezistii!$B93,Data!$C:$C,Vitezistii!L$1)=0," ",SUMIFS(Data!$K:$K,Data!$A:$A,Vitezistii!$B93,Data!$C:$C,Vitezistii!L$1))+SUMIFS(Data!$S:$S,Data!$A:$A,Vitezistii!$B93,Data!$C:$C,Vitezistii!L$1),0)</f>
        <v>0</v>
      </c>
      <c r="M93" s="31">
        <f>IFERROR(IF(SUMIFS(Data!$K:$K,Data!$A:$A,Vitezistii!$B93,Data!$C:$C,Vitezistii!M$1)=0," ",SUMIFS(Data!$K:$K,Data!$A:$A,Vitezistii!$B93,Data!$C:$C,Vitezistii!M$1))+SUMIFS(Data!$S:$S,Data!$A:$A,Vitezistii!$B93,Data!$C:$C,Vitezistii!M$1),0)</f>
        <v>0</v>
      </c>
      <c r="N93" s="31">
        <f>IFERROR(IF(SUMIFS(Data!$K:$K,Data!$A:$A,Vitezistii!$B93,Data!$C:$C,Vitezistii!N$1)=0," ",SUMIFS(Data!$K:$K,Data!$A:$A,Vitezistii!$B93,Data!$C:$C,Vitezistii!N$1))+SUMIFS(Data!$S:$S,Data!$A:$A,Vitezistii!$B93,Data!$C:$C,Vitezistii!N$1),0)</f>
        <v>0</v>
      </c>
      <c r="O93" s="31">
        <f>IFERROR(IF(SUMIFS(Data!$K:$K,Data!$A:$A,Vitezistii!$B93,Data!$C:$C,Vitezistii!O$1)=0," ",SUMIFS(Data!$K:$K,Data!$A:$A,Vitezistii!$B93,Data!$C:$C,Vitezistii!O$1))+SUMIFS(Data!$S:$S,Data!$A:$A,Vitezistii!$B93,Data!$C:$C,Vitezistii!O$1),0)</f>
        <v>0</v>
      </c>
      <c r="P93" s="31">
        <f>IFERROR(IF(SUMIFS(Data!$K:$K,Data!$A:$A,Vitezistii!$B93,Data!$C:$C,Vitezistii!P$1)=0," ",SUMIFS(Data!$K:$K,Data!$A:$A,Vitezistii!$B93,Data!$C:$C,Vitezistii!P$1))+SUMIFS(Data!$S:$S,Data!$A:$A,Vitezistii!$B93,Data!$C:$C,Vitezistii!P$1),0)</f>
        <v>0</v>
      </c>
      <c r="Q93" s="31">
        <f>IFERROR(IF(SUMIFS(Data!$K:$K,Data!$A:$A,Vitezistii!$B93,Data!$C:$C,Vitezistii!Q$1)=0," ",SUMIFS(Data!$K:$K,Data!$A:$A,Vitezistii!$B93,Data!$C:$C,Vitezistii!Q$1))+SUMIFS(Data!$S:$S,Data!$A:$A,Vitezistii!$B93,Data!$C:$C,Vitezistii!Q$1),0)</f>
        <v>0</v>
      </c>
      <c r="R93" s="31">
        <f>SUM(C93:Q93)</f>
        <v>4.25</v>
      </c>
      <c r="S93" s="31">
        <f>SUMIFS(Data!D:D,Data!A:A,Vitezistii!B153)</f>
        <v>0</v>
      </c>
      <c r="T93" s="12">
        <f>SUMIFS(Data!I:I,Data!A:A,Vitezistii!B93)/COUNTIF(Data!A:A,Vitezistii!B93)</f>
        <v>5.2377091659091043E-3</v>
      </c>
    </row>
    <row r="94" spans="1:20" ht="13" x14ac:dyDescent="0.3">
      <c r="A94" s="79">
        <v>93</v>
      </c>
      <c r="B94" s="30" t="s">
        <v>365</v>
      </c>
      <c r="C94" s="31">
        <f>IFERROR(IF(SUMIFS(Data!$K:$K,Data!$A:$A,Vitezistii!$B94,Data!$C:$C,Vitezistii!C$1)=0," ",SUMIFS(Data!$K:$K,Data!$A:$A,Vitezistii!$B94,Data!$C:$C,Vitezistii!C$1))+SUMIFS(Data!$S:$S,Data!$A:$A,Vitezistii!$B94,Data!$C:$C,Vitezistii!C$1),0)</f>
        <v>1.25</v>
      </c>
      <c r="D94" s="31">
        <f>IFERROR(IF(SUMIFS(Data!$K:$K,Data!$A:$A,Vitezistii!$B94,Data!$C:$C,Vitezistii!D$1)=0," ",SUMIFS(Data!$K:$K,Data!$A:$A,Vitezistii!$B94,Data!$C:$C,Vitezistii!D$1))+SUMIFS(Data!$S:$S,Data!$A:$A,Vitezistii!$B94,Data!$C:$C,Vitezistii!D$1),0)</f>
        <v>1.25</v>
      </c>
      <c r="E94" s="31">
        <f>IFERROR(IF(SUMIFS(Data!$K:$K,Data!$A:$A,Vitezistii!$B94,Data!$C:$C,Vitezistii!E$1)=0," ",SUMIFS(Data!$K:$K,Data!$A:$A,Vitezistii!$B94,Data!$C:$C,Vitezistii!E$1))+SUMIFS(Data!$S:$S,Data!$A:$A,Vitezistii!$B94,Data!$C:$C,Vitezistii!E$1),0)</f>
        <v>0</v>
      </c>
      <c r="F94" s="31">
        <f>IFERROR(IF(SUMIFS(Data!$K:$K,Data!$A:$A,Vitezistii!$B94,Data!$C:$C,Vitezistii!F$1)=0," ",SUMIFS(Data!$K:$K,Data!$A:$A,Vitezistii!$B94,Data!$C:$C,Vitezistii!F$1))+SUMIFS(Data!$S:$S,Data!$A:$A,Vitezistii!$B94,Data!$C:$C,Vitezistii!F$1),0)</f>
        <v>0</v>
      </c>
      <c r="G94" s="31">
        <f>IFERROR(IF(SUMIFS(Data!$K:$K,Data!$A:$A,Vitezistii!$B94,Data!$C:$C,Vitezistii!G$1)=0," ",SUMIFS(Data!$K:$K,Data!$A:$A,Vitezistii!$B94,Data!$C:$C,Vitezistii!G$1))+SUMIFS(Data!$S:$S,Data!$A:$A,Vitezistii!$B94,Data!$C:$C,Vitezistii!G$1),0)</f>
        <v>1.5</v>
      </c>
      <c r="H94" s="31">
        <f>IFERROR(IF(SUMIFS(Data!$K:$K,Data!$A:$A,Vitezistii!$B94,Data!$C:$C,Vitezistii!H$1)=0," ",SUMIFS(Data!$K:$K,Data!$A:$A,Vitezistii!$B94,Data!$C:$C,Vitezistii!H$1))+SUMIFS(Data!$S:$S,Data!$A:$A,Vitezistii!$B94,Data!$C:$C,Vitezistii!H$1),0)</f>
        <v>0</v>
      </c>
      <c r="I94" s="31">
        <f>IFERROR(IF(SUMIFS(Data!$K:$K,Data!$A:$A,Vitezistii!$B94,Data!$C:$C,Vitezistii!I$1)=0," ",SUMIFS(Data!$K:$K,Data!$A:$A,Vitezistii!$B94,Data!$C:$C,Vitezistii!I$1))+SUMIFS(Data!$S:$S,Data!$A:$A,Vitezistii!$B94,Data!$C:$C,Vitezistii!I$1),0)</f>
        <v>0</v>
      </c>
      <c r="J94" s="31">
        <f>IFERROR(IF(SUMIFS(Data!$K:$K,Data!$A:$A,Vitezistii!$B94,Data!$C:$C,Vitezistii!J$1)=0," ",SUMIFS(Data!$K:$K,Data!$A:$A,Vitezistii!$B94,Data!$C:$C,Vitezistii!J$1))+SUMIFS(Data!$S:$S,Data!$A:$A,Vitezistii!$B94,Data!$C:$C,Vitezistii!J$1),0)</f>
        <v>0</v>
      </c>
      <c r="K94" s="31">
        <f>IFERROR(IF(SUMIFS(Data!$K:$K,Data!$A:$A,Vitezistii!$B94,Data!$C:$C,Vitezistii!K$1)=0," ",SUMIFS(Data!$K:$K,Data!$A:$A,Vitezistii!$B94,Data!$C:$C,Vitezistii!K$1))+SUMIFS(Data!$S:$S,Data!$A:$A,Vitezistii!$B94,Data!$C:$C,Vitezistii!K$1),0)</f>
        <v>0</v>
      </c>
      <c r="L94" s="31">
        <f>IFERROR(IF(SUMIFS(Data!$K:$K,Data!$A:$A,Vitezistii!$B94,Data!$C:$C,Vitezistii!L$1)=0," ",SUMIFS(Data!$K:$K,Data!$A:$A,Vitezistii!$B94,Data!$C:$C,Vitezistii!L$1))+SUMIFS(Data!$S:$S,Data!$A:$A,Vitezistii!$B94,Data!$C:$C,Vitezistii!L$1),0)</f>
        <v>0</v>
      </c>
      <c r="M94" s="31">
        <f>IFERROR(IF(SUMIFS(Data!$K:$K,Data!$A:$A,Vitezistii!$B94,Data!$C:$C,Vitezistii!M$1)=0," ",SUMIFS(Data!$K:$K,Data!$A:$A,Vitezistii!$B94,Data!$C:$C,Vitezistii!M$1))+SUMIFS(Data!$S:$S,Data!$A:$A,Vitezistii!$B94,Data!$C:$C,Vitezistii!M$1),0)</f>
        <v>0</v>
      </c>
      <c r="N94" s="31">
        <f>IFERROR(IF(SUMIFS(Data!$K:$K,Data!$A:$A,Vitezistii!$B94,Data!$C:$C,Vitezistii!N$1)=0," ",SUMIFS(Data!$K:$K,Data!$A:$A,Vitezistii!$B94,Data!$C:$C,Vitezistii!N$1))+SUMIFS(Data!$S:$S,Data!$A:$A,Vitezistii!$B94,Data!$C:$C,Vitezistii!N$1),0)</f>
        <v>0</v>
      </c>
      <c r="O94" s="31">
        <f>IFERROR(IF(SUMIFS(Data!$K:$K,Data!$A:$A,Vitezistii!$B94,Data!$C:$C,Vitezistii!O$1)=0," ",SUMIFS(Data!$K:$K,Data!$A:$A,Vitezistii!$B94,Data!$C:$C,Vitezistii!O$1))+SUMIFS(Data!$S:$S,Data!$A:$A,Vitezistii!$B94,Data!$C:$C,Vitezistii!O$1),0)</f>
        <v>0</v>
      </c>
      <c r="P94" s="31">
        <f>IFERROR(IF(SUMIFS(Data!$K:$K,Data!$A:$A,Vitezistii!$B94,Data!$C:$C,Vitezistii!P$1)=0," ",SUMIFS(Data!$K:$K,Data!$A:$A,Vitezistii!$B94,Data!$C:$C,Vitezistii!P$1))+SUMIFS(Data!$S:$S,Data!$A:$A,Vitezistii!$B94,Data!$C:$C,Vitezistii!P$1),0)</f>
        <v>0</v>
      </c>
      <c r="Q94" s="31">
        <f>IFERROR(IF(SUMIFS(Data!$K:$K,Data!$A:$A,Vitezistii!$B94,Data!$C:$C,Vitezistii!Q$1)=0," ",SUMIFS(Data!$K:$K,Data!$A:$A,Vitezistii!$B94,Data!$C:$C,Vitezistii!Q$1))+SUMIFS(Data!$S:$S,Data!$A:$A,Vitezistii!$B94,Data!$C:$C,Vitezistii!Q$1),0)</f>
        <v>0</v>
      </c>
      <c r="R94" s="31">
        <f>SUM(C94:Q94)</f>
        <v>4</v>
      </c>
      <c r="S94" s="31">
        <f>SUMIFS(Data!D:D,Data!A:A,Vitezistii!B154)</f>
        <v>0</v>
      </c>
      <c r="T94" s="12">
        <f>SUMIFS(Data!I:I,Data!A:A,Vitezistii!B94)/COUNTIF(Data!A:A,Vitezistii!B94)</f>
        <v>4.1862600301057935E-3</v>
      </c>
    </row>
    <row r="95" spans="1:20" ht="13" x14ac:dyDescent="0.3">
      <c r="A95" s="79">
        <v>94</v>
      </c>
      <c r="B95" s="30" t="s">
        <v>392</v>
      </c>
      <c r="C95" s="31">
        <f>IFERROR(IF(SUMIFS(Data!$K:$K,Data!$A:$A,Vitezistii!$B95,Data!$C:$C,Vitezistii!C$1)=0," ",SUMIFS(Data!$K:$K,Data!$A:$A,Vitezistii!$B95,Data!$C:$C,Vitezistii!C$1))+SUMIFS(Data!$S:$S,Data!$A:$A,Vitezistii!$B95,Data!$C:$C,Vitezistii!C$1),0)</f>
        <v>0</v>
      </c>
      <c r="D95" s="31">
        <f>IFERROR(IF(SUMIFS(Data!$K:$K,Data!$A:$A,Vitezistii!$B95,Data!$C:$C,Vitezistii!D$1)=0," ",SUMIFS(Data!$K:$K,Data!$A:$A,Vitezistii!$B95,Data!$C:$C,Vitezistii!D$1))+SUMIFS(Data!$S:$S,Data!$A:$A,Vitezistii!$B95,Data!$C:$C,Vitezistii!D$1),0)</f>
        <v>0</v>
      </c>
      <c r="E95" s="31">
        <f>IFERROR(IF(SUMIFS(Data!$K:$K,Data!$A:$A,Vitezistii!$B95,Data!$C:$C,Vitezistii!E$1)=0," ",SUMIFS(Data!$K:$K,Data!$A:$A,Vitezistii!$B95,Data!$C:$C,Vitezistii!E$1))+SUMIFS(Data!$S:$S,Data!$A:$A,Vitezistii!$B95,Data!$C:$C,Vitezistii!E$1),0)</f>
        <v>0.75</v>
      </c>
      <c r="F95" s="31">
        <f>IFERROR(IF(SUMIFS(Data!$K:$K,Data!$A:$A,Vitezistii!$B95,Data!$C:$C,Vitezistii!F$1)=0," ",SUMIFS(Data!$K:$K,Data!$A:$A,Vitezistii!$B95,Data!$C:$C,Vitezistii!F$1))+SUMIFS(Data!$S:$S,Data!$A:$A,Vitezistii!$B95,Data!$C:$C,Vitezistii!F$1),0)</f>
        <v>0</v>
      </c>
      <c r="G95" s="31">
        <f>IFERROR(IF(SUMIFS(Data!$K:$K,Data!$A:$A,Vitezistii!$B95,Data!$C:$C,Vitezistii!G$1)=0," ",SUMIFS(Data!$K:$K,Data!$A:$A,Vitezistii!$B95,Data!$C:$C,Vitezistii!G$1))+SUMIFS(Data!$S:$S,Data!$A:$A,Vitezistii!$B95,Data!$C:$C,Vitezistii!G$1),0)</f>
        <v>1.5</v>
      </c>
      <c r="H95" s="31">
        <f>IFERROR(IF(SUMIFS(Data!$K:$K,Data!$A:$A,Vitezistii!$B95,Data!$C:$C,Vitezistii!H$1)=0," ",SUMIFS(Data!$K:$K,Data!$A:$A,Vitezistii!$B95,Data!$C:$C,Vitezistii!H$1))+SUMIFS(Data!$S:$S,Data!$A:$A,Vitezistii!$B95,Data!$C:$C,Vitezistii!H$1),0)</f>
        <v>0.5</v>
      </c>
      <c r="I95" s="31">
        <f>IFERROR(IF(SUMIFS(Data!$K:$K,Data!$A:$A,Vitezistii!$B95,Data!$C:$C,Vitezistii!I$1)=0," ",SUMIFS(Data!$K:$K,Data!$A:$A,Vitezistii!$B95,Data!$C:$C,Vitezistii!I$1))+SUMIFS(Data!$S:$S,Data!$A:$A,Vitezistii!$B95,Data!$C:$C,Vitezistii!I$1),0)</f>
        <v>1.25</v>
      </c>
      <c r="J95" s="31">
        <f>IFERROR(IF(SUMIFS(Data!$K:$K,Data!$A:$A,Vitezistii!$B95,Data!$C:$C,Vitezistii!J$1)=0," ",SUMIFS(Data!$K:$K,Data!$A:$A,Vitezistii!$B95,Data!$C:$C,Vitezistii!J$1))+SUMIFS(Data!$S:$S,Data!$A:$A,Vitezistii!$B95,Data!$C:$C,Vitezistii!J$1),0)</f>
        <v>0</v>
      </c>
      <c r="K95" s="31">
        <f>IFERROR(IF(SUMIFS(Data!$K:$K,Data!$A:$A,Vitezistii!$B95,Data!$C:$C,Vitezistii!K$1)=0," ",SUMIFS(Data!$K:$K,Data!$A:$A,Vitezistii!$B95,Data!$C:$C,Vitezistii!K$1))+SUMIFS(Data!$S:$S,Data!$A:$A,Vitezistii!$B95,Data!$C:$C,Vitezistii!K$1),0)</f>
        <v>0</v>
      </c>
      <c r="L95" s="31">
        <f>IFERROR(IF(SUMIFS(Data!$K:$K,Data!$A:$A,Vitezistii!$B95,Data!$C:$C,Vitezistii!L$1)=0," ",SUMIFS(Data!$K:$K,Data!$A:$A,Vitezistii!$B95,Data!$C:$C,Vitezistii!L$1))+SUMIFS(Data!$S:$S,Data!$A:$A,Vitezistii!$B95,Data!$C:$C,Vitezistii!L$1),0)</f>
        <v>0</v>
      </c>
      <c r="M95" s="31">
        <f>IFERROR(IF(SUMIFS(Data!$K:$K,Data!$A:$A,Vitezistii!$B95,Data!$C:$C,Vitezistii!M$1)=0," ",SUMIFS(Data!$K:$K,Data!$A:$A,Vitezistii!$B95,Data!$C:$C,Vitezistii!M$1))+SUMIFS(Data!$S:$S,Data!$A:$A,Vitezistii!$B95,Data!$C:$C,Vitezistii!M$1),0)</f>
        <v>0</v>
      </c>
      <c r="N95" s="31">
        <f>IFERROR(IF(SUMIFS(Data!$K:$K,Data!$A:$A,Vitezistii!$B95,Data!$C:$C,Vitezistii!N$1)=0," ",SUMIFS(Data!$K:$K,Data!$A:$A,Vitezistii!$B95,Data!$C:$C,Vitezistii!N$1))+SUMIFS(Data!$S:$S,Data!$A:$A,Vitezistii!$B95,Data!$C:$C,Vitezistii!N$1),0)</f>
        <v>0</v>
      </c>
      <c r="O95" s="31">
        <f>IFERROR(IF(SUMIFS(Data!$K:$K,Data!$A:$A,Vitezistii!$B95,Data!$C:$C,Vitezistii!O$1)=0," ",SUMIFS(Data!$K:$K,Data!$A:$A,Vitezistii!$B95,Data!$C:$C,Vitezistii!O$1))+SUMIFS(Data!$S:$S,Data!$A:$A,Vitezistii!$B95,Data!$C:$C,Vitezistii!O$1),0)</f>
        <v>0</v>
      </c>
      <c r="P95" s="31">
        <f>IFERROR(IF(SUMIFS(Data!$K:$K,Data!$A:$A,Vitezistii!$B95,Data!$C:$C,Vitezistii!P$1)=0," ",SUMIFS(Data!$K:$K,Data!$A:$A,Vitezistii!$B95,Data!$C:$C,Vitezistii!P$1))+SUMIFS(Data!$S:$S,Data!$A:$A,Vitezistii!$B95,Data!$C:$C,Vitezistii!P$1),0)</f>
        <v>0</v>
      </c>
      <c r="Q95" s="31">
        <f>IFERROR(IF(SUMIFS(Data!$K:$K,Data!$A:$A,Vitezistii!$B95,Data!$C:$C,Vitezistii!Q$1)=0," ",SUMIFS(Data!$K:$K,Data!$A:$A,Vitezistii!$B95,Data!$C:$C,Vitezistii!Q$1))+SUMIFS(Data!$S:$S,Data!$A:$A,Vitezistii!$B95,Data!$C:$C,Vitezistii!Q$1),0)</f>
        <v>0</v>
      </c>
      <c r="R95" s="31">
        <f>SUM(C95:Q95)</f>
        <v>4</v>
      </c>
      <c r="S95" s="31">
        <f>SUMIFS(Data!D:D,Data!A:A,Vitezistii!B155)</f>
        <v>0</v>
      </c>
      <c r="T95" s="12">
        <f>SUMIFS(Data!I:I,Data!A:A,Vitezistii!B95)/COUNTIF(Data!A:A,Vitezistii!B95)</f>
        <v>4.4380453870316956E-3</v>
      </c>
    </row>
    <row r="96" spans="1:20" ht="13" x14ac:dyDescent="0.3">
      <c r="A96" s="79">
        <v>95</v>
      </c>
      <c r="B96" s="30" t="s">
        <v>385</v>
      </c>
      <c r="C96" s="31">
        <f>IFERROR(IF(SUMIFS(Data!$K:$K,Data!$A:$A,Vitezistii!$B96,Data!$C:$C,Vitezistii!C$1)=0," ",SUMIFS(Data!$K:$K,Data!$A:$A,Vitezistii!$B96,Data!$C:$C,Vitezistii!C$1))+SUMIFS(Data!$S:$S,Data!$A:$A,Vitezistii!$B96,Data!$C:$C,Vitezistii!C$1),0)</f>
        <v>0</v>
      </c>
      <c r="D96" s="31">
        <f>IFERROR(IF(SUMIFS(Data!$K:$K,Data!$A:$A,Vitezistii!$B96,Data!$C:$C,Vitezistii!D$1)=0," ",SUMIFS(Data!$K:$K,Data!$A:$A,Vitezistii!$B96,Data!$C:$C,Vitezistii!D$1))+SUMIFS(Data!$S:$S,Data!$A:$A,Vitezistii!$B96,Data!$C:$C,Vitezistii!D$1),0)</f>
        <v>4</v>
      </c>
      <c r="E96" s="31">
        <f>IFERROR(IF(SUMIFS(Data!$K:$K,Data!$A:$A,Vitezistii!$B96,Data!$C:$C,Vitezistii!E$1)=0," ",SUMIFS(Data!$K:$K,Data!$A:$A,Vitezistii!$B96,Data!$C:$C,Vitezistii!E$1))+SUMIFS(Data!$S:$S,Data!$A:$A,Vitezistii!$B96,Data!$C:$C,Vitezistii!E$1),0)</f>
        <v>0</v>
      </c>
      <c r="F96" s="31">
        <f>IFERROR(IF(SUMIFS(Data!$K:$K,Data!$A:$A,Vitezistii!$B96,Data!$C:$C,Vitezistii!F$1)=0," ",SUMIFS(Data!$K:$K,Data!$A:$A,Vitezistii!$B96,Data!$C:$C,Vitezistii!F$1))+SUMIFS(Data!$S:$S,Data!$A:$A,Vitezistii!$B96,Data!$C:$C,Vitezistii!F$1),0)</f>
        <v>0</v>
      </c>
      <c r="G96" s="31">
        <f>IFERROR(IF(SUMIFS(Data!$K:$K,Data!$A:$A,Vitezistii!$B96,Data!$C:$C,Vitezistii!G$1)=0," ",SUMIFS(Data!$K:$K,Data!$A:$A,Vitezistii!$B96,Data!$C:$C,Vitezistii!G$1))+SUMIFS(Data!$S:$S,Data!$A:$A,Vitezistii!$B96,Data!$C:$C,Vitezistii!G$1),0)</f>
        <v>0</v>
      </c>
      <c r="H96" s="31">
        <f>IFERROR(IF(SUMIFS(Data!$K:$K,Data!$A:$A,Vitezistii!$B96,Data!$C:$C,Vitezistii!H$1)=0," ",SUMIFS(Data!$K:$K,Data!$A:$A,Vitezistii!$B96,Data!$C:$C,Vitezistii!H$1))+SUMIFS(Data!$S:$S,Data!$A:$A,Vitezistii!$B96,Data!$C:$C,Vitezistii!H$1),0)</f>
        <v>0</v>
      </c>
      <c r="I96" s="31">
        <f>IFERROR(IF(SUMIFS(Data!$K:$K,Data!$A:$A,Vitezistii!$B96,Data!$C:$C,Vitezistii!I$1)=0," ",SUMIFS(Data!$K:$K,Data!$A:$A,Vitezistii!$B96,Data!$C:$C,Vitezistii!I$1))+SUMIFS(Data!$S:$S,Data!$A:$A,Vitezistii!$B96,Data!$C:$C,Vitezistii!I$1),0)</f>
        <v>0</v>
      </c>
      <c r="J96" s="31">
        <f>IFERROR(IF(SUMIFS(Data!$K:$K,Data!$A:$A,Vitezistii!$B96,Data!$C:$C,Vitezistii!J$1)=0," ",SUMIFS(Data!$K:$K,Data!$A:$A,Vitezistii!$B96,Data!$C:$C,Vitezistii!J$1))+SUMIFS(Data!$S:$S,Data!$A:$A,Vitezistii!$B96,Data!$C:$C,Vitezistii!J$1),0)</f>
        <v>0</v>
      </c>
      <c r="K96" s="31">
        <f>IFERROR(IF(SUMIFS(Data!$K:$K,Data!$A:$A,Vitezistii!$B96,Data!$C:$C,Vitezistii!K$1)=0," ",SUMIFS(Data!$K:$K,Data!$A:$A,Vitezistii!$B96,Data!$C:$C,Vitezistii!K$1))+SUMIFS(Data!$S:$S,Data!$A:$A,Vitezistii!$B96,Data!$C:$C,Vitezistii!K$1),0)</f>
        <v>0</v>
      </c>
      <c r="L96" s="31">
        <f>IFERROR(IF(SUMIFS(Data!$K:$K,Data!$A:$A,Vitezistii!$B96,Data!$C:$C,Vitezistii!L$1)=0," ",SUMIFS(Data!$K:$K,Data!$A:$A,Vitezistii!$B96,Data!$C:$C,Vitezistii!L$1))+SUMIFS(Data!$S:$S,Data!$A:$A,Vitezistii!$B96,Data!$C:$C,Vitezistii!L$1),0)</f>
        <v>0</v>
      </c>
      <c r="M96" s="31">
        <f>IFERROR(IF(SUMIFS(Data!$K:$K,Data!$A:$A,Vitezistii!$B96,Data!$C:$C,Vitezistii!M$1)=0," ",SUMIFS(Data!$K:$K,Data!$A:$A,Vitezistii!$B96,Data!$C:$C,Vitezistii!M$1))+SUMIFS(Data!$S:$S,Data!$A:$A,Vitezistii!$B96,Data!$C:$C,Vitezistii!M$1),0)</f>
        <v>0</v>
      </c>
      <c r="N96" s="31">
        <f>IFERROR(IF(SUMIFS(Data!$K:$K,Data!$A:$A,Vitezistii!$B96,Data!$C:$C,Vitezistii!N$1)=0," ",SUMIFS(Data!$K:$K,Data!$A:$A,Vitezistii!$B96,Data!$C:$C,Vitezistii!N$1))+SUMIFS(Data!$S:$S,Data!$A:$A,Vitezistii!$B96,Data!$C:$C,Vitezistii!N$1),0)</f>
        <v>0</v>
      </c>
      <c r="O96" s="31">
        <f>IFERROR(IF(SUMIFS(Data!$K:$K,Data!$A:$A,Vitezistii!$B96,Data!$C:$C,Vitezistii!O$1)=0," ",SUMIFS(Data!$K:$K,Data!$A:$A,Vitezistii!$B96,Data!$C:$C,Vitezistii!O$1))+SUMIFS(Data!$S:$S,Data!$A:$A,Vitezistii!$B96,Data!$C:$C,Vitezistii!O$1),0)</f>
        <v>0</v>
      </c>
      <c r="P96" s="31">
        <f>IFERROR(IF(SUMIFS(Data!$K:$K,Data!$A:$A,Vitezistii!$B96,Data!$C:$C,Vitezistii!P$1)=0," ",SUMIFS(Data!$K:$K,Data!$A:$A,Vitezistii!$B96,Data!$C:$C,Vitezistii!P$1))+SUMIFS(Data!$S:$S,Data!$A:$A,Vitezistii!$B96,Data!$C:$C,Vitezistii!P$1),0)</f>
        <v>0</v>
      </c>
      <c r="Q96" s="31">
        <f>IFERROR(IF(SUMIFS(Data!$K:$K,Data!$A:$A,Vitezistii!$B96,Data!$C:$C,Vitezistii!Q$1)=0," ",SUMIFS(Data!$K:$K,Data!$A:$A,Vitezistii!$B96,Data!$C:$C,Vitezistii!Q$1))+SUMIFS(Data!$S:$S,Data!$A:$A,Vitezistii!$B96,Data!$C:$C,Vitezistii!Q$1),0)</f>
        <v>0</v>
      </c>
      <c r="R96" s="31">
        <f>SUM(C96:Q96)</f>
        <v>4</v>
      </c>
      <c r="S96" s="31">
        <f>SUMIFS(Data!D:D,Data!A:A,Vitezistii!B156)</f>
        <v>0</v>
      </c>
      <c r="T96" s="12">
        <f>SUMIFS(Data!I:I,Data!A:A,Vitezistii!B96)/COUNTIF(Data!A:A,Vitezistii!B96)</f>
        <v>3.4260183337029644E-3</v>
      </c>
    </row>
    <row r="97" spans="1:20" ht="13" x14ac:dyDescent="0.3">
      <c r="A97" s="79">
        <v>96</v>
      </c>
      <c r="B97" s="30" t="s">
        <v>394</v>
      </c>
      <c r="C97" s="31">
        <f>IFERROR(IF(SUMIFS(Data!$K:$K,Data!$A:$A,Vitezistii!$B97,Data!$C:$C,Vitezistii!C$1)=0," ",SUMIFS(Data!$K:$K,Data!$A:$A,Vitezistii!$B97,Data!$C:$C,Vitezistii!C$1))+SUMIFS(Data!$S:$S,Data!$A:$A,Vitezistii!$B97,Data!$C:$C,Vitezistii!C$1),0)</f>
        <v>0</v>
      </c>
      <c r="D97" s="31">
        <f>IFERROR(IF(SUMIFS(Data!$K:$K,Data!$A:$A,Vitezistii!$B97,Data!$C:$C,Vitezistii!D$1)=0," ",SUMIFS(Data!$K:$K,Data!$A:$A,Vitezistii!$B97,Data!$C:$C,Vitezistii!D$1))+SUMIFS(Data!$S:$S,Data!$A:$A,Vitezistii!$B97,Data!$C:$C,Vitezistii!D$1),0)</f>
        <v>0</v>
      </c>
      <c r="E97" s="31">
        <f>IFERROR(IF(SUMIFS(Data!$K:$K,Data!$A:$A,Vitezistii!$B97,Data!$C:$C,Vitezistii!E$1)=0," ",SUMIFS(Data!$K:$K,Data!$A:$A,Vitezistii!$B97,Data!$C:$C,Vitezistii!E$1))+SUMIFS(Data!$S:$S,Data!$A:$A,Vitezistii!$B97,Data!$C:$C,Vitezistii!E$1),0)</f>
        <v>4</v>
      </c>
      <c r="F97" s="31">
        <f>IFERROR(IF(SUMIFS(Data!$K:$K,Data!$A:$A,Vitezistii!$B97,Data!$C:$C,Vitezistii!F$1)=0," ",SUMIFS(Data!$K:$K,Data!$A:$A,Vitezistii!$B97,Data!$C:$C,Vitezistii!F$1))+SUMIFS(Data!$S:$S,Data!$A:$A,Vitezistii!$B97,Data!$C:$C,Vitezistii!F$1),0)</f>
        <v>0</v>
      </c>
      <c r="G97" s="31">
        <f>IFERROR(IF(SUMIFS(Data!$K:$K,Data!$A:$A,Vitezistii!$B97,Data!$C:$C,Vitezistii!G$1)=0," ",SUMIFS(Data!$K:$K,Data!$A:$A,Vitezistii!$B97,Data!$C:$C,Vitezistii!G$1))+SUMIFS(Data!$S:$S,Data!$A:$A,Vitezistii!$B97,Data!$C:$C,Vitezistii!G$1),0)</f>
        <v>0</v>
      </c>
      <c r="H97" s="31">
        <f>IFERROR(IF(SUMIFS(Data!$K:$K,Data!$A:$A,Vitezistii!$B97,Data!$C:$C,Vitezistii!H$1)=0," ",SUMIFS(Data!$K:$K,Data!$A:$A,Vitezistii!$B97,Data!$C:$C,Vitezistii!H$1))+SUMIFS(Data!$S:$S,Data!$A:$A,Vitezistii!$B97,Data!$C:$C,Vitezistii!H$1),0)</f>
        <v>0</v>
      </c>
      <c r="I97" s="31">
        <f>IFERROR(IF(SUMIFS(Data!$K:$K,Data!$A:$A,Vitezistii!$B97,Data!$C:$C,Vitezistii!I$1)=0," ",SUMIFS(Data!$K:$K,Data!$A:$A,Vitezistii!$B97,Data!$C:$C,Vitezistii!I$1))+SUMIFS(Data!$S:$S,Data!$A:$A,Vitezistii!$B97,Data!$C:$C,Vitezistii!I$1),0)</f>
        <v>0</v>
      </c>
      <c r="J97" s="31">
        <f>IFERROR(IF(SUMIFS(Data!$K:$K,Data!$A:$A,Vitezistii!$B97,Data!$C:$C,Vitezistii!J$1)=0," ",SUMIFS(Data!$K:$K,Data!$A:$A,Vitezistii!$B97,Data!$C:$C,Vitezistii!J$1))+SUMIFS(Data!$S:$S,Data!$A:$A,Vitezistii!$B97,Data!$C:$C,Vitezistii!J$1),0)</f>
        <v>0</v>
      </c>
      <c r="K97" s="31">
        <f>IFERROR(IF(SUMIFS(Data!$K:$K,Data!$A:$A,Vitezistii!$B97,Data!$C:$C,Vitezistii!K$1)=0," ",SUMIFS(Data!$K:$K,Data!$A:$A,Vitezistii!$B97,Data!$C:$C,Vitezistii!K$1))+SUMIFS(Data!$S:$S,Data!$A:$A,Vitezistii!$B97,Data!$C:$C,Vitezistii!K$1),0)</f>
        <v>0</v>
      </c>
      <c r="L97" s="31">
        <f>IFERROR(IF(SUMIFS(Data!$K:$K,Data!$A:$A,Vitezistii!$B97,Data!$C:$C,Vitezistii!L$1)=0," ",SUMIFS(Data!$K:$K,Data!$A:$A,Vitezistii!$B97,Data!$C:$C,Vitezistii!L$1))+SUMIFS(Data!$S:$S,Data!$A:$A,Vitezistii!$B97,Data!$C:$C,Vitezistii!L$1),0)</f>
        <v>0</v>
      </c>
      <c r="M97" s="31">
        <f>IFERROR(IF(SUMIFS(Data!$K:$K,Data!$A:$A,Vitezistii!$B97,Data!$C:$C,Vitezistii!M$1)=0," ",SUMIFS(Data!$K:$K,Data!$A:$A,Vitezistii!$B97,Data!$C:$C,Vitezistii!M$1))+SUMIFS(Data!$S:$S,Data!$A:$A,Vitezistii!$B97,Data!$C:$C,Vitezistii!M$1),0)</f>
        <v>0</v>
      </c>
      <c r="N97" s="31">
        <f>IFERROR(IF(SUMIFS(Data!$K:$K,Data!$A:$A,Vitezistii!$B97,Data!$C:$C,Vitezistii!N$1)=0," ",SUMIFS(Data!$K:$K,Data!$A:$A,Vitezistii!$B97,Data!$C:$C,Vitezistii!N$1))+SUMIFS(Data!$S:$S,Data!$A:$A,Vitezistii!$B97,Data!$C:$C,Vitezistii!N$1),0)</f>
        <v>0</v>
      </c>
      <c r="O97" s="31">
        <f>IFERROR(IF(SUMIFS(Data!$K:$K,Data!$A:$A,Vitezistii!$B97,Data!$C:$C,Vitezistii!O$1)=0," ",SUMIFS(Data!$K:$K,Data!$A:$A,Vitezistii!$B97,Data!$C:$C,Vitezistii!O$1))+SUMIFS(Data!$S:$S,Data!$A:$A,Vitezistii!$B97,Data!$C:$C,Vitezistii!O$1),0)</f>
        <v>0</v>
      </c>
      <c r="P97" s="31">
        <f>IFERROR(IF(SUMIFS(Data!$K:$K,Data!$A:$A,Vitezistii!$B97,Data!$C:$C,Vitezistii!P$1)=0," ",SUMIFS(Data!$K:$K,Data!$A:$A,Vitezistii!$B97,Data!$C:$C,Vitezistii!P$1))+SUMIFS(Data!$S:$S,Data!$A:$A,Vitezistii!$B97,Data!$C:$C,Vitezistii!P$1),0)</f>
        <v>0</v>
      </c>
      <c r="Q97" s="31">
        <f>IFERROR(IF(SUMIFS(Data!$K:$K,Data!$A:$A,Vitezistii!$B97,Data!$C:$C,Vitezistii!Q$1)=0," ",SUMIFS(Data!$K:$K,Data!$A:$A,Vitezistii!$B97,Data!$C:$C,Vitezistii!Q$1))+SUMIFS(Data!$S:$S,Data!$A:$A,Vitezistii!$B97,Data!$C:$C,Vitezistii!Q$1),0)</f>
        <v>0</v>
      </c>
      <c r="R97" s="31">
        <f>SUM(C97:Q97)</f>
        <v>4</v>
      </c>
      <c r="S97" s="31">
        <f>SUMIFS(Data!D:D,Data!A:A,Vitezistii!B157)</f>
        <v>0</v>
      </c>
      <c r="T97" s="12">
        <f>SUMIFS(Data!I:I,Data!A:A,Vitezistii!B97)/COUNTIF(Data!A:A,Vitezistii!B97)</f>
        <v>3.0119384430727018E-3</v>
      </c>
    </row>
    <row r="98" spans="1:20" ht="13" x14ac:dyDescent="0.3">
      <c r="A98" s="79">
        <v>97</v>
      </c>
      <c r="B98" s="30" t="s">
        <v>461</v>
      </c>
      <c r="C98" s="31">
        <f>IFERROR(IF(SUMIFS(Data!$K:$K,Data!$A:$A,Vitezistii!$B98,Data!$C:$C,Vitezistii!C$1)=0," ",SUMIFS(Data!$K:$K,Data!$A:$A,Vitezistii!$B98,Data!$C:$C,Vitezistii!C$1))+SUMIFS(Data!$S:$S,Data!$A:$A,Vitezistii!$B98,Data!$C:$C,Vitezistii!C$1),0)</f>
        <v>0</v>
      </c>
      <c r="D98" s="31">
        <f>IFERROR(IF(SUMIFS(Data!$K:$K,Data!$A:$A,Vitezistii!$B98,Data!$C:$C,Vitezistii!D$1)=0," ",SUMIFS(Data!$K:$K,Data!$A:$A,Vitezistii!$B98,Data!$C:$C,Vitezistii!D$1))+SUMIFS(Data!$S:$S,Data!$A:$A,Vitezistii!$B98,Data!$C:$C,Vitezistii!D$1),0)</f>
        <v>0</v>
      </c>
      <c r="E98" s="31">
        <f>IFERROR(IF(SUMIFS(Data!$K:$K,Data!$A:$A,Vitezistii!$B98,Data!$C:$C,Vitezistii!E$1)=0," ",SUMIFS(Data!$K:$K,Data!$A:$A,Vitezistii!$B98,Data!$C:$C,Vitezistii!E$1))+SUMIFS(Data!$S:$S,Data!$A:$A,Vitezistii!$B98,Data!$C:$C,Vitezistii!E$1),0)</f>
        <v>0</v>
      </c>
      <c r="F98" s="31">
        <f>IFERROR(IF(SUMIFS(Data!$K:$K,Data!$A:$A,Vitezistii!$B98,Data!$C:$C,Vitezistii!F$1)=0," ",SUMIFS(Data!$K:$K,Data!$A:$A,Vitezistii!$B98,Data!$C:$C,Vitezistii!F$1))+SUMIFS(Data!$S:$S,Data!$A:$A,Vitezistii!$B98,Data!$C:$C,Vitezistii!F$1),0)</f>
        <v>0</v>
      </c>
      <c r="G98" s="31">
        <f>IFERROR(IF(SUMIFS(Data!$K:$K,Data!$A:$A,Vitezistii!$B98,Data!$C:$C,Vitezistii!G$1)=0," ",SUMIFS(Data!$K:$K,Data!$A:$A,Vitezistii!$B98,Data!$C:$C,Vitezistii!G$1))+SUMIFS(Data!$S:$S,Data!$A:$A,Vitezistii!$B98,Data!$C:$C,Vitezistii!G$1),0)</f>
        <v>0</v>
      </c>
      <c r="H98" s="31">
        <f>IFERROR(IF(SUMIFS(Data!$K:$K,Data!$A:$A,Vitezistii!$B98,Data!$C:$C,Vitezistii!H$1)=0," ",SUMIFS(Data!$K:$K,Data!$A:$A,Vitezistii!$B98,Data!$C:$C,Vitezistii!H$1))+SUMIFS(Data!$S:$S,Data!$A:$A,Vitezistii!$B98,Data!$C:$C,Vitezistii!H$1),0)</f>
        <v>0</v>
      </c>
      <c r="I98" s="31">
        <f>IFERROR(IF(SUMIFS(Data!$K:$K,Data!$A:$A,Vitezistii!$B98,Data!$C:$C,Vitezistii!I$1)=0," ",SUMIFS(Data!$K:$K,Data!$A:$A,Vitezistii!$B98,Data!$C:$C,Vitezistii!I$1))+SUMIFS(Data!$S:$S,Data!$A:$A,Vitezistii!$B98,Data!$C:$C,Vitezistii!I$1),0)</f>
        <v>1</v>
      </c>
      <c r="J98" s="31">
        <f>IFERROR(IF(SUMIFS(Data!$K:$K,Data!$A:$A,Vitezistii!$B98,Data!$C:$C,Vitezistii!J$1)=0," ",SUMIFS(Data!$K:$K,Data!$A:$A,Vitezistii!$B98,Data!$C:$C,Vitezistii!J$1))+SUMIFS(Data!$S:$S,Data!$A:$A,Vitezistii!$B98,Data!$C:$C,Vitezistii!J$1),0)</f>
        <v>0.75</v>
      </c>
      <c r="K98" s="31">
        <f>IFERROR(IF(SUMIFS(Data!$K:$K,Data!$A:$A,Vitezistii!$B98,Data!$C:$C,Vitezistii!K$1)=0," ",SUMIFS(Data!$K:$K,Data!$A:$A,Vitezistii!$B98,Data!$C:$C,Vitezistii!K$1))+SUMIFS(Data!$S:$S,Data!$A:$A,Vitezistii!$B98,Data!$C:$C,Vitezistii!K$1),0)</f>
        <v>1</v>
      </c>
      <c r="L98" s="31">
        <f>IFERROR(IF(SUMIFS(Data!$K:$K,Data!$A:$A,Vitezistii!$B98,Data!$C:$C,Vitezistii!L$1)=0," ",SUMIFS(Data!$K:$K,Data!$A:$A,Vitezistii!$B98,Data!$C:$C,Vitezistii!L$1))+SUMIFS(Data!$S:$S,Data!$A:$A,Vitezistii!$B98,Data!$C:$C,Vitezistii!L$1),0)</f>
        <v>1</v>
      </c>
      <c r="M98" s="31">
        <f>IFERROR(IF(SUMIFS(Data!$K:$K,Data!$A:$A,Vitezistii!$B98,Data!$C:$C,Vitezistii!M$1)=0," ",SUMIFS(Data!$K:$K,Data!$A:$A,Vitezistii!$B98,Data!$C:$C,Vitezistii!M$1))+SUMIFS(Data!$S:$S,Data!$A:$A,Vitezistii!$B98,Data!$C:$C,Vitezistii!M$1),0)</f>
        <v>0</v>
      </c>
      <c r="N98" s="31">
        <f>IFERROR(IF(SUMIFS(Data!$K:$K,Data!$A:$A,Vitezistii!$B98,Data!$C:$C,Vitezistii!N$1)=0," ",SUMIFS(Data!$K:$K,Data!$A:$A,Vitezistii!$B98,Data!$C:$C,Vitezistii!N$1))+SUMIFS(Data!$S:$S,Data!$A:$A,Vitezistii!$B98,Data!$C:$C,Vitezistii!N$1),0)</f>
        <v>0</v>
      </c>
      <c r="O98" s="31">
        <f>IFERROR(IF(SUMIFS(Data!$K:$K,Data!$A:$A,Vitezistii!$B98,Data!$C:$C,Vitezistii!O$1)=0," ",SUMIFS(Data!$K:$K,Data!$A:$A,Vitezistii!$B98,Data!$C:$C,Vitezistii!O$1))+SUMIFS(Data!$S:$S,Data!$A:$A,Vitezistii!$B98,Data!$C:$C,Vitezistii!O$1),0)</f>
        <v>0</v>
      </c>
      <c r="P98" s="31">
        <f>IFERROR(IF(SUMIFS(Data!$K:$K,Data!$A:$A,Vitezistii!$B98,Data!$C:$C,Vitezistii!P$1)=0," ",SUMIFS(Data!$K:$K,Data!$A:$A,Vitezistii!$B98,Data!$C:$C,Vitezistii!P$1))+SUMIFS(Data!$S:$S,Data!$A:$A,Vitezistii!$B98,Data!$C:$C,Vitezistii!P$1),0)</f>
        <v>0</v>
      </c>
      <c r="Q98" s="31">
        <f>IFERROR(IF(SUMIFS(Data!$K:$K,Data!$A:$A,Vitezistii!$B98,Data!$C:$C,Vitezistii!Q$1)=0," ",SUMIFS(Data!$K:$K,Data!$A:$A,Vitezistii!$B98,Data!$C:$C,Vitezistii!Q$1))+SUMIFS(Data!$S:$S,Data!$A:$A,Vitezistii!$B98,Data!$C:$C,Vitezistii!Q$1),0)</f>
        <v>0</v>
      </c>
      <c r="R98" s="31">
        <f>SUM(C98:Q98)</f>
        <v>3.75</v>
      </c>
      <c r="S98" s="31">
        <f>SUMIFS(Data!D:D,Data!A:A,Vitezistii!B158)</f>
        <v>0</v>
      </c>
      <c r="T98" s="12">
        <f>SUMIFS(Data!I:I,Data!A:A,Vitezistii!B98)/COUNTIF(Data!A:A,Vitezistii!B98)</f>
        <v>4.5210108952830402E-3</v>
      </c>
    </row>
    <row r="99" spans="1:20" ht="13" x14ac:dyDescent="0.3">
      <c r="A99" s="79">
        <v>98</v>
      </c>
      <c r="B99" s="30" t="s">
        <v>381</v>
      </c>
      <c r="C99" s="31">
        <f>IFERROR(IF(SUMIFS(Data!$K:$K,Data!$A:$A,Vitezistii!$B99,Data!$C:$C,Vitezistii!C$1)=0," ",SUMIFS(Data!$K:$K,Data!$A:$A,Vitezistii!$B99,Data!$C:$C,Vitezistii!C$1))+SUMIFS(Data!$S:$S,Data!$A:$A,Vitezistii!$B99,Data!$C:$C,Vitezistii!C$1),0)</f>
        <v>0</v>
      </c>
      <c r="D99" s="31">
        <f>IFERROR(IF(SUMIFS(Data!$K:$K,Data!$A:$A,Vitezistii!$B99,Data!$C:$C,Vitezistii!D$1)=0," ",SUMIFS(Data!$K:$K,Data!$A:$A,Vitezistii!$B99,Data!$C:$C,Vitezistii!D$1))+SUMIFS(Data!$S:$S,Data!$A:$A,Vitezistii!$B99,Data!$C:$C,Vitezistii!D$1),0)</f>
        <v>1.5</v>
      </c>
      <c r="E99" s="31">
        <f>IFERROR(IF(SUMIFS(Data!$K:$K,Data!$A:$A,Vitezistii!$B99,Data!$C:$C,Vitezistii!E$1)=0," ",SUMIFS(Data!$K:$K,Data!$A:$A,Vitezistii!$B99,Data!$C:$C,Vitezistii!E$1))+SUMIFS(Data!$S:$S,Data!$A:$A,Vitezistii!$B99,Data!$C:$C,Vitezistii!E$1),0)</f>
        <v>0</v>
      </c>
      <c r="F99" s="31">
        <f>IFERROR(IF(SUMIFS(Data!$K:$K,Data!$A:$A,Vitezistii!$B99,Data!$C:$C,Vitezistii!F$1)=0," ",SUMIFS(Data!$K:$K,Data!$A:$A,Vitezistii!$B99,Data!$C:$C,Vitezistii!F$1))+SUMIFS(Data!$S:$S,Data!$A:$A,Vitezistii!$B99,Data!$C:$C,Vitezistii!F$1),0)</f>
        <v>2</v>
      </c>
      <c r="G99" s="31">
        <f>IFERROR(IF(SUMIFS(Data!$K:$K,Data!$A:$A,Vitezistii!$B99,Data!$C:$C,Vitezistii!G$1)=0," ",SUMIFS(Data!$K:$K,Data!$A:$A,Vitezistii!$B99,Data!$C:$C,Vitezistii!G$1))+SUMIFS(Data!$S:$S,Data!$A:$A,Vitezistii!$B99,Data!$C:$C,Vitezistii!G$1),0)</f>
        <v>0</v>
      </c>
      <c r="H99" s="31">
        <f>IFERROR(IF(SUMIFS(Data!$K:$K,Data!$A:$A,Vitezistii!$B99,Data!$C:$C,Vitezistii!H$1)=0," ",SUMIFS(Data!$K:$K,Data!$A:$A,Vitezistii!$B99,Data!$C:$C,Vitezistii!H$1))+SUMIFS(Data!$S:$S,Data!$A:$A,Vitezistii!$B99,Data!$C:$C,Vitezistii!H$1),0)</f>
        <v>0</v>
      </c>
      <c r="I99" s="31">
        <f>IFERROR(IF(SUMIFS(Data!$K:$K,Data!$A:$A,Vitezistii!$B99,Data!$C:$C,Vitezistii!I$1)=0," ",SUMIFS(Data!$K:$K,Data!$A:$A,Vitezistii!$B99,Data!$C:$C,Vitezistii!I$1))+SUMIFS(Data!$S:$S,Data!$A:$A,Vitezistii!$B99,Data!$C:$C,Vitezistii!I$1),0)</f>
        <v>0</v>
      </c>
      <c r="J99" s="31">
        <f>IFERROR(IF(SUMIFS(Data!$K:$K,Data!$A:$A,Vitezistii!$B99,Data!$C:$C,Vitezistii!J$1)=0," ",SUMIFS(Data!$K:$K,Data!$A:$A,Vitezistii!$B99,Data!$C:$C,Vitezistii!J$1))+SUMIFS(Data!$S:$S,Data!$A:$A,Vitezistii!$B99,Data!$C:$C,Vitezistii!J$1),0)</f>
        <v>0</v>
      </c>
      <c r="K99" s="31">
        <f>IFERROR(IF(SUMIFS(Data!$K:$K,Data!$A:$A,Vitezistii!$B99,Data!$C:$C,Vitezistii!K$1)=0," ",SUMIFS(Data!$K:$K,Data!$A:$A,Vitezistii!$B99,Data!$C:$C,Vitezistii!K$1))+SUMIFS(Data!$S:$S,Data!$A:$A,Vitezistii!$B99,Data!$C:$C,Vitezistii!K$1),0)</f>
        <v>0</v>
      </c>
      <c r="L99" s="31">
        <f>IFERROR(IF(SUMIFS(Data!$K:$K,Data!$A:$A,Vitezistii!$B99,Data!$C:$C,Vitezistii!L$1)=0," ",SUMIFS(Data!$K:$K,Data!$A:$A,Vitezistii!$B99,Data!$C:$C,Vitezistii!L$1))+SUMIFS(Data!$S:$S,Data!$A:$A,Vitezistii!$B99,Data!$C:$C,Vitezistii!L$1),0)</f>
        <v>0</v>
      </c>
      <c r="M99" s="31">
        <f>IFERROR(IF(SUMIFS(Data!$K:$K,Data!$A:$A,Vitezistii!$B99,Data!$C:$C,Vitezistii!M$1)=0," ",SUMIFS(Data!$K:$K,Data!$A:$A,Vitezistii!$B99,Data!$C:$C,Vitezistii!M$1))+SUMIFS(Data!$S:$S,Data!$A:$A,Vitezistii!$B99,Data!$C:$C,Vitezistii!M$1),0)</f>
        <v>0</v>
      </c>
      <c r="N99" s="31">
        <f>IFERROR(IF(SUMIFS(Data!$K:$K,Data!$A:$A,Vitezistii!$B99,Data!$C:$C,Vitezistii!N$1)=0," ",SUMIFS(Data!$K:$K,Data!$A:$A,Vitezistii!$B99,Data!$C:$C,Vitezistii!N$1))+SUMIFS(Data!$S:$S,Data!$A:$A,Vitezistii!$B99,Data!$C:$C,Vitezistii!N$1),0)</f>
        <v>0</v>
      </c>
      <c r="O99" s="31">
        <f>IFERROR(IF(SUMIFS(Data!$K:$K,Data!$A:$A,Vitezistii!$B99,Data!$C:$C,Vitezistii!O$1)=0," ",SUMIFS(Data!$K:$K,Data!$A:$A,Vitezistii!$B99,Data!$C:$C,Vitezistii!O$1))+SUMIFS(Data!$S:$S,Data!$A:$A,Vitezistii!$B99,Data!$C:$C,Vitezistii!O$1),0)</f>
        <v>0</v>
      </c>
      <c r="P99" s="31">
        <f>IFERROR(IF(SUMIFS(Data!$K:$K,Data!$A:$A,Vitezistii!$B99,Data!$C:$C,Vitezistii!P$1)=0," ",SUMIFS(Data!$K:$K,Data!$A:$A,Vitezistii!$B99,Data!$C:$C,Vitezistii!P$1))+SUMIFS(Data!$S:$S,Data!$A:$A,Vitezistii!$B99,Data!$C:$C,Vitezistii!P$1),0)</f>
        <v>0</v>
      </c>
      <c r="Q99" s="31">
        <f>IFERROR(IF(SUMIFS(Data!$K:$K,Data!$A:$A,Vitezistii!$B99,Data!$C:$C,Vitezistii!Q$1)=0," ",SUMIFS(Data!$K:$K,Data!$A:$A,Vitezistii!$B99,Data!$C:$C,Vitezistii!Q$1))+SUMIFS(Data!$S:$S,Data!$A:$A,Vitezistii!$B99,Data!$C:$C,Vitezistii!Q$1),0)</f>
        <v>0</v>
      </c>
      <c r="R99" s="31">
        <f>SUM(C99:Q99)</f>
        <v>3.5</v>
      </c>
      <c r="S99" s="31">
        <f>SUMIFS(Data!D:D,Data!A:A,Vitezistii!B159)</f>
        <v>0</v>
      </c>
      <c r="T99" s="12">
        <f>SUMIFS(Data!I:I,Data!A:A,Vitezistii!B99)/COUNTIF(Data!A:A,Vitezistii!B99)</f>
        <v>3.8747785744541693E-3</v>
      </c>
    </row>
    <row r="100" spans="1:20" ht="13" x14ac:dyDescent="0.3">
      <c r="A100" s="79">
        <v>99</v>
      </c>
      <c r="B100" s="30" t="s">
        <v>350</v>
      </c>
      <c r="C100" s="31">
        <f>IFERROR(IF(SUMIFS(Data!$K:$K,Data!$A:$A,Vitezistii!$B100,Data!$C:$C,Vitezistii!C$1)=0," ",SUMIFS(Data!$K:$K,Data!$A:$A,Vitezistii!$B100,Data!$C:$C,Vitezistii!C$1))+SUMIFS(Data!$S:$S,Data!$A:$A,Vitezistii!$B100,Data!$C:$C,Vitezistii!C$1),0)</f>
        <v>0</v>
      </c>
      <c r="D100" s="31">
        <f>IFERROR(IF(SUMIFS(Data!$K:$K,Data!$A:$A,Vitezistii!$B100,Data!$C:$C,Vitezistii!D$1)=0," ",SUMIFS(Data!$K:$K,Data!$A:$A,Vitezistii!$B100,Data!$C:$C,Vitezistii!D$1))+SUMIFS(Data!$S:$S,Data!$A:$A,Vitezistii!$B100,Data!$C:$C,Vitezistii!D$1),0)</f>
        <v>3</v>
      </c>
      <c r="E100" s="31">
        <f>IFERROR(IF(SUMIFS(Data!$K:$K,Data!$A:$A,Vitezistii!$B100,Data!$C:$C,Vitezistii!E$1)=0," ",SUMIFS(Data!$K:$K,Data!$A:$A,Vitezistii!$B100,Data!$C:$C,Vitezistii!E$1))+SUMIFS(Data!$S:$S,Data!$A:$A,Vitezistii!$B100,Data!$C:$C,Vitezistii!E$1),0)</f>
        <v>0</v>
      </c>
      <c r="F100" s="31">
        <f>IFERROR(IF(SUMIFS(Data!$K:$K,Data!$A:$A,Vitezistii!$B100,Data!$C:$C,Vitezistii!F$1)=0," ",SUMIFS(Data!$K:$K,Data!$A:$A,Vitezistii!$B100,Data!$C:$C,Vitezistii!F$1))+SUMIFS(Data!$S:$S,Data!$A:$A,Vitezistii!$B100,Data!$C:$C,Vitezistii!F$1),0)</f>
        <v>0</v>
      </c>
      <c r="G100" s="31">
        <f>IFERROR(IF(SUMIFS(Data!$K:$K,Data!$A:$A,Vitezistii!$B100,Data!$C:$C,Vitezistii!G$1)=0," ",SUMIFS(Data!$K:$K,Data!$A:$A,Vitezistii!$B100,Data!$C:$C,Vitezistii!G$1))+SUMIFS(Data!$S:$S,Data!$A:$A,Vitezistii!$B100,Data!$C:$C,Vitezistii!G$1),0)</f>
        <v>0</v>
      </c>
      <c r="H100" s="31">
        <f>IFERROR(IF(SUMIFS(Data!$K:$K,Data!$A:$A,Vitezistii!$B100,Data!$C:$C,Vitezistii!H$1)=0," ",SUMIFS(Data!$K:$K,Data!$A:$A,Vitezistii!$B100,Data!$C:$C,Vitezistii!H$1))+SUMIFS(Data!$S:$S,Data!$A:$A,Vitezistii!$B100,Data!$C:$C,Vitezistii!H$1),0)</f>
        <v>0</v>
      </c>
      <c r="I100" s="31">
        <f>IFERROR(IF(SUMIFS(Data!$K:$K,Data!$A:$A,Vitezistii!$B100,Data!$C:$C,Vitezistii!I$1)=0," ",SUMIFS(Data!$K:$K,Data!$A:$A,Vitezistii!$B100,Data!$C:$C,Vitezistii!I$1))+SUMIFS(Data!$S:$S,Data!$A:$A,Vitezistii!$B100,Data!$C:$C,Vitezistii!I$1),0)</f>
        <v>0</v>
      </c>
      <c r="J100" s="31">
        <f>IFERROR(IF(SUMIFS(Data!$K:$K,Data!$A:$A,Vitezistii!$B100,Data!$C:$C,Vitezistii!J$1)=0," ",SUMIFS(Data!$K:$K,Data!$A:$A,Vitezistii!$B100,Data!$C:$C,Vitezistii!J$1))+SUMIFS(Data!$S:$S,Data!$A:$A,Vitezistii!$B100,Data!$C:$C,Vitezistii!J$1),0)</f>
        <v>0</v>
      </c>
      <c r="K100" s="31">
        <f>IFERROR(IF(SUMIFS(Data!$K:$K,Data!$A:$A,Vitezistii!$B100,Data!$C:$C,Vitezistii!K$1)=0," ",SUMIFS(Data!$K:$K,Data!$A:$A,Vitezistii!$B100,Data!$C:$C,Vitezistii!K$1))+SUMIFS(Data!$S:$S,Data!$A:$A,Vitezistii!$B100,Data!$C:$C,Vitezistii!K$1),0)</f>
        <v>0</v>
      </c>
      <c r="L100" s="31">
        <f>IFERROR(IF(SUMIFS(Data!$K:$K,Data!$A:$A,Vitezistii!$B100,Data!$C:$C,Vitezistii!L$1)=0," ",SUMIFS(Data!$K:$K,Data!$A:$A,Vitezistii!$B100,Data!$C:$C,Vitezistii!L$1))+SUMIFS(Data!$S:$S,Data!$A:$A,Vitezistii!$B100,Data!$C:$C,Vitezistii!L$1),0)</f>
        <v>0</v>
      </c>
      <c r="M100" s="31">
        <f>IFERROR(IF(SUMIFS(Data!$K:$K,Data!$A:$A,Vitezistii!$B100,Data!$C:$C,Vitezistii!M$1)=0," ",SUMIFS(Data!$K:$K,Data!$A:$A,Vitezistii!$B100,Data!$C:$C,Vitezistii!M$1))+SUMIFS(Data!$S:$S,Data!$A:$A,Vitezistii!$B100,Data!$C:$C,Vitezistii!M$1),0)</f>
        <v>0</v>
      </c>
      <c r="N100" s="31">
        <f>IFERROR(IF(SUMIFS(Data!$K:$K,Data!$A:$A,Vitezistii!$B100,Data!$C:$C,Vitezistii!N$1)=0," ",SUMIFS(Data!$K:$K,Data!$A:$A,Vitezistii!$B100,Data!$C:$C,Vitezistii!N$1))+SUMIFS(Data!$S:$S,Data!$A:$A,Vitezistii!$B100,Data!$C:$C,Vitezistii!N$1),0)</f>
        <v>0</v>
      </c>
      <c r="O100" s="31">
        <f>IFERROR(IF(SUMIFS(Data!$K:$K,Data!$A:$A,Vitezistii!$B100,Data!$C:$C,Vitezistii!O$1)=0," ",SUMIFS(Data!$K:$K,Data!$A:$A,Vitezistii!$B100,Data!$C:$C,Vitezistii!O$1))+SUMIFS(Data!$S:$S,Data!$A:$A,Vitezistii!$B100,Data!$C:$C,Vitezistii!O$1),0)</f>
        <v>0</v>
      </c>
      <c r="P100" s="31">
        <f>IFERROR(IF(SUMIFS(Data!$K:$K,Data!$A:$A,Vitezistii!$B100,Data!$C:$C,Vitezistii!P$1)=0," ",SUMIFS(Data!$K:$K,Data!$A:$A,Vitezistii!$B100,Data!$C:$C,Vitezistii!P$1))+SUMIFS(Data!$S:$S,Data!$A:$A,Vitezistii!$B100,Data!$C:$C,Vitezistii!P$1),0)</f>
        <v>0</v>
      </c>
      <c r="Q100" s="31">
        <f>IFERROR(IF(SUMIFS(Data!$K:$K,Data!$A:$A,Vitezistii!$B100,Data!$C:$C,Vitezistii!Q$1)=0," ",SUMIFS(Data!$K:$K,Data!$A:$A,Vitezistii!$B100,Data!$C:$C,Vitezistii!Q$1))+SUMIFS(Data!$S:$S,Data!$A:$A,Vitezistii!$B100,Data!$C:$C,Vitezistii!Q$1),0)</f>
        <v>0</v>
      </c>
      <c r="R100" s="31">
        <f>SUM(C100:Q100)</f>
        <v>3</v>
      </c>
      <c r="S100" s="31">
        <f>SUMIFS(Data!D:D,Data!A:A,Vitezistii!B160)</f>
        <v>0</v>
      </c>
      <c r="T100" s="12">
        <f>SUMIFS(Data!I:I,Data!A:A,Vitezistii!B100)/COUNTIF(Data!A:A,Vitezistii!B100)</f>
        <v>5.3283399956491001E-3</v>
      </c>
    </row>
    <row r="101" spans="1:20" ht="13" x14ac:dyDescent="0.3">
      <c r="A101" s="79">
        <v>100</v>
      </c>
      <c r="B101" s="30" t="s">
        <v>337</v>
      </c>
      <c r="C101" s="31">
        <f>IFERROR(IF(SUMIFS(Data!$K:$K,Data!$A:$A,Vitezistii!$B101,Data!$C:$C,Vitezistii!C$1)=0," ",SUMIFS(Data!$K:$K,Data!$A:$A,Vitezistii!$B101,Data!$C:$C,Vitezistii!C$1))+SUMIFS(Data!$S:$S,Data!$A:$A,Vitezistii!$B101,Data!$C:$C,Vitezistii!C$1),0)</f>
        <v>1.75</v>
      </c>
      <c r="D101" s="31">
        <f>IFERROR(IF(SUMIFS(Data!$K:$K,Data!$A:$A,Vitezistii!$B101,Data!$C:$C,Vitezistii!D$1)=0," ",SUMIFS(Data!$K:$K,Data!$A:$A,Vitezistii!$B101,Data!$C:$C,Vitezistii!D$1))+SUMIFS(Data!$S:$S,Data!$A:$A,Vitezistii!$B101,Data!$C:$C,Vitezistii!D$1),0)</f>
        <v>1.25</v>
      </c>
      <c r="E101" s="31">
        <f>IFERROR(IF(SUMIFS(Data!$K:$K,Data!$A:$A,Vitezistii!$B101,Data!$C:$C,Vitezistii!E$1)=0," ",SUMIFS(Data!$K:$K,Data!$A:$A,Vitezistii!$B101,Data!$C:$C,Vitezistii!E$1))+SUMIFS(Data!$S:$S,Data!$A:$A,Vitezistii!$B101,Data!$C:$C,Vitezistii!E$1),0)</f>
        <v>0</v>
      </c>
      <c r="F101" s="31">
        <f>IFERROR(IF(SUMIFS(Data!$K:$K,Data!$A:$A,Vitezistii!$B101,Data!$C:$C,Vitezistii!F$1)=0," ",SUMIFS(Data!$K:$K,Data!$A:$A,Vitezistii!$B101,Data!$C:$C,Vitezistii!F$1))+SUMIFS(Data!$S:$S,Data!$A:$A,Vitezistii!$B101,Data!$C:$C,Vitezistii!F$1),0)</f>
        <v>0</v>
      </c>
      <c r="G101" s="31">
        <f>IFERROR(IF(SUMIFS(Data!$K:$K,Data!$A:$A,Vitezistii!$B101,Data!$C:$C,Vitezistii!G$1)=0," ",SUMIFS(Data!$K:$K,Data!$A:$A,Vitezistii!$B101,Data!$C:$C,Vitezistii!G$1))+SUMIFS(Data!$S:$S,Data!$A:$A,Vitezistii!$B101,Data!$C:$C,Vitezistii!G$1),0)</f>
        <v>0</v>
      </c>
      <c r="H101" s="31">
        <f>IFERROR(IF(SUMIFS(Data!$K:$K,Data!$A:$A,Vitezistii!$B101,Data!$C:$C,Vitezistii!H$1)=0," ",SUMIFS(Data!$K:$K,Data!$A:$A,Vitezistii!$B101,Data!$C:$C,Vitezistii!H$1))+SUMIFS(Data!$S:$S,Data!$A:$A,Vitezistii!$B101,Data!$C:$C,Vitezistii!H$1),0)</f>
        <v>0</v>
      </c>
      <c r="I101" s="31">
        <f>IFERROR(IF(SUMIFS(Data!$K:$K,Data!$A:$A,Vitezistii!$B101,Data!$C:$C,Vitezistii!I$1)=0," ",SUMIFS(Data!$K:$K,Data!$A:$A,Vitezistii!$B101,Data!$C:$C,Vitezistii!I$1))+SUMIFS(Data!$S:$S,Data!$A:$A,Vitezistii!$B101,Data!$C:$C,Vitezistii!I$1),0)</f>
        <v>0</v>
      </c>
      <c r="J101" s="31">
        <f>IFERROR(IF(SUMIFS(Data!$K:$K,Data!$A:$A,Vitezistii!$B101,Data!$C:$C,Vitezistii!J$1)=0," ",SUMIFS(Data!$K:$K,Data!$A:$A,Vitezistii!$B101,Data!$C:$C,Vitezistii!J$1))+SUMIFS(Data!$S:$S,Data!$A:$A,Vitezistii!$B101,Data!$C:$C,Vitezistii!J$1),0)</f>
        <v>0</v>
      </c>
      <c r="K101" s="31">
        <f>IFERROR(IF(SUMIFS(Data!$K:$K,Data!$A:$A,Vitezistii!$B101,Data!$C:$C,Vitezistii!K$1)=0," ",SUMIFS(Data!$K:$K,Data!$A:$A,Vitezistii!$B101,Data!$C:$C,Vitezistii!K$1))+SUMIFS(Data!$S:$S,Data!$A:$A,Vitezistii!$B101,Data!$C:$C,Vitezistii!K$1),0)</f>
        <v>0</v>
      </c>
      <c r="L101" s="31">
        <f>IFERROR(IF(SUMIFS(Data!$K:$K,Data!$A:$A,Vitezistii!$B101,Data!$C:$C,Vitezistii!L$1)=0," ",SUMIFS(Data!$K:$K,Data!$A:$A,Vitezistii!$B101,Data!$C:$C,Vitezistii!L$1))+SUMIFS(Data!$S:$S,Data!$A:$A,Vitezistii!$B101,Data!$C:$C,Vitezistii!L$1),0)</f>
        <v>0</v>
      </c>
      <c r="M101" s="31">
        <f>IFERROR(IF(SUMIFS(Data!$K:$K,Data!$A:$A,Vitezistii!$B101,Data!$C:$C,Vitezistii!M$1)=0," ",SUMIFS(Data!$K:$K,Data!$A:$A,Vitezistii!$B101,Data!$C:$C,Vitezistii!M$1))+SUMIFS(Data!$S:$S,Data!$A:$A,Vitezistii!$B101,Data!$C:$C,Vitezistii!M$1),0)</f>
        <v>0</v>
      </c>
      <c r="N101" s="31">
        <f>IFERROR(IF(SUMIFS(Data!$K:$K,Data!$A:$A,Vitezistii!$B101,Data!$C:$C,Vitezistii!N$1)=0," ",SUMIFS(Data!$K:$K,Data!$A:$A,Vitezistii!$B101,Data!$C:$C,Vitezistii!N$1))+SUMIFS(Data!$S:$S,Data!$A:$A,Vitezistii!$B101,Data!$C:$C,Vitezistii!N$1),0)</f>
        <v>0</v>
      </c>
      <c r="O101" s="31">
        <f>IFERROR(IF(SUMIFS(Data!$K:$K,Data!$A:$A,Vitezistii!$B101,Data!$C:$C,Vitezistii!O$1)=0," ",SUMIFS(Data!$K:$K,Data!$A:$A,Vitezistii!$B101,Data!$C:$C,Vitezistii!O$1))+SUMIFS(Data!$S:$S,Data!$A:$A,Vitezistii!$B101,Data!$C:$C,Vitezistii!O$1),0)</f>
        <v>0</v>
      </c>
      <c r="P101" s="31">
        <f>IFERROR(IF(SUMIFS(Data!$K:$K,Data!$A:$A,Vitezistii!$B101,Data!$C:$C,Vitezistii!P$1)=0," ",SUMIFS(Data!$K:$K,Data!$A:$A,Vitezistii!$B101,Data!$C:$C,Vitezistii!P$1))+SUMIFS(Data!$S:$S,Data!$A:$A,Vitezistii!$B101,Data!$C:$C,Vitezistii!P$1),0)</f>
        <v>0</v>
      </c>
      <c r="Q101" s="31">
        <f>IFERROR(IF(SUMIFS(Data!$K:$K,Data!$A:$A,Vitezistii!$B101,Data!$C:$C,Vitezistii!Q$1)=0," ",SUMIFS(Data!$K:$K,Data!$A:$A,Vitezistii!$B101,Data!$C:$C,Vitezistii!Q$1))+SUMIFS(Data!$S:$S,Data!$A:$A,Vitezistii!$B101,Data!$C:$C,Vitezistii!Q$1),0)</f>
        <v>0</v>
      </c>
      <c r="R101" s="31">
        <f>SUM(C101:Q101)</f>
        <v>3</v>
      </c>
      <c r="S101" s="31">
        <f>SUMIFS(Data!D:D,Data!A:A,Vitezistii!B161)</f>
        <v>0</v>
      </c>
      <c r="T101" s="12">
        <f>SUMIFS(Data!I:I,Data!A:A,Vitezistii!B101)/COUNTIF(Data!A:A,Vitezistii!B101)</f>
        <v>4.0979232242753811E-3</v>
      </c>
    </row>
    <row r="102" spans="1:20" ht="13" x14ac:dyDescent="0.3">
      <c r="A102" s="79">
        <v>101</v>
      </c>
      <c r="B102" s="30" t="s">
        <v>292</v>
      </c>
      <c r="C102" s="31">
        <f>IFERROR(IF(SUMIFS(Data!$K:$K,Data!$A:$A,Vitezistii!$B102,Data!$C:$C,Vitezistii!C$1)=0," ",SUMIFS(Data!$K:$K,Data!$A:$A,Vitezistii!$B102,Data!$C:$C,Vitezistii!C$1))+SUMIFS(Data!$S:$S,Data!$A:$A,Vitezistii!$B102,Data!$C:$C,Vitezistii!C$1),0)</f>
        <v>0.25</v>
      </c>
      <c r="D102" s="31">
        <f>IFERROR(IF(SUMIFS(Data!$K:$K,Data!$A:$A,Vitezistii!$B102,Data!$C:$C,Vitezistii!D$1)=0," ",SUMIFS(Data!$K:$K,Data!$A:$A,Vitezistii!$B102,Data!$C:$C,Vitezistii!D$1))+SUMIFS(Data!$S:$S,Data!$A:$A,Vitezistii!$B102,Data!$C:$C,Vitezistii!D$1),0)</f>
        <v>0.25</v>
      </c>
      <c r="E102" s="31">
        <f>IFERROR(IF(SUMIFS(Data!$K:$K,Data!$A:$A,Vitezistii!$B102,Data!$C:$C,Vitezistii!E$1)=0," ",SUMIFS(Data!$K:$K,Data!$A:$A,Vitezistii!$B102,Data!$C:$C,Vitezistii!E$1))+SUMIFS(Data!$S:$S,Data!$A:$A,Vitezistii!$B102,Data!$C:$C,Vitezistii!E$1),0)</f>
        <v>0</v>
      </c>
      <c r="F102" s="31">
        <f>IFERROR(IF(SUMIFS(Data!$K:$K,Data!$A:$A,Vitezistii!$B102,Data!$C:$C,Vitezistii!F$1)=0," ",SUMIFS(Data!$K:$K,Data!$A:$A,Vitezistii!$B102,Data!$C:$C,Vitezistii!F$1))+SUMIFS(Data!$S:$S,Data!$A:$A,Vitezistii!$B102,Data!$C:$C,Vitezistii!F$1),0)</f>
        <v>0</v>
      </c>
      <c r="G102" s="31">
        <f>IFERROR(IF(SUMIFS(Data!$K:$K,Data!$A:$A,Vitezistii!$B102,Data!$C:$C,Vitezistii!G$1)=0," ",SUMIFS(Data!$K:$K,Data!$A:$A,Vitezistii!$B102,Data!$C:$C,Vitezistii!G$1))+SUMIFS(Data!$S:$S,Data!$A:$A,Vitezistii!$B102,Data!$C:$C,Vitezistii!G$1),0)</f>
        <v>0.25</v>
      </c>
      <c r="H102" s="31">
        <f>IFERROR(IF(SUMIFS(Data!$K:$K,Data!$A:$A,Vitezistii!$B102,Data!$C:$C,Vitezistii!H$1)=0," ",SUMIFS(Data!$K:$K,Data!$A:$A,Vitezistii!$B102,Data!$C:$C,Vitezistii!H$1))+SUMIFS(Data!$S:$S,Data!$A:$A,Vitezistii!$B102,Data!$C:$C,Vitezistii!H$1),0)</f>
        <v>0.25</v>
      </c>
      <c r="I102" s="31">
        <f>IFERROR(IF(SUMIFS(Data!$K:$K,Data!$A:$A,Vitezistii!$B102,Data!$C:$C,Vitezistii!I$1)=0," ",SUMIFS(Data!$K:$K,Data!$A:$A,Vitezistii!$B102,Data!$C:$C,Vitezistii!I$1))+SUMIFS(Data!$S:$S,Data!$A:$A,Vitezistii!$B102,Data!$C:$C,Vitezistii!I$1),0)</f>
        <v>0.25</v>
      </c>
      <c r="J102" s="31">
        <f>IFERROR(IF(SUMIFS(Data!$K:$K,Data!$A:$A,Vitezistii!$B102,Data!$C:$C,Vitezistii!J$1)=0," ",SUMIFS(Data!$K:$K,Data!$A:$A,Vitezistii!$B102,Data!$C:$C,Vitezistii!J$1))+SUMIFS(Data!$S:$S,Data!$A:$A,Vitezistii!$B102,Data!$C:$C,Vitezistii!J$1),0)</f>
        <v>0.25</v>
      </c>
      <c r="K102" s="31">
        <f>IFERROR(IF(SUMIFS(Data!$K:$K,Data!$A:$A,Vitezistii!$B102,Data!$C:$C,Vitezistii!K$1)=0," ",SUMIFS(Data!$K:$K,Data!$A:$A,Vitezistii!$B102,Data!$C:$C,Vitezistii!K$1))+SUMIFS(Data!$S:$S,Data!$A:$A,Vitezistii!$B102,Data!$C:$C,Vitezistii!K$1),0)</f>
        <v>0.25</v>
      </c>
      <c r="L102" s="31">
        <f>IFERROR(IF(SUMIFS(Data!$K:$K,Data!$A:$A,Vitezistii!$B102,Data!$C:$C,Vitezistii!L$1)=0," ",SUMIFS(Data!$K:$K,Data!$A:$A,Vitezistii!$B102,Data!$C:$C,Vitezistii!L$1))+SUMIFS(Data!$S:$S,Data!$A:$A,Vitezistii!$B102,Data!$C:$C,Vitezistii!L$1),0)</f>
        <v>0.25</v>
      </c>
      <c r="M102" s="31">
        <f>IFERROR(IF(SUMIFS(Data!$K:$K,Data!$A:$A,Vitezistii!$B102,Data!$C:$C,Vitezistii!M$1)=0," ",SUMIFS(Data!$K:$K,Data!$A:$A,Vitezistii!$B102,Data!$C:$C,Vitezistii!M$1))+SUMIFS(Data!$S:$S,Data!$A:$A,Vitezistii!$B102,Data!$C:$C,Vitezistii!M$1),0)</f>
        <v>0.25</v>
      </c>
      <c r="N102" s="31">
        <f>IFERROR(IF(SUMIFS(Data!$K:$K,Data!$A:$A,Vitezistii!$B102,Data!$C:$C,Vitezistii!N$1)=0," ",SUMIFS(Data!$K:$K,Data!$A:$A,Vitezistii!$B102,Data!$C:$C,Vitezistii!N$1))+SUMIFS(Data!$S:$S,Data!$A:$A,Vitezistii!$B102,Data!$C:$C,Vitezistii!N$1),0)</f>
        <v>0.25</v>
      </c>
      <c r="O102" s="31">
        <f>IFERROR(IF(SUMIFS(Data!$K:$K,Data!$A:$A,Vitezistii!$B102,Data!$C:$C,Vitezistii!O$1)=0," ",SUMIFS(Data!$K:$K,Data!$A:$A,Vitezistii!$B102,Data!$C:$C,Vitezistii!O$1))+SUMIFS(Data!$S:$S,Data!$A:$A,Vitezistii!$B102,Data!$C:$C,Vitezistii!O$1),0)</f>
        <v>0.25</v>
      </c>
      <c r="P102" s="31">
        <f>IFERROR(IF(SUMIFS(Data!$K:$K,Data!$A:$A,Vitezistii!$B102,Data!$C:$C,Vitezistii!P$1)=0," ",SUMIFS(Data!$K:$K,Data!$A:$A,Vitezistii!$B102,Data!$C:$C,Vitezistii!P$1))+SUMIFS(Data!$S:$S,Data!$A:$A,Vitezistii!$B102,Data!$C:$C,Vitezistii!P$1),0)</f>
        <v>0</v>
      </c>
      <c r="Q102" s="31">
        <f>IFERROR(IF(SUMIFS(Data!$K:$K,Data!$A:$A,Vitezistii!$B102,Data!$C:$C,Vitezistii!Q$1)=0," ",SUMIFS(Data!$K:$K,Data!$A:$A,Vitezistii!$B102,Data!$C:$C,Vitezistii!Q$1))+SUMIFS(Data!$S:$S,Data!$A:$A,Vitezistii!$B102,Data!$C:$C,Vitezistii!Q$1),0)</f>
        <v>0</v>
      </c>
      <c r="R102" s="31">
        <f>SUM(C102:Q102)</f>
        <v>2.75</v>
      </c>
      <c r="S102" s="31">
        <f>SUMIFS(Data!D:D,Data!A:A,Vitezistii!B162)</f>
        <v>0</v>
      </c>
      <c r="T102" s="12">
        <f>SUMIFS(Data!I:I,Data!A:A,Vitezistii!B102)/COUNTIF(Data!A:A,Vitezistii!B102)</f>
        <v>5.9664038470348636E-3</v>
      </c>
    </row>
    <row r="103" spans="1:20" ht="13" x14ac:dyDescent="0.3">
      <c r="A103" s="79">
        <v>102</v>
      </c>
      <c r="B103" s="30" t="s">
        <v>367</v>
      </c>
      <c r="C103" s="31">
        <f>IFERROR(IF(SUMIFS(Data!$K:$K,Data!$A:$A,Vitezistii!$B103,Data!$C:$C,Vitezistii!C$1)=0," ",SUMIFS(Data!$K:$K,Data!$A:$A,Vitezistii!$B103,Data!$C:$C,Vitezistii!C$1))+SUMIFS(Data!$S:$S,Data!$A:$A,Vitezistii!$B103,Data!$C:$C,Vitezistii!C$1),0)</f>
        <v>2.5</v>
      </c>
      <c r="D103" s="31">
        <f>IFERROR(IF(SUMIFS(Data!$K:$K,Data!$A:$A,Vitezistii!$B103,Data!$C:$C,Vitezistii!D$1)=0," ",SUMIFS(Data!$K:$K,Data!$A:$A,Vitezistii!$B103,Data!$C:$C,Vitezistii!D$1))+SUMIFS(Data!$S:$S,Data!$A:$A,Vitezistii!$B103,Data!$C:$C,Vitezistii!D$1),0)</f>
        <v>0</v>
      </c>
      <c r="E103" s="31">
        <f>IFERROR(IF(SUMIFS(Data!$K:$K,Data!$A:$A,Vitezistii!$B103,Data!$C:$C,Vitezistii!E$1)=0," ",SUMIFS(Data!$K:$K,Data!$A:$A,Vitezistii!$B103,Data!$C:$C,Vitezistii!E$1))+SUMIFS(Data!$S:$S,Data!$A:$A,Vitezistii!$B103,Data!$C:$C,Vitezistii!E$1),0)</f>
        <v>0</v>
      </c>
      <c r="F103" s="31">
        <f>IFERROR(IF(SUMIFS(Data!$K:$K,Data!$A:$A,Vitezistii!$B103,Data!$C:$C,Vitezistii!F$1)=0," ",SUMIFS(Data!$K:$K,Data!$A:$A,Vitezistii!$B103,Data!$C:$C,Vitezistii!F$1))+SUMIFS(Data!$S:$S,Data!$A:$A,Vitezistii!$B103,Data!$C:$C,Vitezistii!F$1),0)</f>
        <v>0</v>
      </c>
      <c r="G103" s="31">
        <f>IFERROR(IF(SUMIFS(Data!$K:$K,Data!$A:$A,Vitezistii!$B103,Data!$C:$C,Vitezistii!G$1)=0," ",SUMIFS(Data!$K:$K,Data!$A:$A,Vitezistii!$B103,Data!$C:$C,Vitezistii!G$1))+SUMIFS(Data!$S:$S,Data!$A:$A,Vitezistii!$B103,Data!$C:$C,Vitezistii!G$1),0)</f>
        <v>0</v>
      </c>
      <c r="H103" s="31">
        <f>IFERROR(IF(SUMIFS(Data!$K:$K,Data!$A:$A,Vitezistii!$B103,Data!$C:$C,Vitezistii!H$1)=0," ",SUMIFS(Data!$K:$K,Data!$A:$A,Vitezistii!$B103,Data!$C:$C,Vitezistii!H$1))+SUMIFS(Data!$S:$S,Data!$A:$A,Vitezistii!$B103,Data!$C:$C,Vitezistii!H$1),0)</f>
        <v>0</v>
      </c>
      <c r="I103" s="31">
        <f>IFERROR(IF(SUMIFS(Data!$K:$K,Data!$A:$A,Vitezistii!$B103,Data!$C:$C,Vitezistii!I$1)=0," ",SUMIFS(Data!$K:$K,Data!$A:$A,Vitezistii!$B103,Data!$C:$C,Vitezistii!I$1))+SUMIFS(Data!$S:$S,Data!$A:$A,Vitezistii!$B103,Data!$C:$C,Vitezistii!I$1),0)</f>
        <v>0</v>
      </c>
      <c r="J103" s="31">
        <f>IFERROR(IF(SUMIFS(Data!$K:$K,Data!$A:$A,Vitezistii!$B103,Data!$C:$C,Vitezistii!J$1)=0," ",SUMIFS(Data!$K:$K,Data!$A:$A,Vitezistii!$B103,Data!$C:$C,Vitezistii!J$1))+SUMIFS(Data!$S:$S,Data!$A:$A,Vitezistii!$B103,Data!$C:$C,Vitezistii!J$1),0)</f>
        <v>0</v>
      </c>
      <c r="K103" s="31">
        <f>IFERROR(IF(SUMIFS(Data!$K:$K,Data!$A:$A,Vitezistii!$B103,Data!$C:$C,Vitezistii!K$1)=0," ",SUMIFS(Data!$K:$K,Data!$A:$A,Vitezistii!$B103,Data!$C:$C,Vitezistii!K$1))+SUMIFS(Data!$S:$S,Data!$A:$A,Vitezistii!$B103,Data!$C:$C,Vitezistii!K$1),0)</f>
        <v>0</v>
      </c>
      <c r="L103" s="31">
        <f>IFERROR(IF(SUMIFS(Data!$K:$K,Data!$A:$A,Vitezistii!$B103,Data!$C:$C,Vitezistii!L$1)=0," ",SUMIFS(Data!$K:$K,Data!$A:$A,Vitezistii!$B103,Data!$C:$C,Vitezistii!L$1))+SUMIFS(Data!$S:$S,Data!$A:$A,Vitezistii!$B103,Data!$C:$C,Vitezistii!L$1),0)</f>
        <v>0</v>
      </c>
      <c r="M103" s="31">
        <f>IFERROR(IF(SUMIFS(Data!$K:$K,Data!$A:$A,Vitezistii!$B103,Data!$C:$C,Vitezistii!M$1)=0," ",SUMIFS(Data!$K:$K,Data!$A:$A,Vitezistii!$B103,Data!$C:$C,Vitezistii!M$1))+SUMIFS(Data!$S:$S,Data!$A:$A,Vitezistii!$B103,Data!$C:$C,Vitezistii!M$1),0)</f>
        <v>0</v>
      </c>
      <c r="N103" s="31">
        <f>IFERROR(IF(SUMIFS(Data!$K:$K,Data!$A:$A,Vitezistii!$B103,Data!$C:$C,Vitezistii!N$1)=0," ",SUMIFS(Data!$K:$K,Data!$A:$A,Vitezistii!$B103,Data!$C:$C,Vitezistii!N$1))+SUMIFS(Data!$S:$S,Data!$A:$A,Vitezistii!$B103,Data!$C:$C,Vitezistii!N$1),0)</f>
        <v>0</v>
      </c>
      <c r="O103" s="31">
        <f>IFERROR(IF(SUMIFS(Data!$K:$K,Data!$A:$A,Vitezistii!$B103,Data!$C:$C,Vitezistii!O$1)=0," ",SUMIFS(Data!$K:$K,Data!$A:$A,Vitezistii!$B103,Data!$C:$C,Vitezistii!O$1))+SUMIFS(Data!$S:$S,Data!$A:$A,Vitezistii!$B103,Data!$C:$C,Vitezistii!O$1),0)</f>
        <v>0</v>
      </c>
      <c r="P103" s="31">
        <f>IFERROR(IF(SUMIFS(Data!$K:$K,Data!$A:$A,Vitezistii!$B103,Data!$C:$C,Vitezistii!P$1)=0," ",SUMIFS(Data!$K:$K,Data!$A:$A,Vitezistii!$B103,Data!$C:$C,Vitezistii!P$1))+SUMIFS(Data!$S:$S,Data!$A:$A,Vitezistii!$B103,Data!$C:$C,Vitezistii!P$1),0)</f>
        <v>0</v>
      </c>
      <c r="Q103" s="31">
        <f>IFERROR(IF(SUMIFS(Data!$K:$K,Data!$A:$A,Vitezistii!$B103,Data!$C:$C,Vitezistii!Q$1)=0," ",SUMIFS(Data!$K:$K,Data!$A:$A,Vitezistii!$B103,Data!$C:$C,Vitezistii!Q$1))+SUMIFS(Data!$S:$S,Data!$A:$A,Vitezistii!$B103,Data!$C:$C,Vitezistii!Q$1),0)</f>
        <v>0</v>
      </c>
      <c r="R103" s="31">
        <f>SUM(C103:Q103)</f>
        <v>2.5</v>
      </c>
      <c r="S103" s="31">
        <f>SUMIFS(Data!D:D,Data!A:A,Vitezistii!B163)</f>
        <v>0</v>
      </c>
      <c r="T103" s="12">
        <f>SUMIFS(Data!I:I,Data!A:A,Vitezistii!B103)/COUNTIF(Data!A:A,Vitezistii!B103)</f>
        <v>3.9930555555555561E-3</v>
      </c>
    </row>
    <row r="104" spans="1:20" ht="13" x14ac:dyDescent="0.3">
      <c r="A104" s="79">
        <v>103</v>
      </c>
      <c r="B104" s="30" t="s">
        <v>58</v>
      </c>
      <c r="C104" s="31">
        <f>IFERROR(IF(SUMIFS(Data!$K:$K,Data!$A:$A,Vitezistii!$B104,Data!$C:$C,Vitezistii!C$1)=0," ",SUMIFS(Data!$K:$K,Data!$A:$A,Vitezistii!$B104,Data!$C:$C,Vitezistii!C$1))+SUMIFS(Data!$S:$S,Data!$A:$A,Vitezistii!$B104,Data!$C:$C,Vitezistii!C$1),0)</f>
        <v>0</v>
      </c>
      <c r="D104" s="31">
        <f>IFERROR(IF(SUMIFS(Data!$K:$K,Data!$A:$A,Vitezistii!$B104,Data!$C:$C,Vitezistii!D$1)=0," ",SUMIFS(Data!$K:$K,Data!$A:$A,Vitezistii!$B104,Data!$C:$C,Vitezistii!D$1))+SUMIFS(Data!$S:$S,Data!$A:$A,Vitezistii!$B104,Data!$C:$C,Vitezistii!D$1),0)</f>
        <v>0.75</v>
      </c>
      <c r="E104" s="31">
        <f>IFERROR(IF(SUMIFS(Data!$K:$K,Data!$A:$A,Vitezistii!$B104,Data!$C:$C,Vitezistii!E$1)=0," ",SUMIFS(Data!$K:$K,Data!$A:$A,Vitezistii!$B104,Data!$C:$C,Vitezistii!E$1))+SUMIFS(Data!$S:$S,Data!$A:$A,Vitezistii!$B104,Data!$C:$C,Vitezistii!E$1),0)</f>
        <v>0</v>
      </c>
      <c r="F104" s="31">
        <f>IFERROR(IF(SUMIFS(Data!$K:$K,Data!$A:$A,Vitezistii!$B104,Data!$C:$C,Vitezistii!F$1)=0," ",SUMIFS(Data!$K:$K,Data!$A:$A,Vitezistii!$B104,Data!$C:$C,Vitezistii!F$1))+SUMIFS(Data!$S:$S,Data!$A:$A,Vitezistii!$B104,Data!$C:$C,Vitezistii!F$1),0)</f>
        <v>0</v>
      </c>
      <c r="G104" s="31">
        <f>IFERROR(IF(SUMIFS(Data!$K:$K,Data!$A:$A,Vitezistii!$B104,Data!$C:$C,Vitezistii!G$1)=0," ",SUMIFS(Data!$K:$K,Data!$A:$A,Vitezistii!$B104,Data!$C:$C,Vitezistii!G$1))+SUMIFS(Data!$S:$S,Data!$A:$A,Vitezistii!$B104,Data!$C:$C,Vitezistii!G$1),0)</f>
        <v>0</v>
      </c>
      <c r="H104" s="31">
        <f>IFERROR(IF(SUMIFS(Data!$K:$K,Data!$A:$A,Vitezistii!$B104,Data!$C:$C,Vitezistii!H$1)=0," ",SUMIFS(Data!$K:$K,Data!$A:$A,Vitezistii!$B104,Data!$C:$C,Vitezistii!H$1))+SUMIFS(Data!$S:$S,Data!$A:$A,Vitezistii!$B104,Data!$C:$C,Vitezistii!H$1),0)</f>
        <v>0</v>
      </c>
      <c r="I104" s="31">
        <f>IFERROR(IF(SUMIFS(Data!$K:$K,Data!$A:$A,Vitezistii!$B104,Data!$C:$C,Vitezistii!I$1)=0," ",SUMIFS(Data!$K:$K,Data!$A:$A,Vitezistii!$B104,Data!$C:$C,Vitezistii!I$1))+SUMIFS(Data!$S:$S,Data!$A:$A,Vitezistii!$B104,Data!$C:$C,Vitezistii!I$1),0)</f>
        <v>0</v>
      </c>
      <c r="J104" s="31">
        <f>IFERROR(IF(SUMIFS(Data!$K:$K,Data!$A:$A,Vitezistii!$B104,Data!$C:$C,Vitezistii!J$1)=0," ",SUMIFS(Data!$K:$K,Data!$A:$A,Vitezistii!$B104,Data!$C:$C,Vitezistii!J$1))+SUMIFS(Data!$S:$S,Data!$A:$A,Vitezistii!$B104,Data!$C:$C,Vitezistii!J$1),0)</f>
        <v>0</v>
      </c>
      <c r="K104" s="31">
        <f>IFERROR(IF(SUMIFS(Data!$K:$K,Data!$A:$A,Vitezistii!$B104,Data!$C:$C,Vitezistii!K$1)=0," ",SUMIFS(Data!$K:$K,Data!$A:$A,Vitezistii!$B104,Data!$C:$C,Vitezistii!K$1))+SUMIFS(Data!$S:$S,Data!$A:$A,Vitezistii!$B104,Data!$C:$C,Vitezistii!K$1),0)</f>
        <v>0.25</v>
      </c>
      <c r="L104" s="31">
        <f>IFERROR(IF(SUMIFS(Data!$K:$K,Data!$A:$A,Vitezistii!$B104,Data!$C:$C,Vitezistii!L$1)=0," ",SUMIFS(Data!$K:$K,Data!$A:$A,Vitezistii!$B104,Data!$C:$C,Vitezistii!L$1))+SUMIFS(Data!$S:$S,Data!$A:$A,Vitezistii!$B104,Data!$C:$C,Vitezistii!L$1),0)</f>
        <v>0</v>
      </c>
      <c r="M104" s="31">
        <f>IFERROR(IF(SUMIFS(Data!$K:$K,Data!$A:$A,Vitezistii!$B104,Data!$C:$C,Vitezistii!M$1)=0," ",SUMIFS(Data!$K:$K,Data!$A:$A,Vitezistii!$B104,Data!$C:$C,Vitezistii!M$1))+SUMIFS(Data!$S:$S,Data!$A:$A,Vitezistii!$B104,Data!$C:$C,Vitezistii!M$1),0)</f>
        <v>0.75</v>
      </c>
      <c r="N104" s="31">
        <f>IFERROR(IF(SUMIFS(Data!$K:$K,Data!$A:$A,Vitezistii!$B104,Data!$C:$C,Vitezistii!N$1)=0," ",SUMIFS(Data!$K:$K,Data!$A:$A,Vitezistii!$B104,Data!$C:$C,Vitezistii!N$1))+SUMIFS(Data!$S:$S,Data!$A:$A,Vitezistii!$B104,Data!$C:$C,Vitezistii!N$1),0)</f>
        <v>0</v>
      </c>
      <c r="O104" s="31">
        <f>IFERROR(IF(SUMIFS(Data!$K:$K,Data!$A:$A,Vitezistii!$B104,Data!$C:$C,Vitezistii!O$1)=0," ",SUMIFS(Data!$K:$K,Data!$A:$A,Vitezistii!$B104,Data!$C:$C,Vitezistii!O$1))+SUMIFS(Data!$S:$S,Data!$A:$A,Vitezistii!$B104,Data!$C:$C,Vitezistii!O$1),0)</f>
        <v>0</v>
      </c>
      <c r="P104" s="31">
        <f>IFERROR(IF(SUMIFS(Data!$K:$K,Data!$A:$A,Vitezistii!$B104,Data!$C:$C,Vitezistii!P$1)=0," ",SUMIFS(Data!$K:$K,Data!$A:$A,Vitezistii!$B104,Data!$C:$C,Vitezistii!P$1))+SUMIFS(Data!$S:$S,Data!$A:$A,Vitezistii!$B104,Data!$C:$C,Vitezistii!P$1),0)</f>
        <v>0.75</v>
      </c>
      <c r="Q104" s="31">
        <f>IFERROR(IF(SUMIFS(Data!$K:$K,Data!$A:$A,Vitezistii!$B104,Data!$C:$C,Vitezistii!Q$1)=0," ",SUMIFS(Data!$K:$K,Data!$A:$A,Vitezistii!$B104,Data!$C:$C,Vitezistii!Q$1))+SUMIFS(Data!$S:$S,Data!$A:$A,Vitezistii!$B104,Data!$C:$C,Vitezistii!Q$1),0)</f>
        <v>0</v>
      </c>
      <c r="R104" s="31">
        <f>SUM(C104:Q104)</f>
        <v>2.5</v>
      </c>
      <c r="S104" s="31">
        <f>SUMIFS(Data!D:D,Data!A:A,Vitezistii!B164)</f>
        <v>0</v>
      </c>
      <c r="T104" s="12">
        <f>SUMIFS(Data!I:I,Data!A:A,Vitezistii!B104)/COUNTIF(Data!A:A,Vitezistii!B104)</f>
        <v>5.4780399411246761E-3</v>
      </c>
    </row>
    <row r="105" spans="1:20" ht="13" x14ac:dyDescent="0.3">
      <c r="A105" s="79">
        <v>104</v>
      </c>
      <c r="B105" s="30" t="s">
        <v>64</v>
      </c>
      <c r="C105" s="31">
        <f>IFERROR(IF(SUMIFS(Data!$K:$K,Data!$A:$A,Vitezistii!$B105,Data!$C:$C,Vitezistii!C$1)=0," ",SUMIFS(Data!$K:$K,Data!$A:$A,Vitezistii!$B105,Data!$C:$C,Vitezistii!C$1))+SUMIFS(Data!$S:$S,Data!$A:$A,Vitezistii!$B105,Data!$C:$C,Vitezistii!C$1),0)</f>
        <v>0.25</v>
      </c>
      <c r="D105" s="31">
        <f>IFERROR(IF(SUMIFS(Data!$K:$K,Data!$A:$A,Vitezistii!$B105,Data!$C:$C,Vitezistii!D$1)=0," ",SUMIFS(Data!$K:$K,Data!$A:$A,Vitezistii!$B105,Data!$C:$C,Vitezistii!D$1))+SUMIFS(Data!$S:$S,Data!$A:$A,Vitezistii!$B105,Data!$C:$C,Vitezistii!D$1),0)</f>
        <v>0</v>
      </c>
      <c r="E105" s="31">
        <f>IFERROR(IF(SUMIFS(Data!$K:$K,Data!$A:$A,Vitezistii!$B105,Data!$C:$C,Vitezistii!E$1)=0," ",SUMIFS(Data!$K:$K,Data!$A:$A,Vitezistii!$B105,Data!$C:$C,Vitezistii!E$1))+SUMIFS(Data!$S:$S,Data!$A:$A,Vitezistii!$B105,Data!$C:$C,Vitezistii!E$1),0)</f>
        <v>0</v>
      </c>
      <c r="F105" s="31">
        <f>IFERROR(IF(SUMIFS(Data!$K:$K,Data!$A:$A,Vitezistii!$B105,Data!$C:$C,Vitezistii!F$1)=0," ",SUMIFS(Data!$K:$K,Data!$A:$A,Vitezistii!$B105,Data!$C:$C,Vitezistii!F$1))+SUMIFS(Data!$S:$S,Data!$A:$A,Vitezistii!$B105,Data!$C:$C,Vitezistii!F$1),0)</f>
        <v>0</v>
      </c>
      <c r="G105" s="31">
        <f>IFERROR(IF(SUMIFS(Data!$K:$K,Data!$A:$A,Vitezistii!$B105,Data!$C:$C,Vitezistii!G$1)=0," ",SUMIFS(Data!$K:$K,Data!$A:$A,Vitezistii!$B105,Data!$C:$C,Vitezistii!G$1))+SUMIFS(Data!$S:$S,Data!$A:$A,Vitezistii!$B105,Data!$C:$C,Vitezistii!G$1),0)</f>
        <v>0.25</v>
      </c>
      <c r="H105" s="31">
        <f>IFERROR(IF(SUMIFS(Data!$K:$K,Data!$A:$A,Vitezistii!$B105,Data!$C:$C,Vitezistii!H$1)=0," ",SUMIFS(Data!$K:$K,Data!$A:$A,Vitezistii!$B105,Data!$C:$C,Vitezistii!H$1))+SUMIFS(Data!$S:$S,Data!$A:$A,Vitezistii!$B105,Data!$C:$C,Vitezistii!H$1),0)</f>
        <v>0</v>
      </c>
      <c r="I105" s="31">
        <f>IFERROR(IF(SUMIFS(Data!$K:$K,Data!$A:$A,Vitezistii!$B105,Data!$C:$C,Vitezistii!I$1)=0," ",SUMIFS(Data!$K:$K,Data!$A:$A,Vitezistii!$B105,Data!$C:$C,Vitezistii!I$1))+SUMIFS(Data!$S:$S,Data!$A:$A,Vitezistii!$B105,Data!$C:$C,Vitezistii!I$1),0)</f>
        <v>0.25</v>
      </c>
      <c r="J105" s="31">
        <f>IFERROR(IF(SUMIFS(Data!$K:$K,Data!$A:$A,Vitezistii!$B105,Data!$C:$C,Vitezistii!J$1)=0," ",SUMIFS(Data!$K:$K,Data!$A:$A,Vitezistii!$B105,Data!$C:$C,Vitezistii!J$1))+SUMIFS(Data!$S:$S,Data!$A:$A,Vitezistii!$B105,Data!$C:$C,Vitezistii!J$1),0)</f>
        <v>0</v>
      </c>
      <c r="K105" s="31">
        <f>IFERROR(IF(SUMIFS(Data!$K:$K,Data!$A:$A,Vitezistii!$B105,Data!$C:$C,Vitezistii!K$1)=0," ",SUMIFS(Data!$K:$K,Data!$A:$A,Vitezistii!$B105,Data!$C:$C,Vitezistii!K$1))+SUMIFS(Data!$S:$S,Data!$A:$A,Vitezistii!$B105,Data!$C:$C,Vitezistii!K$1),0)</f>
        <v>0.25</v>
      </c>
      <c r="L105" s="31">
        <f>IFERROR(IF(SUMIFS(Data!$K:$K,Data!$A:$A,Vitezistii!$B105,Data!$C:$C,Vitezistii!L$1)=0," ",SUMIFS(Data!$K:$K,Data!$A:$A,Vitezistii!$B105,Data!$C:$C,Vitezistii!L$1))+SUMIFS(Data!$S:$S,Data!$A:$A,Vitezistii!$B105,Data!$C:$C,Vitezistii!L$1),0)</f>
        <v>0.25</v>
      </c>
      <c r="M105" s="31">
        <f>IFERROR(IF(SUMIFS(Data!$K:$K,Data!$A:$A,Vitezistii!$B105,Data!$C:$C,Vitezistii!M$1)=0," ",SUMIFS(Data!$K:$K,Data!$A:$A,Vitezistii!$B105,Data!$C:$C,Vitezistii!M$1))+SUMIFS(Data!$S:$S,Data!$A:$A,Vitezistii!$B105,Data!$C:$C,Vitezistii!M$1),0)</f>
        <v>0.25</v>
      </c>
      <c r="N105" s="31">
        <f>IFERROR(IF(SUMIFS(Data!$K:$K,Data!$A:$A,Vitezistii!$B105,Data!$C:$C,Vitezistii!N$1)=0," ",SUMIFS(Data!$K:$K,Data!$A:$A,Vitezistii!$B105,Data!$C:$C,Vitezistii!N$1))+SUMIFS(Data!$S:$S,Data!$A:$A,Vitezistii!$B105,Data!$C:$C,Vitezistii!N$1),0)</f>
        <v>0.25</v>
      </c>
      <c r="O105" s="31">
        <f>IFERROR(IF(SUMIFS(Data!$K:$K,Data!$A:$A,Vitezistii!$B105,Data!$C:$C,Vitezistii!O$1)=0," ",SUMIFS(Data!$K:$K,Data!$A:$A,Vitezistii!$B105,Data!$C:$C,Vitezistii!O$1))+SUMIFS(Data!$S:$S,Data!$A:$A,Vitezistii!$B105,Data!$C:$C,Vitezistii!O$1),0)</f>
        <v>0.25</v>
      </c>
      <c r="P105" s="31">
        <f>IFERROR(IF(SUMIFS(Data!$K:$K,Data!$A:$A,Vitezistii!$B105,Data!$C:$C,Vitezistii!P$1)=0," ",SUMIFS(Data!$K:$K,Data!$A:$A,Vitezistii!$B105,Data!$C:$C,Vitezistii!P$1))+SUMIFS(Data!$S:$S,Data!$A:$A,Vitezistii!$B105,Data!$C:$C,Vitezistii!P$1),0)</f>
        <v>0.25</v>
      </c>
      <c r="Q105" s="31">
        <f>IFERROR(IF(SUMIFS(Data!$K:$K,Data!$A:$A,Vitezistii!$B105,Data!$C:$C,Vitezistii!Q$1)=0," ",SUMIFS(Data!$K:$K,Data!$A:$A,Vitezistii!$B105,Data!$C:$C,Vitezistii!Q$1))+SUMIFS(Data!$S:$S,Data!$A:$A,Vitezistii!$B105,Data!$C:$C,Vitezistii!Q$1),0)</f>
        <v>0.25</v>
      </c>
      <c r="R105" s="31">
        <f>SUM(C105:Q105)</f>
        <v>2.5</v>
      </c>
      <c r="S105" s="31">
        <f>SUMIFS(Data!D:D,Data!A:A,Vitezistii!B165)</f>
        <v>0</v>
      </c>
      <c r="T105" s="12">
        <f>SUMIFS(Data!I:I,Data!A:A,Vitezistii!B105)/COUNTIF(Data!A:A,Vitezistii!B105)</f>
        <v>6.1102488355565593E-3</v>
      </c>
    </row>
    <row r="106" spans="1:20" ht="13" x14ac:dyDescent="0.3">
      <c r="A106" s="79">
        <v>105</v>
      </c>
      <c r="B106" s="30" t="s">
        <v>53</v>
      </c>
      <c r="C106" s="31">
        <f>IFERROR(IF(SUMIFS(Data!$K:$K,Data!$A:$A,Vitezistii!$B106,Data!$C:$C,Vitezistii!C$1)=0," ",SUMIFS(Data!$K:$K,Data!$A:$A,Vitezistii!$B106,Data!$C:$C,Vitezistii!C$1))+SUMIFS(Data!$S:$S,Data!$A:$A,Vitezistii!$B106,Data!$C:$C,Vitezistii!C$1),0)</f>
        <v>0.75</v>
      </c>
      <c r="D106" s="31">
        <f>IFERROR(IF(SUMIFS(Data!$K:$K,Data!$A:$A,Vitezistii!$B106,Data!$C:$C,Vitezistii!D$1)=0," ",SUMIFS(Data!$K:$K,Data!$A:$A,Vitezistii!$B106,Data!$C:$C,Vitezistii!D$1))+SUMIFS(Data!$S:$S,Data!$A:$A,Vitezistii!$B106,Data!$C:$C,Vitezistii!D$1),0)</f>
        <v>1.25</v>
      </c>
      <c r="E106" s="31">
        <f>IFERROR(IF(SUMIFS(Data!$K:$K,Data!$A:$A,Vitezistii!$B106,Data!$C:$C,Vitezistii!E$1)=0," ",SUMIFS(Data!$K:$K,Data!$A:$A,Vitezistii!$B106,Data!$C:$C,Vitezistii!E$1))+SUMIFS(Data!$S:$S,Data!$A:$A,Vitezistii!$B106,Data!$C:$C,Vitezistii!E$1),0)</f>
        <v>0</v>
      </c>
      <c r="F106" s="31">
        <f>IFERROR(IF(SUMIFS(Data!$K:$K,Data!$A:$A,Vitezistii!$B106,Data!$C:$C,Vitezistii!F$1)=0," ",SUMIFS(Data!$K:$K,Data!$A:$A,Vitezistii!$B106,Data!$C:$C,Vitezistii!F$1))+SUMIFS(Data!$S:$S,Data!$A:$A,Vitezistii!$B106,Data!$C:$C,Vitezistii!F$1),0)</f>
        <v>0</v>
      </c>
      <c r="G106" s="31">
        <f>IFERROR(IF(SUMIFS(Data!$K:$K,Data!$A:$A,Vitezistii!$B106,Data!$C:$C,Vitezistii!G$1)=0," ",SUMIFS(Data!$K:$K,Data!$A:$A,Vitezistii!$B106,Data!$C:$C,Vitezistii!G$1))+SUMIFS(Data!$S:$S,Data!$A:$A,Vitezistii!$B106,Data!$C:$C,Vitezistii!G$1),0)</f>
        <v>0</v>
      </c>
      <c r="H106" s="31">
        <f>IFERROR(IF(SUMIFS(Data!$K:$K,Data!$A:$A,Vitezistii!$B106,Data!$C:$C,Vitezistii!H$1)=0," ",SUMIFS(Data!$K:$K,Data!$A:$A,Vitezistii!$B106,Data!$C:$C,Vitezistii!H$1))+SUMIFS(Data!$S:$S,Data!$A:$A,Vitezistii!$B106,Data!$C:$C,Vitezistii!H$1),0)</f>
        <v>0</v>
      </c>
      <c r="I106" s="31">
        <f>IFERROR(IF(SUMIFS(Data!$K:$K,Data!$A:$A,Vitezistii!$B106,Data!$C:$C,Vitezistii!I$1)=0," ",SUMIFS(Data!$K:$K,Data!$A:$A,Vitezistii!$B106,Data!$C:$C,Vitezistii!I$1))+SUMIFS(Data!$S:$S,Data!$A:$A,Vitezistii!$B106,Data!$C:$C,Vitezistii!I$1),0)</f>
        <v>0</v>
      </c>
      <c r="J106" s="31">
        <f>IFERROR(IF(SUMIFS(Data!$K:$K,Data!$A:$A,Vitezistii!$B106,Data!$C:$C,Vitezistii!J$1)=0," ",SUMIFS(Data!$K:$K,Data!$A:$A,Vitezistii!$B106,Data!$C:$C,Vitezistii!J$1))+SUMIFS(Data!$S:$S,Data!$A:$A,Vitezistii!$B106,Data!$C:$C,Vitezistii!J$1),0)</f>
        <v>0</v>
      </c>
      <c r="K106" s="31">
        <f>IFERROR(IF(SUMIFS(Data!$K:$K,Data!$A:$A,Vitezistii!$B106,Data!$C:$C,Vitezistii!K$1)=0," ",SUMIFS(Data!$K:$K,Data!$A:$A,Vitezistii!$B106,Data!$C:$C,Vitezistii!K$1))+SUMIFS(Data!$S:$S,Data!$A:$A,Vitezistii!$B106,Data!$C:$C,Vitezistii!K$1),0)</f>
        <v>0</v>
      </c>
      <c r="L106" s="31">
        <f>IFERROR(IF(SUMIFS(Data!$K:$K,Data!$A:$A,Vitezistii!$B106,Data!$C:$C,Vitezistii!L$1)=0," ",SUMIFS(Data!$K:$K,Data!$A:$A,Vitezistii!$B106,Data!$C:$C,Vitezistii!L$1))+SUMIFS(Data!$S:$S,Data!$A:$A,Vitezistii!$B106,Data!$C:$C,Vitezistii!L$1),0)</f>
        <v>0</v>
      </c>
      <c r="M106" s="31">
        <f>IFERROR(IF(SUMIFS(Data!$K:$K,Data!$A:$A,Vitezistii!$B106,Data!$C:$C,Vitezistii!M$1)=0," ",SUMIFS(Data!$K:$K,Data!$A:$A,Vitezistii!$B106,Data!$C:$C,Vitezistii!M$1))+SUMIFS(Data!$S:$S,Data!$A:$A,Vitezistii!$B106,Data!$C:$C,Vitezistii!M$1),0)</f>
        <v>0</v>
      </c>
      <c r="N106" s="31">
        <f>IFERROR(IF(SUMIFS(Data!$K:$K,Data!$A:$A,Vitezistii!$B106,Data!$C:$C,Vitezistii!N$1)=0," ",SUMIFS(Data!$K:$K,Data!$A:$A,Vitezistii!$B106,Data!$C:$C,Vitezistii!N$1))+SUMIFS(Data!$S:$S,Data!$A:$A,Vitezistii!$B106,Data!$C:$C,Vitezistii!N$1),0)</f>
        <v>0</v>
      </c>
      <c r="O106" s="31">
        <f>IFERROR(IF(SUMIFS(Data!$K:$K,Data!$A:$A,Vitezistii!$B106,Data!$C:$C,Vitezistii!O$1)=0," ",SUMIFS(Data!$K:$K,Data!$A:$A,Vitezistii!$B106,Data!$C:$C,Vitezistii!O$1))+SUMIFS(Data!$S:$S,Data!$A:$A,Vitezistii!$B106,Data!$C:$C,Vitezistii!O$1),0)</f>
        <v>0</v>
      </c>
      <c r="P106" s="31">
        <f>IFERROR(IF(SUMIFS(Data!$K:$K,Data!$A:$A,Vitezistii!$B106,Data!$C:$C,Vitezistii!P$1)=0," ",SUMIFS(Data!$K:$K,Data!$A:$A,Vitezistii!$B106,Data!$C:$C,Vitezistii!P$1))+SUMIFS(Data!$S:$S,Data!$A:$A,Vitezistii!$B106,Data!$C:$C,Vitezistii!P$1),0)</f>
        <v>0</v>
      </c>
      <c r="Q106" s="31">
        <f>IFERROR(IF(SUMIFS(Data!$K:$K,Data!$A:$A,Vitezistii!$B106,Data!$C:$C,Vitezistii!Q$1)=0," ",SUMIFS(Data!$K:$K,Data!$A:$A,Vitezistii!$B106,Data!$C:$C,Vitezistii!Q$1))+SUMIFS(Data!$S:$S,Data!$A:$A,Vitezistii!$B106,Data!$C:$C,Vitezistii!Q$1),0)</f>
        <v>0</v>
      </c>
      <c r="R106" s="31">
        <f>SUM(C106:Q106)</f>
        <v>2</v>
      </c>
      <c r="S106" s="31">
        <f>SUMIFS(Data!D:D,Data!A:A,Vitezistii!B166)</f>
        <v>0</v>
      </c>
      <c r="T106" s="12">
        <f>SUMIFS(Data!I:I,Data!A:A,Vitezistii!B106)/COUNTIF(Data!A:A,Vitezistii!B106)</f>
        <v>4.4090951656423818E-3</v>
      </c>
    </row>
    <row r="107" spans="1:20" ht="13" x14ac:dyDescent="0.3">
      <c r="A107" s="79">
        <v>106</v>
      </c>
      <c r="B107" s="30" t="s">
        <v>342</v>
      </c>
      <c r="C107" s="31">
        <f>IFERROR(IF(SUMIFS(Data!$K:$K,Data!$A:$A,Vitezistii!$B107,Data!$C:$C,Vitezistii!C$1)=0," ",SUMIFS(Data!$K:$K,Data!$A:$A,Vitezistii!$B107,Data!$C:$C,Vitezistii!C$1))+SUMIFS(Data!$S:$S,Data!$A:$A,Vitezistii!$B107,Data!$C:$C,Vitezistii!C$1),0)</f>
        <v>2</v>
      </c>
      <c r="D107" s="31">
        <f>IFERROR(IF(SUMIFS(Data!$K:$K,Data!$A:$A,Vitezistii!$B107,Data!$C:$C,Vitezistii!D$1)=0," ",SUMIFS(Data!$K:$K,Data!$A:$A,Vitezistii!$B107,Data!$C:$C,Vitezistii!D$1))+SUMIFS(Data!$S:$S,Data!$A:$A,Vitezistii!$B107,Data!$C:$C,Vitezistii!D$1),0)</f>
        <v>0</v>
      </c>
      <c r="E107" s="31">
        <f>IFERROR(IF(SUMIFS(Data!$K:$K,Data!$A:$A,Vitezistii!$B107,Data!$C:$C,Vitezistii!E$1)=0," ",SUMIFS(Data!$K:$K,Data!$A:$A,Vitezistii!$B107,Data!$C:$C,Vitezistii!E$1))+SUMIFS(Data!$S:$S,Data!$A:$A,Vitezistii!$B107,Data!$C:$C,Vitezistii!E$1),0)</f>
        <v>0</v>
      </c>
      <c r="F107" s="31">
        <f>IFERROR(IF(SUMIFS(Data!$K:$K,Data!$A:$A,Vitezistii!$B107,Data!$C:$C,Vitezistii!F$1)=0," ",SUMIFS(Data!$K:$K,Data!$A:$A,Vitezistii!$B107,Data!$C:$C,Vitezistii!F$1))+SUMIFS(Data!$S:$S,Data!$A:$A,Vitezistii!$B107,Data!$C:$C,Vitezistii!F$1),0)</f>
        <v>0</v>
      </c>
      <c r="G107" s="31">
        <f>IFERROR(IF(SUMIFS(Data!$K:$K,Data!$A:$A,Vitezistii!$B107,Data!$C:$C,Vitezistii!G$1)=0," ",SUMIFS(Data!$K:$K,Data!$A:$A,Vitezistii!$B107,Data!$C:$C,Vitezistii!G$1))+SUMIFS(Data!$S:$S,Data!$A:$A,Vitezistii!$B107,Data!$C:$C,Vitezistii!G$1),0)</f>
        <v>0</v>
      </c>
      <c r="H107" s="31">
        <f>IFERROR(IF(SUMIFS(Data!$K:$K,Data!$A:$A,Vitezistii!$B107,Data!$C:$C,Vitezistii!H$1)=0," ",SUMIFS(Data!$K:$K,Data!$A:$A,Vitezistii!$B107,Data!$C:$C,Vitezistii!H$1))+SUMIFS(Data!$S:$S,Data!$A:$A,Vitezistii!$B107,Data!$C:$C,Vitezistii!H$1),0)</f>
        <v>0</v>
      </c>
      <c r="I107" s="31">
        <f>IFERROR(IF(SUMIFS(Data!$K:$K,Data!$A:$A,Vitezistii!$B107,Data!$C:$C,Vitezistii!I$1)=0," ",SUMIFS(Data!$K:$K,Data!$A:$A,Vitezistii!$B107,Data!$C:$C,Vitezistii!I$1))+SUMIFS(Data!$S:$S,Data!$A:$A,Vitezistii!$B107,Data!$C:$C,Vitezistii!I$1),0)</f>
        <v>0</v>
      </c>
      <c r="J107" s="31">
        <f>IFERROR(IF(SUMIFS(Data!$K:$K,Data!$A:$A,Vitezistii!$B107,Data!$C:$C,Vitezistii!J$1)=0," ",SUMIFS(Data!$K:$K,Data!$A:$A,Vitezistii!$B107,Data!$C:$C,Vitezistii!J$1))+SUMIFS(Data!$S:$S,Data!$A:$A,Vitezistii!$B107,Data!$C:$C,Vitezistii!J$1),0)</f>
        <v>0</v>
      </c>
      <c r="K107" s="31">
        <f>IFERROR(IF(SUMIFS(Data!$K:$K,Data!$A:$A,Vitezistii!$B107,Data!$C:$C,Vitezistii!K$1)=0," ",SUMIFS(Data!$K:$K,Data!$A:$A,Vitezistii!$B107,Data!$C:$C,Vitezistii!K$1))+SUMIFS(Data!$S:$S,Data!$A:$A,Vitezistii!$B107,Data!$C:$C,Vitezistii!K$1),0)</f>
        <v>0</v>
      </c>
      <c r="L107" s="31">
        <f>IFERROR(IF(SUMIFS(Data!$K:$K,Data!$A:$A,Vitezistii!$B107,Data!$C:$C,Vitezistii!L$1)=0," ",SUMIFS(Data!$K:$K,Data!$A:$A,Vitezistii!$B107,Data!$C:$C,Vitezistii!L$1))+SUMIFS(Data!$S:$S,Data!$A:$A,Vitezistii!$B107,Data!$C:$C,Vitezistii!L$1),0)</f>
        <v>0</v>
      </c>
      <c r="M107" s="31">
        <f>IFERROR(IF(SUMIFS(Data!$K:$K,Data!$A:$A,Vitezistii!$B107,Data!$C:$C,Vitezistii!M$1)=0," ",SUMIFS(Data!$K:$K,Data!$A:$A,Vitezistii!$B107,Data!$C:$C,Vitezistii!M$1))+SUMIFS(Data!$S:$S,Data!$A:$A,Vitezistii!$B107,Data!$C:$C,Vitezistii!M$1),0)</f>
        <v>0</v>
      </c>
      <c r="N107" s="31">
        <f>IFERROR(IF(SUMIFS(Data!$K:$K,Data!$A:$A,Vitezistii!$B107,Data!$C:$C,Vitezistii!N$1)=0," ",SUMIFS(Data!$K:$K,Data!$A:$A,Vitezistii!$B107,Data!$C:$C,Vitezistii!N$1))+SUMIFS(Data!$S:$S,Data!$A:$A,Vitezistii!$B107,Data!$C:$C,Vitezistii!N$1),0)</f>
        <v>0</v>
      </c>
      <c r="O107" s="31">
        <f>IFERROR(IF(SUMIFS(Data!$K:$K,Data!$A:$A,Vitezistii!$B107,Data!$C:$C,Vitezistii!O$1)=0," ",SUMIFS(Data!$K:$K,Data!$A:$A,Vitezistii!$B107,Data!$C:$C,Vitezistii!O$1))+SUMIFS(Data!$S:$S,Data!$A:$A,Vitezistii!$B107,Data!$C:$C,Vitezistii!O$1),0)</f>
        <v>0</v>
      </c>
      <c r="P107" s="31">
        <f>IFERROR(IF(SUMIFS(Data!$K:$K,Data!$A:$A,Vitezistii!$B107,Data!$C:$C,Vitezistii!P$1)=0," ",SUMIFS(Data!$K:$K,Data!$A:$A,Vitezistii!$B107,Data!$C:$C,Vitezistii!P$1))+SUMIFS(Data!$S:$S,Data!$A:$A,Vitezistii!$B107,Data!$C:$C,Vitezistii!P$1),0)</f>
        <v>0</v>
      </c>
      <c r="Q107" s="31">
        <f>IFERROR(IF(SUMIFS(Data!$K:$K,Data!$A:$A,Vitezistii!$B107,Data!$C:$C,Vitezistii!Q$1)=0," ",SUMIFS(Data!$K:$K,Data!$A:$A,Vitezistii!$B107,Data!$C:$C,Vitezistii!Q$1))+SUMIFS(Data!$S:$S,Data!$A:$A,Vitezistii!$B107,Data!$C:$C,Vitezistii!Q$1),0)</f>
        <v>0</v>
      </c>
      <c r="R107" s="31">
        <f>SUM(C107:Q107)</f>
        <v>2</v>
      </c>
      <c r="S107" s="31">
        <f>SUMIFS(Data!D:D,Data!A:A,Vitezistii!B167)</f>
        <v>0</v>
      </c>
      <c r="T107" s="12">
        <f>SUMIFS(Data!I:I,Data!A:A,Vitezistii!B107)/COUNTIF(Data!A:A,Vitezistii!B107)</f>
        <v>3.6720127865961199E-3</v>
      </c>
    </row>
    <row r="108" spans="1:20" ht="13" x14ac:dyDescent="0.3">
      <c r="A108" s="79">
        <v>107</v>
      </c>
      <c r="B108" s="30" t="s">
        <v>304</v>
      </c>
      <c r="C108" s="31">
        <f>IFERROR(IF(SUMIFS(Data!$K:$K,Data!$A:$A,Vitezistii!$B108,Data!$C:$C,Vitezistii!C$1)=0," ",SUMIFS(Data!$K:$K,Data!$A:$A,Vitezistii!$B108,Data!$C:$C,Vitezistii!C$1))+SUMIFS(Data!$S:$S,Data!$A:$A,Vitezistii!$B108,Data!$C:$C,Vitezistii!C$1),0)</f>
        <v>0</v>
      </c>
      <c r="D108" s="31">
        <f>IFERROR(IF(SUMIFS(Data!$K:$K,Data!$A:$A,Vitezistii!$B108,Data!$C:$C,Vitezistii!D$1)=0," ",SUMIFS(Data!$K:$K,Data!$A:$A,Vitezistii!$B108,Data!$C:$C,Vitezistii!D$1))+SUMIFS(Data!$S:$S,Data!$A:$A,Vitezistii!$B108,Data!$C:$C,Vitezistii!D$1),0)</f>
        <v>0</v>
      </c>
      <c r="E108" s="31">
        <f>IFERROR(IF(SUMIFS(Data!$K:$K,Data!$A:$A,Vitezistii!$B108,Data!$C:$C,Vitezistii!E$1)=0," ",SUMIFS(Data!$K:$K,Data!$A:$A,Vitezistii!$B108,Data!$C:$C,Vitezistii!E$1))+SUMIFS(Data!$S:$S,Data!$A:$A,Vitezistii!$B108,Data!$C:$C,Vitezistii!E$1),0)</f>
        <v>2</v>
      </c>
      <c r="F108" s="31">
        <f>IFERROR(IF(SUMIFS(Data!$K:$K,Data!$A:$A,Vitezistii!$B108,Data!$C:$C,Vitezistii!F$1)=0," ",SUMIFS(Data!$K:$K,Data!$A:$A,Vitezistii!$B108,Data!$C:$C,Vitezistii!F$1))+SUMIFS(Data!$S:$S,Data!$A:$A,Vitezistii!$B108,Data!$C:$C,Vitezistii!F$1),0)</f>
        <v>0</v>
      </c>
      <c r="G108" s="31">
        <f>IFERROR(IF(SUMIFS(Data!$K:$K,Data!$A:$A,Vitezistii!$B108,Data!$C:$C,Vitezistii!G$1)=0," ",SUMIFS(Data!$K:$K,Data!$A:$A,Vitezistii!$B108,Data!$C:$C,Vitezistii!G$1))+SUMIFS(Data!$S:$S,Data!$A:$A,Vitezistii!$B108,Data!$C:$C,Vitezistii!G$1),0)</f>
        <v>0</v>
      </c>
      <c r="H108" s="31">
        <f>IFERROR(IF(SUMIFS(Data!$K:$K,Data!$A:$A,Vitezistii!$B108,Data!$C:$C,Vitezistii!H$1)=0," ",SUMIFS(Data!$K:$K,Data!$A:$A,Vitezistii!$B108,Data!$C:$C,Vitezistii!H$1))+SUMIFS(Data!$S:$S,Data!$A:$A,Vitezistii!$B108,Data!$C:$C,Vitezistii!H$1),0)</f>
        <v>0</v>
      </c>
      <c r="I108" s="31">
        <f>IFERROR(IF(SUMIFS(Data!$K:$K,Data!$A:$A,Vitezistii!$B108,Data!$C:$C,Vitezistii!I$1)=0," ",SUMIFS(Data!$K:$K,Data!$A:$A,Vitezistii!$B108,Data!$C:$C,Vitezistii!I$1))+SUMIFS(Data!$S:$S,Data!$A:$A,Vitezistii!$B108,Data!$C:$C,Vitezistii!I$1),0)</f>
        <v>0</v>
      </c>
      <c r="J108" s="31">
        <f>IFERROR(IF(SUMIFS(Data!$K:$K,Data!$A:$A,Vitezistii!$B108,Data!$C:$C,Vitezistii!J$1)=0," ",SUMIFS(Data!$K:$K,Data!$A:$A,Vitezistii!$B108,Data!$C:$C,Vitezistii!J$1))+SUMIFS(Data!$S:$S,Data!$A:$A,Vitezistii!$B108,Data!$C:$C,Vitezistii!J$1),0)</f>
        <v>0</v>
      </c>
      <c r="K108" s="31">
        <f>IFERROR(IF(SUMIFS(Data!$K:$K,Data!$A:$A,Vitezistii!$B108,Data!$C:$C,Vitezistii!K$1)=0," ",SUMIFS(Data!$K:$K,Data!$A:$A,Vitezistii!$B108,Data!$C:$C,Vitezistii!K$1))+SUMIFS(Data!$S:$S,Data!$A:$A,Vitezistii!$B108,Data!$C:$C,Vitezistii!K$1),0)</f>
        <v>0</v>
      </c>
      <c r="L108" s="31">
        <f>IFERROR(IF(SUMIFS(Data!$K:$K,Data!$A:$A,Vitezistii!$B108,Data!$C:$C,Vitezistii!L$1)=0," ",SUMIFS(Data!$K:$K,Data!$A:$A,Vitezistii!$B108,Data!$C:$C,Vitezistii!L$1))+SUMIFS(Data!$S:$S,Data!$A:$A,Vitezistii!$B108,Data!$C:$C,Vitezistii!L$1),0)</f>
        <v>0</v>
      </c>
      <c r="M108" s="31">
        <f>IFERROR(IF(SUMIFS(Data!$K:$K,Data!$A:$A,Vitezistii!$B108,Data!$C:$C,Vitezistii!M$1)=0," ",SUMIFS(Data!$K:$K,Data!$A:$A,Vitezistii!$B108,Data!$C:$C,Vitezistii!M$1))+SUMIFS(Data!$S:$S,Data!$A:$A,Vitezistii!$B108,Data!$C:$C,Vitezistii!M$1),0)</f>
        <v>0</v>
      </c>
      <c r="N108" s="31">
        <f>IFERROR(IF(SUMIFS(Data!$K:$K,Data!$A:$A,Vitezistii!$B108,Data!$C:$C,Vitezistii!N$1)=0," ",SUMIFS(Data!$K:$K,Data!$A:$A,Vitezistii!$B108,Data!$C:$C,Vitezistii!N$1))+SUMIFS(Data!$S:$S,Data!$A:$A,Vitezistii!$B108,Data!$C:$C,Vitezistii!N$1),0)</f>
        <v>0</v>
      </c>
      <c r="O108" s="31">
        <f>IFERROR(IF(SUMIFS(Data!$K:$K,Data!$A:$A,Vitezistii!$B108,Data!$C:$C,Vitezistii!O$1)=0," ",SUMIFS(Data!$K:$K,Data!$A:$A,Vitezistii!$B108,Data!$C:$C,Vitezistii!O$1))+SUMIFS(Data!$S:$S,Data!$A:$A,Vitezistii!$B108,Data!$C:$C,Vitezistii!O$1),0)</f>
        <v>0</v>
      </c>
      <c r="P108" s="31">
        <f>IFERROR(IF(SUMIFS(Data!$K:$K,Data!$A:$A,Vitezistii!$B108,Data!$C:$C,Vitezistii!P$1)=0," ",SUMIFS(Data!$K:$K,Data!$A:$A,Vitezistii!$B108,Data!$C:$C,Vitezistii!P$1))+SUMIFS(Data!$S:$S,Data!$A:$A,Vitezistii!$B108,Data!$C:$C,Vitezistii!P$1),0)</f>
        <v>0</v>
      </c>
      <c r="Q108" s="31">
        <f>IFERROR(IF(SUMIFS(Data!$K:$K,Data!$A:$A,Vitezistii!$B108,Data!$C:$C,Vitezistii!Q$1)=0," ",SUMIFS(Data!$K:$K,Data!$A:$A,Vitezistii!$B108,Data!$C:$C,Vitezistii!Q$1))+SUMIFS(Data!$S:$S,Data!$A:$A,Vitezistii!$B108,Data!$C:$C,Vitezistii!Q$1),0)</f>
        <v>0</v>
      </c>
      <c r="R108" s="31">
        <f>SUM(C108:Q108)</f>
        <v>2</v>
      </c>
      <c r="S108" s="31">
        <f>SUMIFS(Data!D:D,Data!A:A,Vitezistii!B168)</f>
        <v>0</v>
      </c>
      <c r="T108" s="12">
        <f>SUMIFS(Data!I:I,Data!A:A,Vitezistii!B108)/COUNTIF(Data!A:A,Vitezistii!B108)</f>
        <v>4.117268041237113E-3</v>
      </c>
    </row>
    <row r="109" spans="1:20" ht="13" x14ac:dyDescent="0.3">
      <c r="A109" s="79">
        <v>108</v>
      </c>
      <c r="B109" s="30" t="s">
        <v>363</v>
      </c>
      <c r="C109" s="31">
        <f>IFERROR(IF(SUMIFS(Data!$K:$K,Data!$A:$A,Vitezistii!$B109,Data!$C:$C,Vitezistii!C$1)=0," ",SUMIFS(Data!$K:$K,Data!$A:$A,Vitezistii!$B109,Data!$C:$C,Vitezistii!C$1))+SUMIFS(Data!$S:$S,Data!$A:$A,Vitezistii!$B109,Data!$C:$C,Vitezistii!C$1),0)</f>
        <v>0.25</v>
      </c>
      <c r="D109" s="31">
        <f>IFERROR(IF(SUMIFS(Data!$K:$K,Data!$A:$A,Vitezistii!$B109,Data!$C:$C,Vitezistii!D$1)=0," ",SUMIFS(Data!$K:$K,Data!$A:$A,Vitezistii!$B109,Data!$C:$C,Vitezistii!D$1))+SUMIFS(Data!$S:$S,Data!$A:$A,Vitezistii!$B109,Data!$C:$C,Vitezistii!D$1),0)</f>
        <v>0</v>
      </c>
      <c r="E109" s="31">
        <f>IFERROR(IF(SUMIFS(Data!$K:$K,Data!$A:$A,Vitezistii!$B109,Data!$C:$C,Vitezistii!E$1)=0," ",SUMIFS(Data!$K:$K,Data!$A:$A,Vitezistii!$B109,Data!$C:$C,Vitezistii!E$1))+SUMIFS(Data!$S:$S,Data!$A:$A,Vitezistii!$B109,Data!$C:$C,Vitezistii!E$1),0)</f>
        <v>0</v>
      </c>
      <c r="F109" s="31">
        <f>IFERROR(IF(SUMIFS(Data!$K:$K,Data!$A:$A,Vitezistii!$B109,Data!$C:$C,Vitezistii!F$1)=0," ",SUMIFS(Data!$K:$K,Data!$A:$A,Vitezistii!$B109,Data!$C:$C,Vitezistii!F$1))+SUMIFS(Data!$S:$S,Data!$A:$A,Vitezistii!$B109,Data!$C:$C,Vitezistii!F$1),0)</f>
        <v>0</v>
      </c>
      <c r="G109" s="31">
        <f>IFERROR(IF(SUMIFS(Data!$K:$K,Data!$A:$A,Vitezistii!$B109,Data!$C:$C,Vitezistii!G$1)=0," ",SUMIFS(Data!$K:$K,Data!$A:$A,Vitezistii!$B109,Data!$C:$C,Vitezistii!G$1))+SUMIFS(Data!$S:$S,Data!$A:$A,Vitezistii!$B109,Data!$C:$C,Vitezistii!G$1),0)</f>
        <v>0</v>
      </c>
      <c r="H109" s="31">
        <f>IFERROR(IF(SUMIFS(Data!$K:$K,Data!$A:$A,Vitezistii!$B109,Data!$C:$C,Vitezistii!H$1)=0," ",SUMIFS(Data!$K:$K,Data!$A:$A,Vitezistii!$B109,Data!$C:$C,Vitezistii!H$1))+SUMIFS(Data!$S:$S,Data!$A:$A,Vitezistii!$B109,Data!$C:$C,Vitezistii!H$1),0)</f>
        <v>0</v>
      </c>
      <c r="I109" s="31">
        <f>IFERROR(IF(SUMIFS(Data!$K:$K,Data!$A:$A,Vitezistii!$B109,Data!$C:$C,Vitezistii!I$1)=0," ",SUMIFS(Data!$K:$K,Data!$A:$A,Vitezistii!$B109,Data!$C:$C,Vitezistii!I$1))+SUMIFS(Data!$S:$S,Data!$A:$A,Vitezistii!$B109,Data!$C:$C,Vitezistii!I$1),0)</f>
        <v>0</v>
      </c>
      <c r="J109" s="31">
        <f>IFERROR(IF(SUMIFS(Data!$K:$K,Data!$A:$A,Vitezistii!$B109,Data!$C:$C,Vitezistii!J$1)=0," ",SUMIFS(Data!$K:$K,Data!$A:$A,Vitezistii!$B109,Data!$C:$C,Vitezistii!J$1))+SUMIFS(Data!$S:$S,Data!$A:$A,Vitezistii!$B109,Data!$C:$C,Vitezistii!J$1),0)</f>
        <v>0</v>
      </c>
      <c r="K109" s="31">
        <f>IFERROR(IF(SUMIFS(Data!$K:$K,Data!$A:$A,Vitezistii!$B109,Data!$C:$C,Vitezistii!K$1)=0," ",SUMIFS(Data!$K:$K,Data!$A:$A,Vitezistii!$B109,Data!$C:$C,Vitezistii!K$1))+SUMIFS(Data!$S:$S,Data!$A:$A,Vitezistii!$B109,Data!$C:$C,Vitezistii!K$1),0)</f>
        <v>0</v>
      </c>
      <c r="L109" s="31">
        <f>IFERROR(IF(SUMIFS(Data!$K:$K,Data!$A:$A,Vitezistii!$B109,Data!$C:$C,Vitezistii!L$1)=0," ",SUMIFS(Data!$K:$K,Data!$A:$A,Vitezistii!$B109,Data!$C:$C,Vitezistii!L$1))+SUMIFS(Data!$S:$S,Data!$A:$A,Vitezistii!$B109,Data!$C:$C,Vitezistii!L$1),0)</f>
        <v>1.5</v>
      </c>
      <c r="M109" s="31">
        <f>IFERROR(IF(SUMIFS(Data!$K:$K,Data!$A:$A,Vitezistii!$B109,Data!$C:$C,Vitezistii!M$1)=0," ",SUMIFS(Data!$K:$K,Data!$A:$A,Vitezistii!$B109,Data!$C:$C,Vitezistii!M$1))+SUMIFS(Data!$S:$S,Data!$A:$A,Vitezistii!$B109,Data!$C:$C,Vitezistii!M$1),0)</f>
        <v>0</v>
      </c>
      <c r="N109" s="31">
        <f>IFERROR(IF(SUMIFS(Data!$K:$K,Data!$A:$A,Vitezistii!$B109,Data!$C:$C,Vitezistii!N$1)=0," ",SUMIFS(Data!$K:$K,Data!$A:$A,Vitezistii!$B109,Data!$C:$C,Vitezistii!N$1))+SUMIFS(Data!$S:$S,Data!$A:$A,Vitezistii!$B109,Data!$C:$C,Vitezistii!N$1),0)</f>
        <v>0</v>
      </c>
      <c r="O109" s="31">
        <f>IFERROR(IF(SUMIFS(Data!$K:$K,Data!$A:$A,Vitezistii!$B109,Data!$C:$C,Vitezistii!O$1)=0," ",SUMIFS(Data!$K:$K,Data!$A:$A,Vitezistii!$B109,Data!$C:$C,Vitezistii!O$1))+SUMIFS(Data!$S:$S,Data!$A:$A,Vitezistii!$B109,Data!$C:$C,Vitezistii!O$1),0)</f>
        <v>0</v>
      </c>
      <c r="P109" s="31">
        <f>IFERROR(IF(SUMIFS(Data!$K:$K,Data!$A:$A,Vitezistii!$B109,Data!$C:$C,Vitezistii!P$1)=0," ",SUMIFS(Data!$K:$K,Data!$A:$A,Vitezistii!$B109,Data!$C:$C,Vitezistii!P$1))+SUMIFS(Data!$S:$S,Data!$A:$A,Vitezistii!$B109,Data!$C:$C,Vitezistii!P$1),0)</f>
        <v>0</v>
      </c>
      <c r="Q109" s="31">
        <f>IFERROR(IF(SUMIFS(Data!$K:$K,Data!$A:$A,Vitezistii!$B109,Data!$C:$C,Vitezistii!Q$1)=0," ",SUMIFS(Data!$K:$K,Data!$A:$A,Vitezistii!$B109,Data!$C:$C,Vitezistii!Q$1))+SUMIFS(Data!$S:$S,Data!$A:$A,Vitezistii!$B109,Data!$C:$C,Vitezistii!Q$1),0)</f>
        <v>0</v>
      </c>
      <c r="R109" s="31">
        <f>SUM(C109:Q109)</f>
        <v>1.75</v>
      </c>
      <c r="S109" s="31">
        <f>SUMIFS(Data!D:D,Data!A:A,Vitezistii!B169)</f>
        <v>0</v>
      </c>
      <c r="T109" s="12">
        <f>SUMIFS(Data!I:I,Data!A:A,Vitezistii!B109)/COUNTIF(Data!A:A,Vitezistii!B109)</f>
        <v>5.0518560967878429E-3</v>
      </c>
    </row>
    <row r="110" spans="1:20" ht="13" x14ac:dyDescent="0.3">
      <c r="A110" s="79">
        <v>109</v>
      </c>
      <c r="B110" s="30" t="s">
        <v>296</v>
      </c>
      <c r="C110" s="31">
        <f>IFERROR(IF(SUMIFS(Data!$K:$K,Data!$A:$A,Vitezistii!$B110,Data!$C:$C,Vitezistii!C$1)=0," ",SUMIFS(Data!$K:$K,Data!$A:$A,Vitezistii!$B110,Data!$C:$C,Vitezistii!C$1))+SUMIFS(Data!$S:$S,Data!$A:$A,Vitezistii!$B110,Data!$C:$C,Vitezistii!C$1),0)</f>
        <v>0.25</v>
      </c>
      <c r="D110" s="31">
        <f>IFERROR(IF(SUMIFS(Data!$K:$K,Data!$A:$A,Vitezistii!$B110,Data!$C:$C,Vitezistii!D$1)=0," ",SUMIFS(Data!$K:$K,Data!$A:$A,Vitezistii!$B110,Data!$C:$C,Vitezistii!D$1))+SUMIFS(Data!$S:$S,Data!$A:$A,Vitezistii!$B110,Data!$C:$C,Vitezistii!D$1),0)</f>
        <v>0.25</v>
      </c>
      <c r="E110" s="31">
        <f>IFERROR(IF(SUMIFS(Data!$K:$K,Data!$A:$A,Vitezistii!$B110,Data!$C:$C,Vitezistii!E$1)=0," ",SUMIFS(Data!$K:$K,Data!$A:$A,Vitezistii!$B110,Data!$C:$C,Vitezistii!E$1))+SUMIFS(Data!$S:$S,Data!$A:$A,Vitezistii!$B110,Data!$C:$C,Vitezistii!E$1),0)</f>
        <v>0.25</v>
      </c>
      <c r="F110" s="31">
        <f>IFERROR(IF(SUMIFS(Data!$K:$K,Data!$A:$A,Vitezistii!$B110,Data!$C:$C,Vitezistii!F$1)=0," ",SUMIFS(Data!$K:$K,Data!$A:$A,Vitezistii!$B110,Data!$C:$C,Vitezistii!F$1))+SUMIFS(Data!$S:$S,Data!$A:$A,Vitezistii!$B110,Data!$C:$C,Vitezistii!F$1),0)</f>
        <v>0</v>
      </c>
      <c r="G110" s="31">
        <f>IFERROR(IF(SUMIFS(Data!$K:$K,Data!$A:$A,Vitezistii!$B110,Data!$C:$C,Vitezistii!G$1)=0," ",SUMIFS(Data!$K:$K,Data!$A:$A,Vitezistii!$B110,Data!$C:$C,Vitezistii!G$1))+SUMIFS(Data!$S:$S,Data!$A:$A,Vitezistii!$B110,Data!$C:$C,Vitezistii!G$1),0)</f>
        <v>0.25</v>
      </c>
      <c r="H110" s="31">
        <f>IFERROR(IF(SUMIFS(Data!$K:$K,Data!$A:$A,Vitezistii!$B110,Data!$C:$C,Vitezistii!H$1)=0," ",SUMIFS(Data!$K:$K,Data!$A:$A,Vitezistii!$B110,Data!$C:$C,Vitezistii!H$1))+SUMIFS(Data!$S:$S,Data!$A:$A,Vitezistii!$B110,Data!$C:$C,Vitezistii!H$1),0)</f>
        <v>0</v>
      </c>
      <c r="I110" s="31">
        <f>IFERROR(IF(SUMIFS(Data!$K:$K,Data!$A:$A,Vitezistii!$B110,Data!$C:$C,Vitezistii!I$1)=0," ",SUMIFS(Data!$K:$K,Data!$A:$A,Vitezistii!$B110,Data!$C:$C,Vitezistii!I$1))+SUMIFS(Data!$S:$S,Data!$A:$A,Vitezistii!$B110,Data!$C:$C,Vitezistii!I$1),0)</f>
        <v>0</v>
      </c>
      <c r="J110" s="31">
        <f>IFERROR(IF(SUMIFS(Data!$K:$K,Data!$A:$A,Vitezistii!$B110,Data!$C:$C,Vitezistii!J$1)=0," ",SUMIFS(Data!$K:$K,Data!$A:$A,Vitezistii!$B110,Data!$C:$C,Vitezistii!J$1))+SUMIFS(Data!$S:$S,Data!$A:$A,Vitezistii!$B110,Data!$C:$C,Vitezistii!J$1),0)</f>
        <v>0</v>
      </c>
      <c r="K110" s="31">
        <f>IFERROR(IF(SUMIFS(Data!$K:$K,Data!$A:$A,Vitezistii!$B110,Data!$C:$C,Vitezistii!K$1)=0," ",SUMIFS(Data!$K:$K,Data!$A:$A,Vitezistii!$B110,Data!$C:$C,Vitezistii!K$1))+SUMIFS(Data!$S:$S,Data!$A:$A,Vitezistii!$B110,Data!$C:$C,Vitezistii!K$1),0)</f>
        <v>0.25</v>
      </c>
      <c r="L110" s="31">
        <f>IFERROR(IF(SUMIFS(Data!$K:$K,Data!$A:$A,Vitezistii!$B110,Data!$C:$C,Vitezistii!L$1)=0," ",SUMIFS(Data!$K:$K,Data!$A:$A,Vitezistii!$B110,Data!$C:$C,Vitezistii!L$1))+SUMIFS(Data!$S:$S,Data!$A:$A,Vitezistii!$B110,Data!$C:$C,Vitezistii!L$1),0)</f>
        <v>0</v>
      </c>
      <c r="M110" s="31">
        <f>IFERROR(IF(SUMIFS(Data!$K:$K,Data!$A:$A,Vitezistii!$B110,Data!$C:$C,Vitezistii!M$1)=0," ",SUMIFS(Data!$K:$K,Data!$A:$A,Vitezistii!$B110,Data!$C:$C,Vitezistii!M$1))+SUMIFS(Data!$S:$S,Data!$A:$A,Vitezistii!$B110,Data!$C:$C,Vitezistii!M$1),0)</f>
        <v>0.25</v>
      </c>
      <c r="N110" s="31">
        <f>IFERROR(IF(SUMIFS(Data!$K:$K,Data!$A:$A,Vitezistii!$B110,Data!$C:$C,Vitezistii!N$1)=0," ",SUMIFS(Data!$K:$K,Data!$A:$A,Vitezistii!$B110,Data!$C:$C,Vitezistii!N$1))+SUMIFS(Data!$S:$S,Data!$A:$A,Vitezistii!$B110,Data!$C:$C,Vitezistii!N$1),0)</f>
        <v>0</v>
      </c>
      <c r="O110" s="31">
        <f>IFERROR(IF(SUMIFS(Data!$K:$K,Data!$A:$A,Vitezistii!$B110,Data!$C:$C,Vitezistii!O$1)=0," ",SUMIFS(Data!$K:$K,Data!$A:$A,Vitezistii!$B110,Data!$C:$C,Vitezistii!O$1))+SUMIFS(Data!$S:$S,Data!$A:$A,Vitezistii!$B110,Data!$C:$C,Vitezistii!O$1),0)</f>
        <v>0.25</v>
      </c>
      <c r="P110" s="31">
        <f>IFERROR(IF(SUMIFS(Data!$K:$K,Data!$A:$A,Vitezistii!$B110,Data!$C:$C,Vitezistii!P$1)=0," ",SUMIFS(Data!$K:$K,Data!$A:$A,Vitezistii!$B110,Data!$C:$C,Vitezistii!P$1))+SUMIFS(Data!$S:$S,Data!$A:$A,Vitezistii!$B110,Data!$C:$C,Vitezistii!P$1),0)</f>
        <v>0</v>
      </c>
      <c r="Q110" s="31">
        <f>IFERROR(IF(SUMIFS(Data!$K:$K,Data!$A:$A,Vitezistii!$B110,Data!$C:$C,Vitezistii!Q$1)=0," ",SUMIFS(Data!$K:$K,Data!$A:$A,Vitezistii!$B110,Data!$C:$C,Vitezistii!Q$1))+SUMIFS(Data!$S:$S,Data!$A:$A,Vitezistii!$B110,Data!$C:$C,Vitezistii!Q$1),0)</f>
        <v>0</v>
      </c>
      <c r="R110" s="31">
        <f>SUM(C110:Q110)</f>
        <v>1.75</v>
      </c>
      <c r="S110" s="31">
        <f>SUMIFS(Data!D:D,Data!A:A,Vitezistii!B170)</f>
        <v>0</v>
      </c>
      <c r="T110" s="12">
        <f>SUMIFS(Data!I:I,Data!A:A,Vitezistii!B110)/COUNTIF(Data!A:A,Vitezistii!B110)</f>
        <v>6.1064096489576274E-3</v>
      </c>
    </row>
    <row r="111" spans="1:20" ht="13" x14ac:dyDescent="0.3">
      <c r="A111" s="79">
        <v>110</v>
      </c>
      <c r="B111" s="30" t="s">
        <v>371</v>
      </c>
      <c r="C111" s="31">
        <f>IFERROR(IF(SUMIFS(Data!$K:$K,Data!$A:$A,Vitezistii!$B111,Data!$C:$C,Vitezistii!C$1)=0," ",SUMIFS(Data!$K:$K,Data!$A:$A,Vitezistii!$B111,Data!$C:$C,Vitezistii!C$1))+SUMIFS(Data!$S:$S,Data!$A:$A,Vitezistii!$B111,Data!$C:$C,Vitezistii!C$1),0)</f>
        <v>1.5</v>
      </c>
      <c r="D111" s="31">
        <f>IFERROR(IF(SUMIFS(Data!$K:$K,Data!$A:$A,Vitezistii!$B111,Data!$C:$C,Vitezistii!D$1)=0," ",SUMIFS(Data!$K:$K,Data!$A:$A,Vitezistii!$B111,Data!$C:$C,Vitezistii!D$1))+SUMIFS(Data!$S:$S,Data!$A:$A,Vitezistii!$B111,Data!$C:$C,Vitezistii!D$1),0)</f>
        <v>0</v>
      </c>
      <c r="E111" s="31">
        <f>IFERROR(IF(SUMIFS(Data!$K:$K,Data!$A:$A,Vitezistii!$B111,Data!$C:$C,Vitezistii!E$1)=0," ",SUMIFS(Data!$K:$K,Data!$A:$A,Vitezistii!$B111,Data!$C:$C,Vitezistii!E$1))+SUMIFS(Data!$S:$S,Data!$A:$A,Vitezistii!$B111,Data!$C:$C,Vitezistii!E$1),0)</f>
        <v>0</v>
      </c>
      <c r="F111" s="31">
        <f>IFERROR(IF(SUMIFS(Data!$K:$K,Data!$A:$A,Vitezistii!$B111,Data!$C:$C,Vitezistii!F$1)=0," ",SUMIFS(Data!$K:$K,Data!$A:$A,Vitezistii!$B111,Data!$C:$C,Vitezistii!F$1))+SUMIFS(Data!$S:$S,Data!$A:$A,Vitezistii!$B111,Data!$C:$C,Vitezistii!F$1),0)</f>
        <v>0</v>
      </c>
      <c r="G111" s="31">
        <f>IFERROR(IF(SUMIFS(Data!$K:$K,Data!$A:$A,Vitezistii!$B111,Data!$C:$C,Vitezistii!G$1)=0," ",SUMIFS(Data!$K:$K,Data!$A:$A,Vitezistii!$B111,Data!$C:$C,Vitezistii!G$1))+SUMIFS(Data!$S:$S,Data!$A:$A,Vitezistii!$B111,Data!$C:$C,Vitezistii!G$1),0)</f>
        <v>0</v>
      </c>
      <c r="H111" s="31">
        <f>IFERROR(IF(SUMIFS(Data!$K:$K,Data!$A:$A,Vitezistii!$B111,Data!$C:$C,Vitezistii!H$1)=0," ",SUMIFS(Data!$K:$K,Data!$A:$A,Vitezistii!$B111,Data!$C:$C,Vitezistii!H$1))+SUMIFS(Data!$S:$S,Data!$A:$A,Vitezistii!$B111,Data!$C:$C,Vitezistii!H$1),0)</f>
        <v>0</v>
      </c>
      <c r="I111" s="31">
        <f>IFERROR(IF(SUMIFS(Data!$K:$K,Data!$A:$A,Vitezistii!$B111,Data!$C:$C,Vitezistii!I$1)=0," ",SUMIFS(Data!$K:$K,Data!$A:$A,Vitezistii!$B111,Data!$C:$C,Vitezistii!I$1))+SUMIFS(Data!$S:$S,Data!$A:$A,Vitezistii!$B111,Data!$C:$C,Vitezistii!I$1),0)</f>
        <v>0</v>
      </c>
      <c r="J111" s="31">
        <f>IFERROR(IF(SUMIFS(Data!$K:$K,Data!$A:$A,Vitezistii!$B111,Data!$C:$C,Vitezistii!J$1)=0," ",SUMIFS(Data!$K:$K,Data!$A:$A,Vitezistii!$B111,Data!$C:$C,Vitezistii!J$1))+SUMIFS(Data!$S:$S,Data!$A:$A,Vitezistii!$B111,Data!$C:$C,Vitezistii!J$1),0)</f>
        <v>0</v>
      </c>
      <c r="K111" s="31">
        <f>IFERROR(IF(SUMIFS(Data!$K:$K,Data!$A:$A,Vitezistii!$B111,Data!$C:$C,Vitezistii!K$1)=0," ",SUMIFS(Data!$K:$K,Data!$A:$A,Vitezistii!$B111,Data!$C:$C,Vitezistii!K$1))+SUMIFS(Data!$S:$S,Data!$A:$A,Vitezistii!$B111,Data!$C:$C,Vitezistii!K$1),0)</f>
        <v>0</v>
      </c>
      <c r="L111" s="31">
        <f>IFERROR(IF(SUMIFS(Data!$K:$K,Data!$A:$A,Vitezistii!$B111,Data!$C:$C,Vitezistii!L$1)=0," ",SUMIFS(Data!$K:$K,Data!$A:$A,Vitezistii!$B111,Data!$C:$C,Vitezistii!L$1))+SUMIFS(Data!$S:$S,Data!$A:$A,Vitezistii!$B111,Data!$C:$C,Vitezistii!L$1),0)</f>
        <v>0</v>
      </c>
      <c r="M111" s="31">
        <f>IFERROR(IF(SUMIFS(Data!$K:$K,Data!$A:$A,Vitezistii!$B111,Data!$C:$C,Vitezistii!M$1)=0," ",SUMIFS(Data!$K:$K,Data!$A:$A,Vitezistii!$B111,Data!$C:$C,Vitezistii!M$1))+SUMIFS(Data!$S:$S,Data!$A:$A,Vitezistii!$B111,Data!$C:$C,Vitezistii!M$1),0)</f>
        <v>0</v>
      </c>
      <c r="N111" s="31">
        <f>IFERROR(IF(SUMIFS(Data!$K:$K,Data!$A:$A,Vitezistii!$B111,Data!$C:$C,Vitezistii!N$1)=0," ",SUMIFS(Data!$K:$K,Data!$A:$A,Vitezistii!$B111,Data!$C:$C,Vitezistii!N$1))+SUMIFS(Data!$S:$S,Data!$A:$A,Vitezistii!$B111,Data!$C:$C,Vitezistii!N$1),0)</f>
        <v>0</v>
      </c>
      <c r="O111" s="31">
        <f>IFERROR(IF(SUMIFS(Data!$K:$K,Data!$A:$A,Vitezistii!$B111,Data!$C:$C,Vitezistii!O$1)=0," ",SUMIFS(Data!$K:$K,Data!$A:$A,Vitezistii!$B111,Data!$C:$C,Vitezistii!O$1))+SUMIFS(Data!$S:$S,Data!$A:$A,Vitezistii!$B111,Data!$C:$C,Vitezistii!O$1),0)</f>
        <v>0</v>
      </c>
      <c r="P111" s="31">
        <f>IFERROR(IF(SUMIFS(Data!$K:$K,Data!$A:$A,Vitezistii!$B111,Data!$C:$C,Vitezistii!P$1)=0," ",SUMIFS(Data!$K:$K,Data!$A:$A,Vitezistii!$B111,Data!$C:$C,Vitezistii!P$1))+SUMIFS(Data!$S:$S,Data!$A:$A,Vitezistii!$B111,Data!$C:$C,Vitezistii!P$1),0)</f>
        <v>0</v>
      </c>
      <c r="Q111" s="31">
        <f>IFERROR(IF(SUMIFS(Data!$K:$K,Data!$A:$A,Vitezistii!$B111,Data!$C:$C,Vitezistii!Q$1)=0," ",SUMIFS(Data!$K:$K,Data!$A:$A,Vitezistii!$B111,Data!$C:$C,Vitezistii!Q$1))+SUMIFS(Data!$S:$S,Data!$A:$A,Vitezistii!$B111,Data!$C:$C,Vitezistii!Q$1),0)</f>
        <v>0</v>
      </c>
      <c r="R111" s="31">
        <f>SUM(C111:Q111)</f>
        <v>1.5</v>
      </c>
      <c r="S111" s="31">
        <f>SUMIFS(Data!D:D,Data!A:A,Vitezistii!B171)</f>
        <v>0</v>
      </c>
      <c r="T111" s="12">
        <f>SUMIFS(Data!I:I,Data!A:A,Vitezistii!B111)/COUNTIF(Data!A:A,Vitezistii!B111)</f>
        <v>4.3668981481481484E-3</v>
      </c>
    </row>
    <row r="112" spans="1:20" ht="13" x14ac:dyDescent="0.3">
      <c r="A112" s="79">
        <v>111</v>
      </c>
      <c r="B112" s="30" t="s">
        <v>63</v>
      </c>
      <c r="C112" s="31">
        <f>IFERROR(IF(SUMIFS(Data!$K:$K,Data!$A:$A,Vitezistii!$B112,Data!$C:$C,Vitezistii!C$1)=0," ",SUMIFS(Data!$K:$K,Data!$A:$A,Vitezistii!$B112,Data!$C:$C,Vitezistii!C$1))+SUMIFS(Data!$S:$S,Data!$A:$A,Vitezistii!$B112,Data!$C:$C,Vitezistii!C$1),0)</f>
        <v>0</v>
      </c>
      <c r="D112" s="31">
        <f>IFERROR(IF(SUMIFS(Data!$K:$K,Data!$A:$A,Vitezistii!$B112,Data!$C:$C,Vitezistii!D$1)=0," ",SUMIFS(Data!$K:$K,Data!$A:$A,Vitezistii!$B112,Data!$C:$C,Vitezistii!D$1))+SUMIFS(Data!$S:$S,Data!$A:$A,Vitezistii!$B112,Data!$C:$C,Vitezistii!D$1),0)</f>
        <v>0.25</v>
      </c>
      <c r="E112" s="31">
        <f>IFERROR(IF(SUMIFS(Data!$K:$K,Data!$A:$A,Vitezistii!$B112,Data!$C:$C,Vitezistii!E$1)=0," ",SUMIFS(Data!$K:$K,Data!$A:$A,Vitezistii!$B112,Data!$C:$C,Vitezistii!E$1))+SUMIFS(Data!$S:$S,Data!$A:$A,Vitezistii!$B112,Data!$C:$C,Vitezistii!E$1),0)</f>
        <v>0</v>
      </c>
      <c r="F112" s="31">
        <f>IFERROR(IF(SUMIFS(Data!$K:$K,Data!$A:$A,Vitezistii!$B112,Data!$C:$C,Vitezistii!F$1)=0," ",SUMIFS(Data!$K:$K,Data!$A:$A,Vitezistii!$B112,Data!$C:$C,Vitezistii!F$1))+SUMIFS(Data!$S:$S,Data!$A:$A,Vitezistii!$B112,Data!$C:$C,Vitezistii!F$1),0)</f>
        <v>0</v>
      </c>
      <c r="G112" s="31">
        <f>IFERROR(IF(SUMIFS(Data!$K:$K,Data!$A:$A,Vitezistii!$B112,Data!$C:$C,Vitezistii!G$1)=0," ",SUMIFS(Data!$K:$K,Data!$A:$A,Vitezistii!$B112,Data!$C:$C,Vitezistii!G$1))+SUMIFS(Data!$S:$S,Data!$A:$A,Vitezistii!$B112,Data!$C:$C,Vitezistii!G$1),0)</f>
        <v>0</v>
      </c>
      <c r="H112" s="31">
        <f>IFERROR(IF(SUMIFS(Data!$K:$K,Data!$A:$A,Vitezistii!$B112,Data!$C:$C,Vitezistii!H$1)=0," ",SUMIFS(Data!$K:$K,Data!$A:$A,Vitezistii!$B112,Data!$C:$C,Vitezistii!H$1))+SUMIFS(Data!$S:$S,Data!$A:$A,Vitezistii!$B112,Data!$C:$C,Vitezistii!H$1),0)</f>
        <v>0</v>
      </c>
      <c r="I112" s="31">
        <f>IFERROR(IF(SUMIFS(Data!$K:$K,Data!$A:$A,Vitezistii!$B112,Data!$C:$C,Vitezistii!I$1)=0," ",SUMIFS(Data!$K:$K,Data!$A:$A,Vitezistii!$B112,Data!$C:$C,Vitezistii!I$1))+SUMIFS(Data!$S:$S,Data!$A:$A,Vitezistii!$B112,Data!$C:$C,Vitezistii!I$1),0)</f>
        <v>0</v>
      </c>
      <c r="J112" s="31">
        <f>IFERROR(IF(SUMIFS(Data!$K:$K,Data!$A:$A,Vitezistii!$B112,Data!$C:$C,Vitezistii!J$1)=0," ",SUMIFS(Data!$K:$K,Data!$A:$A,Vitezistii!$B112,Data!$C:$C,Vitezistii!J$1))+SUMIFS(Data!$S:$S,Data!$A:$A,Vitezistii!$B112,Data!$C:$C,Vitezistii!J$1),0)</f>
        <v>1.25</v>
      </c>
      <c r="K112" s="31">
        <f>IFERROR(IF(SUMIFS(Data!$K:$K,Data!$A:$A,Vitezistii!$B112,Data!$C:$C,Vitezistii!K$1)=0," ",SUMIFS(Data!$K:$K,Data!$A:$A,Vitezistii!$B112,Data!$C:$C,Vitezistii!K$1))+SUMIFS(Data!$S:$S,Data!$A:$A,Vitezistii!$B112,Data!$C:$C,Vitezistii!K$1),0)</f>
        <v>0</v>
      </c>
      <c r="L112" s="31">
        <f>IFERROR(IF(SUMIFS(Data!$K:$K,Data!$A:$A,Vitezistii!$B112,Data!$C:$C,Vitezistii!L$1)=0," ",SUMIFS(Data!$K:$K,Data!$A:$A,Vitezistii!$B112,Data!$C:$C,Vitezistii!L$1))+SUMIFS(Data!$S:$S,Data!$A:$A,Vitezistii!$B112,Data!$C:$C,Vitezistii!L$1),0)</f>
        <v>0</v>
      </c>
      <c r="M112" s="31">
        <f>IFERROR(IF(SUMIFS(Data!$K:$K,Data!$A:$A,Vitezistii!$B112,Data!$C:$C,Vitezistii!M$1)=0," ",SUMIFS(Data!$K:$K,Data!$A:$A,Vitezistii!$B112,Data!$C:$C,Vitezistii!M$1))+SUMIFS(Data!$S:$S,Data!$A:$A,Vitezistii!$B112,Data!$C:$C,Vitezistii!M$1),0)</f>
        <v>0</v>
      </c>
      <c r="N112" s="31">
        <f>IFERROR(IF(SUMIFS(Data!$K:$K,Data!$A:$A,Vitezistii!$B112,Data!$C:$C,Vitezistii!N$1)=0," ",SUMIFS(Data!$K:$K,Data!$A:$A,Vitezistii!$B112,Data!$C:$C,Vitezistii!N$1))+SUMIFS(Data!$S:$S,Data!$A:$A,Vitezistii!$B112,Data!$C:$C,Vitezistii!N$1),0)</f>
        <v>0</v>
      </c>
      <c r="O112" s="31">
        <f>IFERROR(IF(SUMIFS(Data!$K:$K,Data!$A:$A,Vitezistii!$B112,Data!$C:$C,Vitezistii!O$1)=0," ",SUMIFS(Data!$K:$K,Data!$A:$A,Vitezistii!$B112,Data!$C:$C,Vitezistii!O$1))+SUMIFS(Data!$S:$S,Data!$A:$A,Vitezistii!$B112,Data!$C:$C,Vitezistii!O$1),0)</f>
        <v>0</v>
      </c>
      <c r="P112" s="31">
        <f>IFERROR(IF(SUMIFS(Data!$K:$K,Data!$A:$A,Vitezistii!$B112,Data!$C:$C,Vitezistii!P$1)=0," ",SUMIFS(Data!$K:$K,Data!$A:$A,Vitezistii!$B112,Data!$C:$C,Vitezistii!P$1))+SUMIFS(Data!$S:$S,Data!$A:$A,Vitezistii!$B112,Data!$C:$C,Vitezistii!P$1),0)</f>
        <v>0</v>
      </c>
      <c r="Q112" s="31">
        <f>IFERROR(IF(SUMIFS(Data!$K:$K,Data!$A:$A,Vitezistii!$B112,Data!$C:$C,Vitezistii!Q$1)=0," ",SUMIFS(Data!$K:$K,Data!$A:$A,Vitezistii!$B112,Data!$C:$C,Vitezistii!Q$1))+SUMIFS(Data!$S:$S,Data!$A:$A,Vitezistii!$B112,Data!$C:$C,Vitezistii!Q$1),0)</f>
        <v>0</v>
      </c>
      <c r="R112" s="31">
        <f>SUM(C112:Q112)</f>
        <v>1.5</v>
      </c>
      <c r="S112" s="31">
        <f>SUMIFS(Data!D:D,Data!A:A,Vitezistii!B172)</f>
        <v>0</v>
      </c>
      <c r="T112" s="12">
        <f>SUMIFS(Data!I:I,Data!A:A,Vitezistii!B112)/COUNTIF(Data!A:A,Vitezistii!B112)</f>
        <v>3.8649957578872657E-2</v>
      </c>
    </row>
    <row r="113" spans="1:20" ht="13" x14ac:dyDescent="0.3">
      <c r="A113" s="79">
        <v>112</v>
      </c>
      <c r="B113" s="30" t="s">
        <v>358</v>
      </c>
      <c r="C113" s="31">
        <f>IFERROR(IF(SUMIFS(Data!$K:$K,Data!$A:$A,Vitezistii!$B113,Data!$C:$C,Vitezistii!C$1)=0," ",SUMIFS(Data!$K:$K,Data!$A:$A,Vitezistii!$B113,Data!$C:$C,Vitezistii!C$1))+SUMIFS(Data!$S:$S,Data!$A:$A,Vitezistii!$B113,Data!$C:$C,Vitezistii!C$1),0)</f>
        <v>0</v>
      </c>
      <c r="D113" s="31">
        <f>IFERROR(IF(SUMIFS(Data!$K:$K,Data!$A:$A,Vitezistii!$B113,Data!$C:$C,Vitezistii!D$1)=0," ",SUMIFS(Data!$K:$K,Data!$A:$A,Vitezistii!$B113,Data!$C:$C,Vitezistii!D$1))+SUMIFS(Data!$S:$S,Data!$A:$A,Vitezistii!$B113,Data!$C:$C,Vitezistii!D$1),0)</f>
        <v>0</v>
      </c>
      <c r="E113" s="31">
        <f>IFERROR(IF(SUMIFS(Data!$K:$K,Data!$A:$A,Vitezistii!$B113,Data!$C:$C,Vitezistii!E$1)=0," ",SUMIFS(Data!$K:$K,Data!$A:$A,Vitezistii!$B113,Data!$C:$C,Vitezistii!E$1))+SUMIFS(Data!$S:$S,Data!$A:$A,Vitezistii!$B113,Data!$C:$C,Vitezistii!E$1),0)</f>
        <v>0</v>
      </c>
      <c r="F113" s="31">
        <f>IFERROR(IF(SUMIFS(Data!$K:$K,Data!$A:$A,Vitezistii!$B113,Data!$C:$C,Vitezistii!F$1)=0," ",SUMIFS(Data!$K:$K,Data!$A:$A,Vitezistii!$B113,Data!$C:$C,Vitezistii!F$1))+SUMIFS(Data!$S:$S,Data!$A:$A,Vitezistii!$B113,Data!$C:$C,Vitezistii!F$1),0)</f>
        <v>0.75</v>
      </c>
      <c r="G113" s="31">
        <f>IFERROR(IF(SUMIFS(Data!$K:$K,Data!$A:$A,Vitezistii!$B113,Data!$C:$C,Vitezistii!G$1)=0," ",SUMIFS(Data!$K:$K,Data!$A:$A,Vitezistii!$B113,Data!$C:$C,Vitezistii!G$1))+SUMIFS(Data!$S:$S,Data!$A:$A,Vitezistii!$B113,Data!$C:$C,Vitezistii!G$1),0)</f>
        <v>0</v>
      </c>
      <c r="H113" s="31">
        <f>IFERROR(IF(SUMIFS(Data!$K:$K,Data!$A:$A,Vitezistii!$B113,Data!$C:$C,Vitezistii!H$1)=0," ",SUMIFS(Data!$K:$K,Data!$A:$A,Vitezistii!$B113,Data!$C:$C,Vitezistii!H$1))+SUMIFS(Data!$S:$S,Data!$A:$A,Vitezistii!$B113,Data!$C:$C,Vitezistii!H$1),0)</f>
        <v>0</v>
      </c>
      <c r="I113" s="31">
        <f>IFERROR(IF(SUMIFS(Data!$K:$K,Data!$A:$A,Vitezistii!$B113,Data!$C:$C,Vitezistii!I$1)=0," ",SUMIFS(Data!$K:$K,Data!$A:$A,Vitezistii!$B113,Data!$C:$C,Vitezistii!I$1))+SUMIFS(Data!$S:$S,Data!$A:$A,Vitezistii!$B113,Data!$C:$C,Vitezistii!I$1),0)</f>
        <v>0</v>
      </c>
      <c r="J113" s="31">
        <f>IFERROR(IF(SUMIFS(Data!$K:$K,Data!$A:$A,Vitezistii!$B113,Data!$C:$C,Vitezistii!J$1)=0," ",SUMIFS(Data!$K:$K,Data!$A:$A,Vitezistii!$B113,Data!$C:$C,Vitezistii!J$1))+SUMIFS(Data!$S:$S,Data!$A:$A,Vitezistii!$B113,Data!$C:$C,Vitezistii!J$1),0)</f>
        <v>0</v>
      </c>
      <c r="K113" s="31">
        <f>IFERROR(IF(SUMIFS(Data!$K:$K,Data!$A:$A,Vitezistii!$B113,Data!$C:$C,Vitezistii!K$1)=0," ",SUMIFS(Data!$K:$K,Data!$A:$A,Vitezistii!$B113,Data!$C:$C,Vitezistii!K$1))+SUMIFS(Data!$S:$S,Data!$A:$A,Vitezistii!$B113,Data!$C:$C,Vitezistii!K$1),0)</f>
        <v>0</v>
      </c>
      <c r="L113" s="31">
        <f>IFERROR(IF(SUMIFS(Data!$K:$K,Data!$A:$A,Vitezistii!$B113,Data!$C:$C,Vitezistii!L$1)=0," ",SUMIFS(Data!$K:$K,Data!$A:$A,Vitezistii!$B113,Data!$C:$C,Vitezistii!L$1))+SUMIFS(Data!$S:$S,Data!$A:$A,Vitezistii!$B113,Data!$C:$C,Vitezistii!L$1),0)</f>
        <v>0</v>
      </c>
      <c r="M113" s="31">
        <f>IFERROR(IF(SUMIFS(Data!$K:$K,Data!$A:$A,Vitezistii!$B113,Data!$C:$C,Vitezistii!M$1)=0," ",SUMIFS(Data!$K:$K,Data!$A:$A,Vitezistii!$B113,Data!$C:$C,Vitezistii!M$1))+SUMIFS(Data!$S:$S,Data!$A:$A,Vitezistii!$B113,Data!$C:$C,Vitezistii!M$1),0)</f>
        <v>0</v>
      </c>
      <c r="N113" s="31">
        <f>IFERROR(IF(SUMIFS(Data!$K:$K,Data!$A:$A,Vitezistii!$B113,Data!$C:$C,Vitezistii!N$1)=0," ",SUMIFS(Data!$K:$K,Data!$A:$A,Vitezistii!$B113,Data!$C:$C,Vitezistii!N$1))+SUMIFS(Data!$S:$S,Data!$A:$A,Vitezistii!$B113,Data!$C:$C,Vitezistii!N$1),0)</f>
        <v>0</v>
      </c>
      <c r="O113" s="31">
        <f>IFERROR(IF(SUMIFS(Data!$K:$K,Data!$A:$A,Vitezistii!$B113,Data!$C:$C,Vitezistii!O$1)=0," ",SUMIFS(Data!$K:$K,Data!$A:$A,Vitezistii!$B113,Data!$C:$C,Vitezistii!O$1))+SUMIFS(Data!$S:$S,Data!$A:$A,Vitezistii!$B113,Data!$C:$C,Vitezistii!O$1),0)</f>
        <v>0</v>
      </c>
      <c r="P113" s="31">
        <f>IFERROR(IF(SUMIFS(Data!$K:$K,Data!$A:$A,Vitezistii!$B113,Data!$C:$C,Vitezistii!P$1)=0," ",SUMIFS(Data!$K:$K,Data!$A:$A,Vitezistii!$B113,Data!$C:$C,Vitezistii!P$1))+SUMIFS(Data!$S:$S,Data!$A:$A,Vitezistii!$B113,Data!$C:$C,Vitezistii!P$1),0)</f>
        <v>0</v>
      </c>
      <c r="Q113" s="31">
        <f>IFERROR(IF(SUMIFS(Data!$K:$K,Data!$A:$A,Vitezistii!$B113,Data!$C:$C,Vitezistii!Q$1)=0," ",SUMIFS(Data!$K:$K,Data!$A:$A,Vitezistii!$B113,Data!$C:$C,Vitezistii!Q$1))+SUMIFS(Data!$S:$S,Data!$A:$A,Vitezistii!$B113,Data!$C:$C,Vitezistii!Q$1),0)</f>
        <v>0</v>
      </c>
      <c r="R113" s="31">
        <f>SUM(C113:Q113)</f>
        <v>0.75</v>
      </c>
      <c r="S113" s="31">
        <f>SUMIFS(Data!D:D,Data!A:A,Vitezistii!B173)</f>
        <v>0</v>
      </c>
      <c r="T113" s="12">
        <f>SUMIFS(Data!I:I,Data!A:A,Vitezistii!B113)/COUNTIF(Data!A:A,Vitezistii!B113)</f>
        <v>5.1129766395808327E-3</v>
      </c>
    </row>
    <row r="114" spans="1:20" ht="13" x14ac:dyDescent="0.3">
      <c r="A114" s="79">
        <v>113</v>
      </c>
      <c r="B114" s="30" t="s">
        <v>398</v>
      </c>
      <c r="C114" s="31">
        <f>IFERROR(IF(SUMIFS(Data!$K:$K,Data!$A:$A,Vitezistii!$B114,Data!$C:$C,Vitezistii!C$1)=0," ",SUMIFS(Data!$K:$K,Data!$A:$A,Vitezistii!$B114,Data!$C:$C,Vitezistii!C$1))+SUMIFS(Data!$S:$S,Data!$A:$A,Vitezistii!$B114,Data!$C:$C,Vitezistii!C$1),0)</f>
        <v>0</v>
      </c>
      <c r="D114" s="31">
        <f>IFERROR(IF(SUMIFS(Data!$K:$K,Data!$A:$A,Vitezistii!$B114,Data!$C:$C,Vitezistii!D$1)=0," ",SUMIFS(Data!$K:$K,Data!$A:$A,Vitezistii!$B114,Data!$C:$C,Vitezistii!D$1))+SUMIFS(Data!$S:$S,Data!$A:$A,Vitezistii!$B114,Data!$C:$C,Vitezistii!D$1),0)</f>
        <v>0</v>
      </c>
      <c r="E114" s="31">
        <f>IFERROR(IF(SUMIFS(Data!$K:$K,Data!$A:$A,Vitezistii!$B114,Data!$C:$C,Vitezistii!E$1)=0," ",SUMIFS(Data!$K:$K,Data!$A:$A,Vitezistii!$B114,Data!$C:$C,Vitezistii!E$1))+SUMIFS(Data!$S:$S,Data!$A:$A,Vitezistii!$B114,Data!$C:$C,Vitezistii!E$1),0)</f>
        <v>0</v>
      </c>
      <c r="F114" s="31">
        <f>IFERROR(IF(SUMIFS(Data!$K:$K,Data!$A:$A,Vitezistii!$B114,Data!$C:$C,Vitezistii!F$1)=0," ",SUMIFS(Data!$K:$K,Data!$A:$A,Vitezistii!$B114,Data!$C:$C,Vitezistii!F$1))+SUMIFS(Data!$S:$S,Data!$A:$A,Vitezistii!$B114,Data!$C:$C,Vitezistii!F$1),0)</f>
        <v>0</v>
      </c>
      <c r="G114" s="31">
        <f>IFERROR(IF(SUMIFS(Data!$K:$K,Data!$A:$A,Vitezistii!$B114,Data!$C:$C,Vitezistii!G$1)=0," ",SUMIFS(Data!$K:$K,Data!$A:$A,Vitezistii!$B114,Data!$C:$C,Vitezistii!G$1))+SUMIFS(Data!$S:$S,Data!$A:$A,Vitezistii!$B114,Data!$C:$C,Vitezistii!G$1),0)</f>
        <v>0</v>
      </c>
      <c r="H114" s="31">
        <f>IFERROR(IF(SUMIFS(Data!$K:$K,Data!$A:$A,Vitezistii!$B114,Data!$C:$C,Vitezistii!H$1)=0," ",SUMIFS(Data!$K:$K,Data!$A:$A,Vitezistii!$B114,Data!$C:$C,Vitezistii!H$1))+SUMIFS(Data!$S:$S,Data!$A:$A,Vitezistii!$B114,Data!$C:$C,Vitezistii!H$1),0)</f>
        <v>0</v>
      </c>
      <c r="I114" s="31">
        <f>IFERROR(IF(SUMIFS(Data!$K:$K,Data!$A:$A,Vitezistii!$B114,Data!$C:$C,Vitezistii!I$1)=0," ",SUMIFS(Data!$K:$K,Data!$A:$A,Vitezistii!$B114,Data!$C:$C,Vitezistii!I$1))+SUMIFS(Data!$S:$S,Data!$A:$A,Vitezistii!$B114,Data!$C:$C,Vitezistii!I$1),0)</f>
        <v>0</v>
      </c>
      <c r="J114" s="31">
        <f>IFERROR(IF(SUMIFS(Data!$K:$K,Data!$A:$A,Vitezistii!$B114,Data!$C:$C,Vitezistii!J$1)=0," ",SUMIFS(Data!$K:$K,Data!$A:$A,Vitezistii!$B114,Data!$C:$C,Vitezistii!J$1))+SUMIFS(Data!$S:$S,Data!$A:$A,Vitezistii!$B114,Data!$C:$C,Vitezistii!J$1),0)</f>
        <v>0.25</v>
      </c>
      <c r="K114" s="31">
        <f>IFERROR(IF(SUMIFS(Data!$K:$K,Data!$A:$A,Vitezistii!$B114,Data!$C:$C,Vitezistii!K$1)=0," ",SUMIFS(Data!$K:$K,Data!$A:$A,Vitezistii!$B114,Data!$C:$C,Vitezistii!K$1))+SUMIFS(Data!$S:$S,Data!$A:$A,Vitezistii!$B114,Data!$C:$C,Vitezistii!K$1),0)</f>
        <v>0.25</v>
      </c>
      <c r="L114" s="31">
        <f>IFERROR(IF(SUMIFS(Data!$K:$K,Data!$A:$A,Vitezistii!$B114,Data!$C:$C,Vitezistii!L$1)=0," ",SUMIFS(Data!$K:$K,Data!$A:$A,Vitezistii!$B114,Data!$C:$C,Vitezistii!L$1))+SUMIFS(Data!$S:$S,Data!$A:$A,Vitezistii!$B114,Data!$C:$C,Vitezistii!L$1),0)</f>
        <v>0</v>
      </c>
      <c r="M114" s="31">
        <f>IFERROR(IF(SUMIFS(Data!$K:$K,Data!$A:$A,Vitezistii!$B114,Data!$C:$C,Vitezistii!M$1)=0," ",SUMIFS(Data!$K:$K,Data!$A:$A,Vitezistii!$B114,Data!$C:$C,Vitezistii!M$1))+SUMIFS(Data!$S:$S,Data!$A:$A,Vitezistii!$B114,Data!$C:$C,Vitezistii!M$1),0)</f>
        <v>0</v>
      </c>
      <c r="N114" s="31">
        <f>IFERROR(IF(SUMIFS(Data!$K:$K,Data!$A:$A,Vitezistii!$B114,Data!$C:$C,Vitezistii!N$1)=0," ",SUMIFS(Data!$K:$K,Data!$A:$A,Vitezistii!$B114,Data!$C:$C,Vitezistii!N$1))+SUMIFS(Data!$S:$S,Data!$A:$A,Vitezistii!$B114,Data!$C:$C,Vitezistii!N$1),0)</f>
        <v>0</v>
      </c>
      <c r="O114" s="31">
        <f>IFERROR(IF(SUMIFS(Data!$K:$K,Data!$A:$A,Vitezistii!$B114,Data!$C:$C,Vitezistii!O$1)=0," ",SUMIFS(Data!$K:$K,Data!$A:$A,Vitezistii!$B114,Data!$C:$C,Vitezistii!O$1))+SUMIFS(Data!$S:$S,Data!$A:$A,Vitezistii!$B114,Data!$C:$C,Vitezistii!O$1),0)</f>
        <v>0</v>
      </c>
      <c r="P114" s="31">
        <f>IFERROR(IF(SUMIFS(Data!$K:$K,Data!$A:$A,Vitezistii!$B114,Data!$C:$C,Vitezistii!P$1)=0," ",SUMIFS(Data!$K:$K,Data!$A:$A,Vitezistii!$B114,Data!$C:$C,Vitezistii!P$1))+SUMIFS(Data!$S:$S,Data!$A:$A,Vitezistii!$B114,Data!$C:$C,Vitezistii!P$1),0)</f>
        <v>0</v>
      </c>
      <c r="Q114" s="31">
        <f>IFERROR(IF(SUMIFS(Data!$K:$K,Data!$A:$A,Vitezistii!$B114,Data!$C:$C,Vitezistii!Q$1)=0," ",SUMIFS(Data!$K:$K,Data!$A:$A,Vitezistii!$B114,Data!$C:$C,Vitezistii!Q$1))+SUMIFS(Data!$S:$S,Data!$A:$A,Vitezistii!$B114,Data!$C:$C,Vitezistii!Q$1),0)</f>
        <v>0</v>
      </c>
      <c r="R114" s="31">
        <f>SUM(C114:Q114)</f>
        <v>0.5</v>
      </c>
      <c r="S114" s="31">
        <f>SUMIFS(Data!D:D,Data!A:A,Vitezistii!B174)</f>
        <v>0</v>
      </c>
      <c r="T114" s="12">
        <f>SUMIFS(Data!I:I,Data!A:A,Vitezistii!B114)/COUNTIF(Data!A:A,Vitezistii!B114)</f>
        <v>7.0049578369494152E-3</v>
      </c>
    </row>
    <row r="115" spans="1:20" ht="13" x14ac:dyDescent="0.3">
      <c r="A115" s="79">
        <v>114</v>
      </c>
      <c r="B115" s="30" t="s">
        <v>338</v>
      </c>
      <c r="C115" s="31">
        <f>IFERROR(IF(SUMIFS(Data!$K:$K,Data!$A:$A,Vitezistii!$B115,Data!$C:$C,Vitezistii!C$1)=0," ",SUMIFS(Data!$K:$K,Data!$A:$A,Vitezistii!$B115,Data!$C:$C,Vitezistii!C$1))+SUMIFS(Data!$S:$S,Data!$A:$A,Vitezistii!$B115,Data!$C:$C,Vitezistii!C$1),0)</f>
        <v>0</v>
      </c>
      <c r="D115" s="31">
        <f>IFERROR(IF(SUMIFS(Data!$K:$K,Data!$A:$A,Vitezistii!$B115,Data!$C:$C,Vitezistii!D$1)=0," ",SUMIFS(Data!$K:$K,Data!$A:$A,Vitezistii!$B115,Data!$C:$C,Vitezistii!D$1))+SUMIFS(Data!$S:$S,Data!$A:$A,Vitezistii!$B115,Data!$C:$C,Vitezistii!D$1),0)</f>
        <v>0</v>
      </c>
      <c r="E115" s="31">
        <f>IFERROR(IF(SUMIFS(Data!$K:$K,Data!$A:$A,Vitezistii!$B115,Data!$C:$C,Vitezistii!E$1)=0," ",SUMIFS(Data!$K:$K,Data!$A:$A,Vitezistii!$B115,Data!$C:$C,Vitezistii!E$1))+SUMIFS(Data!$S:$S,Data!$A:$A,Vitezistii!$B115,Data!$C:$C,Vitezistii!E$1),0)</f>
        <v>0</v>
      </c>
      <c r="F115" s="31">
        <f>IFERROR(IF(SUMIFS(Data!$K:$K,Data!$A:$A,Vitezistii!$B115,Data!$C:$C,Vitezistii!F$1)=0," ",SUMIFS(Data!$K:$K,Data!$A:$A,Vitezistii!$B115,Data!$C:$C,Vitezistii!F$1))+SUMIFS(Data!$S:$S,Data!$A:$A,Vitezistii!$B115,Data!$C:$C,Vitezistii!F$1),0)</f>
        <v>0</v>
      </c>
      <c r="G115" s="31">
        <f>IFERROR(IF(SUMIFS(Data!$K:$K,Data!$A:$A,Vitezistii!$B115,Data!$C:$C,Vitezistii!G$1)=0," ",SUMIFS(Data!$K:$K,Data!$A:$A,Vitezistii!$B115,Data!$C:$C,Vitezistii!G$1))+SUMIFS(Data!$S:$S,Data!$A:$A,Vitezistii!$B115,Data!$C:$C,Vitezistii!G$1),0)</f>
        <v>0</v>
      </c>
      <c r="H115" s="31">
        <f>IFERROR(IF(SUMIFS(Data!$K:$K,Data!$A:$A,Vitezistii!$B115,Data!$C:$C,Vitezistii!H$1)=0," ",SUMIFS(Data!$K:$K,Data!$A:$A,Vitezistii!$B115,Data!$C:$C,Vitezistii!H$1))+SUMIFS(Data!$S:$S,Data!$A:$A,Vitezistii!$B115,Data!$C:$C,Vitezistii!H$1),0)</f>
        <v>0</v>
      </c>
      <c r="I115" s="31">
        <f>IFERROR(IF(SUMIFS(Data!$K:$K,Data!$A:$A,Vitezistii!$B115,Data!$C:$C,Vitezistii!I$1)=0," ",SUMIFS(Data!$K:$K,Data!$A:$A,Vitezistii!$B115,Data!$C:$C,Vitezistii!I$1))+SUMIFS(Data!$S:$S,Data!$A:$A,Vitezistii!$B115,Data!$C:$C,Vitezistii!I$1),0)</f>
        <v>0</v>
      </c>
      <c r="J115" s="31">
        <f>IFERROR(IF(SUMIFS(Data!$K:$K,Data!$A:$A,Vitezistii!$B115,Data!$C:$C,Vitezistii!J$1)=0," ",SUMIFS(Data!$K:$K,Data!$A:$A,Vitezistii!$B115,Data!$C:$C,Vitezistii!J$1))+SUMIFS(Data!$S:$S,Data!$A:$A,Vitezistii!$B115,Data!$C:$C,Vitezistii!J$1),0)</f>
        <v>0</v>
      </c>
      <c r="K115" s="31">
        <f>IFERROR(IF(SUMIFS(Data!$K:$K,Data!$A:$A,Vitezistii!$B115,Data!$C:$C,Vitezistii!K$1)=0," ",SUMIFS(Data!$K:$K,Data!$A:$A,Vitezistii!$B115,Data!$C:$C,Vitezistii!K$1))+SUMIFS(Data!$S:$S,Data!$A:$A,Vitezistii!$B115,Data!$C:$C,Vitezistii!K$1),0)</f>
        <v>0</v>
      </c>
      <c r="L115" s="31">
        <f>IFERROR(IF(SUMIFS(Data!$K:$K,Data!$A:$A,Vitezistii!$B115,Data!$C:$C,Vitezistii!L$1)=0," ",SUMIFS(Data!$K:$K,Data!$A:$A,Vitezistii!$B115,Data!$C:$C,Vitezistii!L$1))+SUMIFS(Data!$S:$S,Data!$A:$A,Vitezistii!$B115,Data!$C:$C,Vitezistii!L$1),0)</f>
        <v>0</v>
      </c>
      <c r="M115" s="31">
        <f>IFERROR(IF(SUMIFS(Data!$K:$K,Data!$A:$A,Vitezistii!$B115,Data!$C:$C,Vitezistii!M$1)=0," ",SUMIFS(Data!$K:$K,Data!$A:$A,Vitezistii!$B115,Data!$C:$C,Vitezistii!M$1))+SUMIFS(Data!$S:$S,Data!$A:$A,Vitezistii!$B115,Data!$C:$C,Vitezistii!M$1),0)</f>
        <v>0</v>
      </c>
      <c r="N115" s="31">
        <f>IFERROR(IF(SUMIFS(Data!$K:$K,Data!$A:$A,Vitezistii!$B115,Data!$C:$C,Vitezistii!N$1)=0," ",SUMIFS(Data!$K:$K,Data!$A:$A,Vitezistii!$B115,Data!$C:$C,Vitezistii!N$1))+SUMIFS(Data!$S:$S,Data!$A:$A,Vitezistii!$B115,Data!$C:$C,Vitezistii!N$1),0)</f>
        <v>0</v>
      </c>
      <c r="O115" s="31">
        <f>IFERROR(IF(SUMIFS(Data!$K:$K,Data!$A:$A,Vitezistii!$B115,Data!$C:$C,Vitezistii!O$1)=0," ",SUMIFS(Data!$K:$K,Data!$A:$A,Vitezistii!$B115,Data!$C:$C,Vitezistii!O$1))+SUMIFS(Data!$S:$S,Data!$A:$A,Vitezistii!$B115,Data!$C:$C,Vitezistii!O$1),0)</f>
        <v>0</v>
      </c>
      <c r="P115" s="31">
        <f>IFERROR(IF(SUMIFS(Data!$K:$K,Data!$A:$A,Vitezistii!$B115,Data!$C:$C,Vitezistii!P$1)=0," ",SUMIFS(Data!$K:$K,Data!$A:$A,Vitezistii!$B115,Data!$C:$C,Vitezistii!P$1))+SUMIFS(Data!$S:$S,Data!$A:$A,Vitezistii!$B115,Data!$C:$C,Vitezistii!P$1),0)</f>
        <v>0</v>
      </c>
      <c r="Q115" s="31">
        <f>IFERROR(IF(SUMIFS(Data!$K:$K,Data!$A:$A,Vitezistii!$B115,Data!$C:$C,Vitezistii!Q$1)=0," ",SUMIFS(Data!$K:$K,Data!$A:$A,Vitezistii!$B115,Data!$C:$C,Vitezistii!Q$1))+SUMIFS(Data!$S:$S,Data!$A:$A,Vitezistii!$B115,Data!$C:$C,Vitezistii!Q$1),0)</f>
        <v>0</v>
      </c>
      <c r="R115" s="31">
        <f>SUM(C115:Q115)</f>
        <v>0</v>
      </c>
      <c r="S115" s="31">
        <f>SUMIFS(Data!D:D,Data!A:A,Vitezistii!B175)</f>
        <v>0</v>
      </c>
      <c r="T115" s="12">
        <f>SUMIFS(Data!I:I,Data!A:A,Vitezistii!B115)/COUNTIF(Data!A:A,Vitezistii!B115)</f>
        <v>1.1554060038699479E-2</v>
      </c>
    </row>
    <row r="116" spans="1:20" ht="13" x14ac:dyDescent="0.3">
      <c r="A116" s="79">
        <v>115</v>
      </c>
      <c r="B116" s="30" t="s">
        <v>78</v>
      </c>
      <c r="C116" s="31">
        <f>IFERROR(IF(SUMIFS(Data!$K:$K,Data!$A:$A,Vitezistii!$B116,Data!$C:$C,Vitezistii!C$1)=0," ",SUMIFS(Data!$K:$K,Data!$A:$A,Vitezistii!$B116,Data!$C:$C,Vitezistii!C$1))+SUMIFS(Data!$S:$S,Data!$A:$A,Vitezistii!$B116,Data!$C:$C,Vitezistii!C$1),0)</f>
        <v>0</v>
      </c>
      <c r="D116" s="31">
        <f>IFERROR(IF(SUMIFS(Data!$K:$K,Data!$A:$A,Vitezistii!$B116,Data!$C:$C,Vitezistii!D$1)=0," ",SUMIFS(Data!$K:$K,Data!$A:$A,Vitezistii!$B116,Data!$C:$C,Vitezistii!D$1))+SUMIFS(Data!$S:$S,Data!$A:$A,Vitezistii!$B116,Data!$C:$C,Vitezistii!D$1),0)</f>
        <v>0</v>
      </c>
      <c r="E116" s="31">
        <f>IFERROR(IF(SUMIFS(Data!$K:$K,Data!$A:$A,Vitezistii!$B116,Data!$C:$C,Vitezistii!E$1)=0," ",SUMIFS(Data!$K:$K,Data!$A:$A,Vitezistii!$B116,Data!$C:$C,Vitezistii!E$1))+SUMIFS(Data!$S:$S,Data!$A:$A,Vitezistii!$B116,Data!$C:$C,Vitezistii!E$1),0)</f>
        <v>0</v>
      </c>
      <c r="F116" s="31">
        <f>IFERROR(IF(SUMIFS(Data!$K:$K,Data!$A:$A,Vitezistii!$B116,Data!$C:$C,Vitezistii!F$1)=0," ",SUMIFS(Data!$K:$K,Data!$A:$A,Vitezistii!$B116,Data!$C:$C,Vitezistii!F$1))+SUMIFS(Data!$S:$S,Data!$A:$A,Vitezistii!$B116,Data!$C:$C,Vitezistii!F$1),0)</f>
        <v>0</v>
      </c>
      <c r="G116" s="31">
        <f>IFERROR(IF(SUMIFS(Data!$K:$K,Data!$A:$A,Vitezistii!$B116,Data!$C:$C,Vitezistii!G$1)=0," ",SUMIFS(Data!$K:$K,Data!$A:$A,Vitezistii!$B116,Data!$C:$C,Vitezistii!G$1))+SUMIFS(Data!$S:$S,Data!$A:$A,Vitezistii!$B116,Data!$C:$C,Vitezistii!G$1),0)</f>
        <v>0</v>
      </c>
      <c r="H116" s="31">
        <f>IFERROR(IF(SUMIFS(Data!$K:$K,Data!$A:$A,Vitezistii!$B116,Data!$C:$C,Vitezistii!H$1)=0," ",SUMIFS(Data!$K:$K,Data!$A:$A,Vitezistii!$B116,Data!$C:$C,Vitezistii!H$1))+SUMIFS(Data!$S:$S,Data!$A:$A,Vitezistii!$B116,Data!$C:$C,Vitezistii!H$1),0)</f>
        <v>0</v>
      </c>
      <c r="I116" s="31">
        <f>IFERROR(IF(SUMIFS(Data!$K:$K,Data!$A:$A,Vitezistii!$B116,Data!$C:$C,Vitezistii!I$1)=0," ",SUMIFS(Data!$K:$K,Data!$A:$A,Vitezistii!$B116,Data!$C:$C,Vitezistii!I$1))+SUMIFS(Data!$S:$S,Data!$A:$A,Vitezistii!$B116,Data!$C:$C,Vitezistii!I$1),0)</f>
        <v>0</v>
      </c>
      <c r="J116" s="31">
        <f>IFERROR(IF(SUMIFS(Data!$K:$K,Data!$A:$A,Vitezistii!$B116,Data!$C:$C,Vitezistii!J$1)=0," ",SUMIFS(Data!$K:$K,Data!$A:$A,Vitezistii!$B116,Data!$C:$C,Vitezistii!J$1))+SUMIFS(Data!$S:$S,Data!$A:$A,Vitezistii!$B116,Data!$C:$C,Vitezistii!J$1),0)</f>
        <v>0</v>
      </c>
      <c r="K116" s="31">
        <f>IFERROR(IF(SUMIFS(Data!$K:$K,Data!$A:$A,Vitezistii!$B116,Data!$C:$C,Vitezistii!K$1)=0," ",SUMIFS(Data!$K:$K,Data!$A:$A,Vitezistii!$B116,Data!$C:$C,Vitezistii!K$1))+SUMIFS(Data!$S:$S,Data!$A:$A,Vitezistii!$B116,Data!$C:$C,Vitezistii!K$1),0)</f>
        <v>0</v>
      </c>
      <c r="L116" s="31">
        <f>IFERROR(IF(SUMIFS(Data!$K:$K,Data!$A:$A,Vitezistii!$B116,Data!$C:$C,Vitezistii!L$1)=0," ",SUMIFS(Data!$K:$K,Data!$A:$A,Vitezistii!$B116,Data!$C:$C,Vitezistii!L$1))+SUMIFS(Data!$S:$S,Data!$A:$A,Vitezistii!$B116,Data!$C:$C,Vitezistii!L$1),0)</f>
        <v>0</v>
      </c>
      <c r="M116" s="31">
        <f>IFERROR(IF(SUMIFS(Data!$K:$K,Data!$A:$A,Vitezistii!$B116,Data!$C:$C,Vitezistii!M$1)=0," ",SUMIFS(Data!$K:$K,Data!$A:$A,Vitezistii!$B116,Data!$C:$C,Vitezistii!M$1))+SUMIFS(Data!$S:$S,Data!$A:$A,Vitezistii!$B116,Data!$C:$C,Vitezistii!M$1),0)</f>
        <v>0</v>
      </c>
      <c r="N116" s="31">
        <f>IFERROR(IF(SUMIFS(Data!$K:$K,Data!$A:$A,Vitezistii!$B116,Data!$C:$C,Vitezistii!N$1)=0," ",SUMIFS(Data!$K:$K,Data!$A:$A,Vitezistii!$B116,Data!$C:$C,Vitezistii!N$1))+SUMIFS(Data!$S:$S,Data!$A:$A,Vitezistii!$B116,Data!$C:$C,Vitezistii!N$1),0)</f>
        <v>0</v>
      </c>
      <c r="O116" s="31">
        <f>IFERROR(IF(SUMIFS(Data!$K:$K,Data!$A:$A,Vitezistii!$B116,Data!$C:$C,Vitezistii!O$1)=0," ",SUMIFS(Data!$K:$K,Data!$A:$A,Vitezistii!$B116,Data!$C:$C,Vitezistii!O$1))+SUMIFS(Data!$S:$S,Data!$A:$A,Vitezistii!$B116,Data!$C:$C,Vitezistii!O$1),0)</f>
        <v>0</v>
      </c>
      <c r="P116" s="31">
        <f>IFERROR(IF(SUMIFS(Data!$K:$K,Data!$A:$A,Vitezistii!$B116,Data!$C:$C,Vitezistii!P$1)=0," ",SUMIFS(Data!$K:$K,Data!$A:$A,Vitezistii!$B116,Data!$C:$C,Vitezistii!P$1))+SUMIFS(Data!$S:$S,Data!$A:$A,Vitezistii!$B116,Data!$C:$C,Vitezistii!P$1),0)</f>
        <v>0</v>
      </c>
      <c r="Q116" s="31">
        <f>IFERROR(IF(SUMIFS(Data!$K:$K,Data!$A:$A,Vitezistii!$B116,Data!$C:$C,Vitezistii!Q$1)=0," ",SUMIFS(Data!$K:$K,Data!$A:$A,Vitezistii!$B116,Data!$C:$C,Vitezistii!Q$1))+SUMIFS(Data!$S:$S,Data!$A:$A,Vitezistii!$B116,Data!$C:$C,Vitezistii!Q$1),0)</f>
        <v>0</v>
      </c>
      <c r="R116" s="31">
        <f>SUM(C116:Q116)</f>
        <v>0</v>
      </c>
      <c r="S116" s="31">
        <f>SUMIFS(Data!D:D,Data!A:A,Vitezistii!B176)</f>
        <v>0</v>
      </c>
      <c r="T116" s="12">
        <f>SUMIFS(Data!I:I,Data!A:A,Vitezistii!B116)/COUNTIF(Data!A:A,Vitezistii!B116)</f>
        <v>8.9696895546132159E-3</v>
      </c>
    </row>
    <row r="117" spans="1:20" ht="13" x14ac:dyDescent="0.3">
      <c r="A117" s="79">
        <v>116</v>
      </c>
      <c r="B117" s="30" t="s">
        <v>393</v>
      </c>
      <c r="C117" s="31">
        <f>IFERROR(IF(SUMIFS(Data!$K:$K,Data!$A:$A,Vitezistii!$B117,Data!$C:$C,Vitezistii!C$1)=0," ",SUMIFS(Data!$K:$K,Data!$A:$A,Vitezistii!$B117,Data!$C:$C,Vitezistii!C$1))+SUMIFS(Data!$S:$S,Data!$A:$A,Vitezistii!$B117,Data!$C:$C,Vitezistii!C$1),0)</f>
        <v>0</v>
      </c>
      <c r="D117" s="31">
        <f>IFERROR(IF(SUMIFS(Data!$K:$K,Data!$A:$A,Vitezistii!$B117,Data!$C:$C,Vitezistii!D$1)=0," ",SUMIFS(Data!$K:$K,Data!$A:$A,Vitezistii!$B117,Data!$C:$C,Vitezistii!D$1))+SUMIFS(Data!$S:$S,Data!$A:$A,Vitezistii!$B117,Data!$C:$C,Vitezistii!D$1),0)</f>
        <v>0</v>
      </c>
      <c r="E117" s="31">
        <f>IFERROR(IF(SUMIFS(Data!$K:$K,Data!$A:$A,Vitezistii!$B117,Data!$C:$C,Vitezistii!E$1)=0," ",SUMIFS(Data!$K:$K,Data!$A:$A,Vitezistii!$B117,Data!$C:$C,Vitezistii!E$1))+SUMIFS(Data!$S:$S,Data!$A:$A,Vitezistii!$B117,Data!$C:$C,Vitezistii!E$1),0)</f>
        <v>0</v>
      </c>
      <c r="F117" s="31">
        <f>IFERROR(IF(SUMIFS(Data!$K:$K,Data!$A:$A,Vitezistii!$B117,Data!$C:$C,Vitezistii!F$1)=0," ",SUMIFS(Data!$K:$K,Data!$A:$A,Vitezistii!$B117,Data!$C:$C,Vitezistii!F$1))+SUMIFS(Data!$S:$S,Data!$A:$A,Vitezistii!$B117,Data!$C:$C,Vitezistii!F$1),0)</f>
        <v>0</v>
      </c>
      <c r="G117" s="31">
        <f>IFERROR(IF(SUMIFS(Data!$K:$K,Data!$A:$A,Vitezistii!$B117,Data!$C:$C,Vitezistii!G$1)=0," ",SUMIFS(Data!$K:$K,Data!$A:$A,Vitezistii!$B117,Data!$C:$C,Vitezistii!G$1))+SUMIFS(Data!$S:$S,Data!$A:$A,Vitezistii!$B117,Data!$C:$C,Vitezistii!G$1),0)</f>
        <v>0</v>
      </c>
      <c r="H117" s="31">
        <f>IFERROR(IF(SUMIFS(Data!$K:$K,Data!$A:$A,Vitezistii!$B117,Data!$C:$C,Vitezistii!H$1)=0," ",SUMIFS(Data!$K:$K,Data!$A:$A,Vitezistii!$B117,Data!$C:$C,Vitezistii!H$1))+SUMIFS(Data!$S:$S,Data!$A:$A,Vitezistii!$B117,Data!$C:$C,Vitezistii!H$1),0)</f>
        <v>0</v>
      </c>
      <c r="I117" s="31">
        <f>IFERROR(IF(SUMIFS(Data!$K:$K,Data!$A:$A,Vitezistii!$B117,Data!$C:$C,Vitezistii!I$1)=0," ",SUMIFS(Data!$K:$K,Data!$A:$A,Vitezistii!$B117,Data!$C:$C,Vitezistii!I$1))+SUMIFS(Data!$S:$S,Data!$A:$A,Vitezistii!$B117,Data!$C:$C,Vitezistii!I$1),0)</f>
        <v>0</v>
      </c>
      <c r="J117" s="31">
        <f>IFERROR(IF(SUMIFS(Data!$K:$K,Data!$A:$A,Vitezistii!$B117,Data!$C:$C,Vitezistii!J$1)=0," ",SUMIFS(Data!$K:$K,Data!$A:$A,Vitezistii!$B117,Data!$C:$C,Vitezistii!J$1))+SUMIFS(Data!$S:$S,Data!$A:$A,Vitezistii!$B117,Data!$C:$C,Vitezistii!J$1),0)</f>
        <v>0</v>
      </c>
      <c r="K117" s="31">
        <f>IFERROR(IF(SUMIFS(Data!$K:$K,Data!$A:$A,Vitezistii!$B117,Data!$C:$C,Vitezistii!K$1)=0," ",SUMIFS(Data!$K:$K,Data!$A:$A,Vitezistii!$B117,Data!$C:$C,Vitezistii!K$1))+SUMIFS(Data!$S:$S,Data!$A:$A,Vitezistii!$B117,Data!$C:$C,Vitezistii!K$1),0)</f>
        <v>0</v>
      </c>
      <c r="L117" s="31">
        <f>IFERROR(IF(SUMIFS(Data!$K:$K,Data!$A:$A,Vitezistii!$B117,Data!$C:$C,Vitezistii!L$1)=0," ",SUMIFS(Data!$K:$K,Data!$A:$A,Vitezistii!$B117,Data!$C:$C,Vitezistii!L$1))+SUMIFS(Data!$S:$S,Data!$A:$A,Vitezistii!$B117,Data!$C:$C,Vitezistii!L$1),0)</f>
        <v>0</v>
      </c>
      <c r="M117" s="31">
        <f>IFERROR(IF(SUMIFS(Data!$K:$K,Data!$A:$A,Vitezistii!$B117,Data!$C:$C,Vitezistii!M$1)=0," ",SUMIFS(Data!$K:$K,Data!$A:$A,Vitezistii!$B117,Data!$C:$C,Vitezistii!M$1))+SUMIFS(Data!$S:$S,Data!$A:$A,Vitezistii!$B117,Data!$C:$C,Vitezistii!M$1),0)</f>
        <v>0</v>
      </c>
      <c r="N117" s="31">
        <f>IFERROR(IF(SUMIFS(Data!$K:$K,Data!$A:$A,Vitezistii!$B117,Data!$C:$C,Vitezistii!N$1)=0," ",SUMIFS(Data!$K:$K,Data!$A:$A,Vitezistii!$B117,Data!$C:$C,Vitezistii!N$1))+SUMIFS(Data!$S:$S,Data!$A:$A,Vitezistii!$B117,Data!$C:$C,Vitezistii!N$1),0)</f>
        <v>0</v>
      </c>
      <c r="O117" s="31">
        <f>IFERROR(IF(SUMIFS(Data!$K:$K,Data!$A:$A,Vitezistii!$B117,Data!$C:$C,Vitezistii!O$1)=0," ",SUMIFS(Data!$K:$K,Data!$A:$A,Vitezistii!$B117,Data!$C:$C,Vitezistii!O$1))+SUMIFS(Data!$S:$S,Data!$A:$A,Vitezistii!$B117,Data!$C:$C,Vitezistii!O$1),0)</f>
        <v>0</v>
      </c>
      <c r="P117" s="31">
        <f>IFERROR(IF(SUMIFS(Data!$K:$K,Data!$A:$A,Vitezistii!$B117,Data!$C:$C,Vitezistii!P$1)=0," ",SUMIFS(Data!$K:$K,Data!$A:$A,Vitezistii!$B117,Data!$C:$C,Vitezistii!P$1))+SUMIFS(Data!$S:$S,Data!$A:$A,Vitezistii!$B117,Data!$C:$C,Vitezistii!P$1),0)</f>
        <v>0</v>
      </c>
      <c r="Q117" s="31">
        <f>IFERROR(IF(SUMIFS(Data!$K:$K,Data!$A:$A,Vitezistii!$B117,Data!$C:$C,Vitezistii!Q$1)=0," ",SUMIFS(Data!$K:$K,Data!$A:$A,Vitezistii!$B117,Data!$C:$C,Vitezistii!Q$1))+SUMIFS(Data!$S:$S,Data!$A:$A,Vitezistii!$B117,Data!$C:$C,Vitezistii!Q$1),0)</f>
        <v>0</v>
      </c>
      <c r="R117" s="31">
        <f>SUM(C117:Q117)</f>
        <v>0</v>
      </c>
      <c r="S117" s="31">
        <f>SUMIFS(Data!D:D,Data!A:A,Vitezistii!B177)</f>
        <v>0</v>
      </c>
      <c r="T117" s="12">
        <f>SUMIFS(Data!I:I,Data!A:A,Vitezistii!B117)/COUNTIF(Data!A:A,Vitezistii!B117)</f>
        <v>6.3768427861415518E-3</v>
      </c>
    </row>
    <row r="118" spans="1:20" ht="13" x14ac:dyDescent="0.3">
      <c r="A118" s="79">
        <v>117</v>
      </c>
      <c r="B118" s="30" t="s">
        <v>384</v>
      </c>
      <c r="C118" s="31">
        <f>IFERROR(IF(SUMIFS(Data!$K:$K,Data!$A:$A,Vitezistii!$B118,Data!$C:$C,Vitezistii!C$1)=0," ",SUMIFS(Data!$K:$K,Data!$A:$A,Vitezistii!$B118,Data!$C:$C,Vitezistii!C$1))+SUMIFS(Data!$S:$S,Data!$A:$A,Vitezistii!$B118,Data!$C:$C,Vitezistii!C$1),0)</f>
        <v>0</v>
      </c>
      <c r="D118" s="31">
        <f>IFERROR(IF(SUMIFS(Data!$K:$K,Data!$A:$A,Vitezistii!$B118,Data!$C:$C,Vitezistii!D$1)=0," ",SUMIFS(Data!$K:$K,Data!$A:$A,Vitezistii!$B118,Data!$C:$C,Vitezistii!D$1))+SUMIFS(Data!$S:$S,Data!$A:$A,Vitezistii!$B118,Data!$C:$C,Vitezistii!D$1),0)</f>
        <v>0</v>
      </c>
      <c r="E118" s="31">
        <f>IFERROR(IF(SUMIFS(Data!$K:$K,Data!$A:$A,Vitezistii!$B118,Data!$C:$C,Vitezistii!E$1)=0," ",SUMIFS(Data!$K:$K,Data!$A:$A,Vitezistii!$B118,Data!$C:$C,Vitezistii!E$1))+SUMIFS(Data!$S:$S,Data!$A:$A,Vitezistii!$B118,Data!$C:$C,Vitezistii!E$1),0)</f>
        <v>0</v>
      </c>
      <c r="F118" s="31">
        <f>IFERROR(IF(SUMIFS(Data!$K:$K,Data!$A:$A,Vitezistii!$B118,Data!$C:$C,Vitezistii!F$1)=0," ",SUMIFS(Data!$K:$K,Data!$A:$A,Vitezistii!$B118,Data!$C:$C,Vitezistii!F$1))+SUMIFS(Data!$S:$S,Data!$A:$A,Vitezistii!$B118,Data!$C:$C,Vitezistii!F$1),0)</f>
        <v>0</v>
      </c>
      <c r="G118" s="31">
        <f>IFERROR(IF(SUMIFS(Data!$K:$K,Data!$A:$A,Vitezistii!$B118,Data!$C:$C,Vitezistii!G$1)=0," ",SUMIFS(Data!$K:$K,Data!$A:$A,Vitezistii!$B118,Data!$C:$C,Vitezistii!G$1))+SUMIFS(Data!$S:$S,Data!$A:$A,Vitezistii!$B118,Data!$C:$C,Vitezistii!G$1),0)</f>
        <v>0</v>
      </c>
      <c r="H118" s="31">
        <f>IFERROR(IF(SUMIFS(Data!$K:$K,Data!$A:$A,Vitezistii!$B118,Data!$C:$C,Vitezistii!H$1)=0," ",SUMIFS(Data!$K:$K,Data!$A:$A,Vitezistii!$B118,Data!$C:$C,Vitezistii!H$1))+SUMIFS(Data!$S:$S,Data!$A:$A,Vitezistii!$B118,Data!$C:$C,Vitezistii!H$1),0)</f>
        <v>0</v>
      </c>
      <c r="I118" s="31">
        <f>IFERROR(IF(SUMIFS(Data!$K:$K,Data!$A:$A,Vitezistii!$B118,Data!$C:$C,Vitezistii!I$1)=0," ",SUMIFS(Data!$K:$K,Data!$A:$A,Vitezistii!$B118,Data!$C:$C,Vitezistii!I$1))+SUMIFS(Data!$S:$S,Data!$A:$A,Vitezistii!$B118,Data!$C:$C,Vitezistii!I$1),0)</f>
        <v>0</v>
      </c>
      <c r="J118" s="31">
        <f>IFERROR(IF(SUMIFS(Data!$K:$K,Data!$A:$A,Vitezistii!$B118,Data!$C:$C,Vitezistii!J$1)=0," ",SUMIFS(Data!$K:$K,Data!$A:$A,Vitezistii!$B118,Data!$C:$C,Vitezistii!J$1))+SUMIFS(Data!$S:$S,Data!$A:$A,Vitezistii!$B118,Data!$C:$C,Vitezistii!J$1),0)</f>
        <v>0</v>
      </c>
      <c r="K118" s="31">
        <f>IFERROR(IF(SUMIFS(Data!$K:$K,Data!$A:$A,Vitezistii!$B118,Data!$C:$C,Vitezistii!K$1)=0," ",SUMIFS(Data!$K:$K,Data!$A:$A,Vitezistii!$B118,Data!$C:$C,Vitezistii!K$1))+SUMIFS(Data!$S:$S,Data!$A:$A,Vitezistii!$B118,Data!$C:$C,Vitezistii!K$1),0)</f>
        <v>0</v>
      </c>
      <c r="L118" s="31">
        <f>IFERROR(IF(SUMIFS(Data!$K:$K,Data!$A:$A,Vitezistii!$B118,Data!$C:$C,Vitezistii!L$1)=0," ",SUMIFS(Data!$K:$K,Data!$A:$A,Vitezistii!$B118,Data!$C:$C,Vitezistii!L$1))+SUMIFS(Data!$S:$S,Data!$A:$A,Vitezistii!$B118,Data!$C:$C,Vitezistii!L$1),0)</f>
        <v>0</v>
      </c>
      <c r="M118" s="31">
        <f>IFERROR(IF(SUMIFS(Data!$K:$K,Data!$A:$A,Vitezistii!$B118,Data!$C:$C,Vitezistii!M$1)=0," ",SUMIFS(Data!$K:$K,Data!$A:$A,Vitezistii!$B118,Data!$C:$C,Vitezistii!M$1))+SUMIFS(Data!$S:$S,Data!$A:$A,Vitezistii!$B118,Data!$C:$C,Vitezistii!M$1),0)</f>
        <v>0</v>
      </c>
      <c r="N118" s="31">
        <f>IFERROR(IF(SUMIFS(Data!$K:$K,Data!$A:$A,Vitezistii!$B118,Data!$C:$C,Vitezistii!N$1)=0," ",SUMIFS(Data!$K:$K,Data!$A:$A,Vitezistii!$B118,Data!$C:$C,Vitezistii!N$1))+SUMIFS(Data!$S:$S,Data!$A:$A,Vitezistii!$B118,Data!$C:$C,Vitezistii!N$1),0)</f>
        <v>0</v>
      </c>
      <c r="O118" s="31">
        <f>IFERROR(IF(SUMIFS(Data!$K:$K,Data!$A:$A,Vitezistii!$B118,Data!$C:$C,Vitezistii!O$1)=0," ",SUMIFS(Data!$K:$K,Data!$A:$A,Vitezistii!$B118,Data!$C:$C,Vitezistii!O$1))+SUMIFS(Data!$S:$S,Data!$A:$A,Vitezistii!$B118,Data!$C:$C,Vitezistii!O$1),0)</f>
        <v>0</v>
      </c>
      <c r="P118" s="31">
        <f>IFERROR(IF(SUMIFS(Data!$K:$K,Data!$A:$A,Vitezistii!$B118,Data!$C:$C,Vitezistii!P$1)=0," ",SUMIFS(Data!$K:$K,Data!$A:$A,Vitezistii!$B118,Data!$C:$C,Vitezistii!P$1))+SUMIFS(Data!$S:$S,Data!$A:$A,Vitezistii!$B118,Data!$C:$C,Vitezistii!P$1),0)</f>
        <v>0</v>
      </c>
      <c r="Q118" s="31">
        <f>IFERROR(IF(SUMIFS(Data!$K:$K,Data!$A:$A,Vitezistii!$B118,Data!$C:$C,Vitezistii!Q$1)=0," ",SUMIFS(Data!$K:$K,Data!$A:$A,Vitezistii!$B118,Data!$C:$C,Vitezistii!Q$1))+SUMIFS(Data!$S:$S,Data!$A:$A,Vitezistii!$B118,Data!$C:$C,Vitezistii!Q$1),0)</f>
        <v>0</v>
      </c>
      <c r="R118" s="31">
        <f>SUM(C118:Q118)</f>
        <v>0</v>
      </c>
      <c r="S118" s="31">
        <f>SUMIFS(Data!D:D,Data!A:A,Vitezistii!B178)</f>
        <v>0</v>
      </c>
      <c r="T118" s="12">
        <f>SUMIFS(Data!I:I,Data!A:A,Vitezistii!B118)/COUNTIF(Data!A:A,Vitezistii!B118)</f>
        <v>5.633784960862925E-3</v>
      </c>
    </row>
  </sheetData>
  <autoFilter ref="A1:T96" xr:uid="{00000000-0009-0000-0000-00000B000000}">
    <sortState xmlns:xlrd2="http://schemas.microsoft.com/office/spreadsheetml/2017/richdata2" ref="A2:T118">
      <sortCondition descending="1" ref="R1:R96"/>
    </sortState>
  </autoFilter>
  <sortState xmlns:xlrd2="http://schemas.microsoft.com/office/spreadsheetml/2017/richdata2" ref="B2:S118">
    <sortCondition descending="1" ref="R2:R118"/>
    <sortCondition descending="1" ref="S2:S118"/>
  </sortState>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65729-3F91-4A38-BF9E-A3720CC65BFF}">
  <sheetPr>
    <tabColor rgb="FF002060"/>
  </sheetPr>
  <dimension ref="A1:R118"/>
  <sheetViews>
    <sheetView workbookViewId="0">
      <selection activeCell="B2" sqref="B2"/>
    </sheetView>
  </sheetViews>
  <sheetFormatPr defaultRowHeight="14.5" x14ac:dyDescent="0.35"/>
  <cols>
    <col min="1" max="1" width="7.81640625" style="80" customWidth="1"/>
    <col min="2" max="2" width="23" style="23" bestFit="1" customWidth="1"/>
    <col min="3" max="11" width="4.1796875" style="24" bestFit="1" customWidth="1"/>
    <col min="12" max="17" width="5.1796875" style="24" bestFit="1" customWidth="1"/>
    <col min="18" max="18" width="10.26953125" style="24" bestFit="1" customWidth="1"/>
  </cols>
  <sheetData>
    <row r="1" spans="1:18" x14ac:dyDescent="0.35">
      <c r="A1" s="78" t="s">
        <v>67</v>
      </c>
      <c r="B1" s="28" t="s">
        <v>31</v>
      </c>
      <c r="C1" s="36">
        <v>1</v>
      </c>
      <c r="D1" s="36">
        <v>2</v>
      </c>
      <c r="E1" s="36">
        <v>3</v>
      </c>
      <c r="F1" s="36">
        <v>4</v>
      </c>
      <c r="G1" s="36">
        <v>5</v>
      </c>
      <c r="H1" s="36">
        <v>6</v>
      </c>
      <c r="I1" s="36">
        <v>7</v>
      </c>
      <c r="J1" s="36">
        <v>8</v>
      </c>
      <c r="K1" s="36">
        <v>9</v>
      </c>
      <c r="L1" s="36">
        <v>10</v>
      </c>
      <c r="M1" s="36">
        <v>11</v>
      </c>
      <c r="N1" s="36">
        <v>12</v>
      </c>
      <c r="O1" s="36">
        <v>13</v>
      </c>
      <c r="P1" s="36">
        <v>14</v>
      </c>
      <c r="Q1" s="36">
        <v>15</v>
      </c>
      <c r="R1" s="29" t="s">
        <v>69</v>
      </c>
    </row>
    <row r="2" spans="1:18" x14ac:dyDescent="0.35">
      <c r="A2" s="79">
        <v>1</v>
      </c>
      <c r="B2" s="30" t="s">
        <v>283</v>
      </c>
      <c r="C2" s="31">
        <f>IF(SUMIFS(Data!$L:$L,Data!$A:$A,$B2,Data!$C:$C,C$1)=0,"",SUMIFS(Data!$L:$L,Data!$A:$A,$B2,Data!$C:$C,C$1))</f>
        <v>4.5</v>
      </c>
      <c r="D2" s="31">
        <f>IF(SUMIFS(Data!$L:$L,Data!$A:$A,$B2,Data!$C:$C,D$1)=0,"",SUMIFS(Data!$L:$L,Data!$A:$A,$B2,Data!$C:$C,D$1))</f>
        <v>3</v>
      </c>
      <c r="E2" s="31">
        <f>IF(SUMIFS(Data!$L:$L,Data!$A:$A,$B2,Data!$C:$C,E$1)=0,"",SUMIFS(Data!$L:$L,Data!$A:$A,$B2,Data!$C:$C,E$1))</f>
        <v>4</v>
      </c>
      <c r="F2" s="31">
        <f>IF(SUMIFS(Data!$L:$L,Data!$A:$A,$B2,Data!$C:$C,F$1)=0,"",SUMIFS(Data!$L:$L,Data!$A:$A,$B2,Data!$C:$C,F$1))</f>
        <v>2.75</v>
      </c>
      <c r="G2" s="31">
        <f>IF(SUMIFS(Data!$L:$L,Data!$A:$A,$B2,Data!$C:$C,G$1)=0,"",SUMIFS(Data!$L:$L,Data!$A:$A,$B2,Data!$C:$C,G$1))</f>
        <v>4.5</v>
      </c>
      <c r="H2" s="31">
        <f>IF(SUMIFS(Data!$L:$L,Data!$A:$A,$B2,Data!$C:$C,H$1)=0,"",SUMIFS(Data!$L:$L,Data!$A:$A,$B2,Data!$C:$C,H$1))</f>
        <v>5</v>
      </c>
      <c r="I2" s="31">
        <f>IF(SUMIFS(Data!$L:$L,Data!$A:$A,$B2,Data!$C:$C,I$1)=0,"",SUMIFS(Data!$L:$L,Data!$A:$A,$B2,Data!$C:$C,I$1))</f>
        <v>4.75</v>
      </c>
      <c r="J2" s="31">
        <f>IF(SUMIFS(Data!$L:$L,Data!$A:$A,$B2,Data!$C:$C,J$1)=0,"",SUMIFS(Data!$L:$L,Data!$A:$A,$B2,Data!$C:$C,J$1))</f>
        <v>5</v>
      </c>
      <c r="K2" s="31">
        <f>IF(SUMIFS(Data!$L:$L,Data!$A:$A,$B2,Data!$C:$C,K$1)=0,"",SUMIFS(Data!$L:$L,Data!$A:$A,$B2,Data!$C:$C,K$1))</f>
        <v>3.75</v>
      </c>
      <c r="L2" s="31">
        <f>IF(SUMIFS(Data!$L:$L,Data!$A:$A,$B2,Data!$C:$C,L$1)=0,"",SUMIFS(Data!$L:$L,Data!$A:$A,$B2,Data!$C:$C,L$1))</f>
        <v>4.5</v>
      </c>
      <c r="M2" s="31">
        <f>IF(SUMIFS(Data!$L:$L,Data!$A:$A,$B2,Data!$C:$C,M$1)=0,"",SUMIFS(Data!$L:$L,Data!$A:$A,$B2,Data!$C:$C,M$1))</f>
        <v>4.75</v>
      </c>
      <c r="N2" s="31">
        <f>IF(SUMIFS(Data!$L:$L,Data!$A:$A,$B2,Data!$C:$C,N$1)=0,"",SUMIFS(Data!$L:$L,Data!$A:$A,$B2,Data!$C:$C,N$1))</f>
        <v>3.5</v>
      </c>
      <c r="O2" s="31">
        <f>IF(SUMIFS(Data!$L:$L,Data!$A:$A,$B2,Data!$C:$C,O$1)=0,"",SUMIFS(Data!$L:$L,Data!$A:$A,$B2,Data!$C:$C,O$1))</f>
        <v>4.25</v>
      </c>
      <c r="P2" s="31">
        <f>IF(SUMIFS(Data!$L:$L,Data!$A:$A,$B2,Data!$C:$C,P$1)=0,"",SUMIFS(Data!$L:$L,Data!$A:$A,$B2,Data!$C:$C,P$1))</f>
        <v>5</v>
      </c>
      <c r="Q2" s="31">
        <f>IF(SUMIFS(Data!$L:$L,Data!$A:$A,$B2,Data!$C:$C,Q$1)=0,"",SUMIFS(Data!$L:$L,Data!$A:$A,$B2,Data!$C:$C,Q$1))</f>
        <v>4</v>
      </c>
      <c r="R2" s="31">
        <f>SUM(C2:Q2)</f>
        <v>63.25</v>
      </c>
    </row>
    <row r="3" spans="1:18" x14ac:dyDescent="0.35">
      <c r="A3" s="79">
        <v>2</v>
      </c>
      <c r="B3" s="30" t="s">
        <v>225</v>
      </c>
      <c r="C3" s="31">
        <f>IF(SUMIFS(Data!$L:$L,Data!$A:$A,$B3,Data!$C:$C,C$1)=0,"",SUMIFS(Data!$L:$L,Data!$A:$A,$B3,Data!$C:$C,C$1))</f>
        <v>4.25</v>
      </c>
      <c r="D3" s="31">
        <f>IF(SUMIFS(Data!$L:$L,Data!$A:$A,$B3,Data!$C:$C,D$1)=0,"",SUMIFS(Data!$L:$L,Data!$A:$A,$B3,Data!$C:$C,D$1))</f>
        <v>4.5</v>
      </c>
      <c r="E3" s="31">
        <f>IF(SUMIFS(Data!$L:$L,Data!$A:$A,$B3,Data!$C:$C,E$1)=0,"",SUMIFS(Data!$L:$L,Data!$A:$A,$B3,Data!$C:$C,E$1))</f>
        <v>4</v>
      </c>
      <c r="F3" s="31">
        <f>IF(SUMIFS(Data!$L:$L,Data!$A:$A,$B3,Data!$C:$C,F$1)=0,"",SUMIFS(Data!$L:$L,Data!$A:$A,$B3,Data!$C:$C,F$1))</f>
        <v>4.25</v>
      </c>
      <c r="G3" s="31">
        <f>IF(SUMIFS(Data!$L:$L,Data!$A:$A,$B3,Data!$C:$C,G$1)=0,"",SUMIFS(Data!$L:$L,Data!$A:$A,$B3,Data!$C:$C,G$1))</f>
        <v>4</v>
      </c>
      <c r="H3" s="31">
        <f>IF(SUMIFS(Data!$L:$L,Data!$A:$A,$B3,Data!$C:$C,H$1)=0,"",SUMIFS(Data!$L:$L,Data!$A:$A,$B3,Data!$C:$C,H$1))</f>
        <v>4.75</v>
      </c>
      <c r="I3" s="31">
        <f>IF(SUMIFS(Data!$L:$L,Data!$A:$A,$B3,Data!$C:$C,I$1)=0,"",SUMIFS(Data!$L:$L,Data!$A:$A,$B3,Data!$C:$C,I$1))</f>
        <v>4.25</v>
      </c>
      <c r="J3" s="31">
        <f>IF(SUMIFS(Data!$L:$L,Data!$A:$A,$B3,Data!$C:$C,J$1)=0,"",SUMIFS(Data!$L:$L,Data!$A:$A,$B3,Data!$C:$C,J$1))</f>
        <v>4</v>
      </c>
      <c r="K3" s="31">
        <f>IF(SUMIFS(Data!$L:$L,Data!$A:$A,$B3,Data!$C:$C,K$1)=0,"",SUMIFS(Data!$L:$L,Data!$A:$A,$B3,Data!$C:$C,K$1))</f>
        <v>4</v>
      </c>
      <c r="L3" s="31">
        <f>IF(SUMIFS(Data!$L:$L,Data!$A:$A,$B3,Data!$C:$C,L$1)=0,"",SUMIFS(Data!$L:$L,Data!$A:$A,$B3,Data!$C:$C,L$1))</f>
        <v>4</v>
      </c>
      <c r="M3" s="31">
        <f>IF(SUMIFS(Data!$L:$L,Data!$A:$A,$B3,Data!$C:$C,M$1)=0,"",SUMIFS(Data!$L:$L,Data!$A:$A,$B3,Data!$C:$C,M$1))</f>
        <v>3.75</v>
      </c>
      <c r="N3" s="31">
        <f>IF(SUMIFS(Data!$L:$L,Data!$A:$A,$B3,Data!$C:$C,N$1)=0,"",SUMIFS(Data!$L:$L,Data!$A:$A,$B3,Data!$C:$C,N$1))</f>
        <v>3.75</v>
      </c>
      <c r="O3" s="31">
        <f>IF(SUMIFS(Data!$L:$L,Data!$A:$A,$B3,Data!$C:$C,O$1)=0,"",SUMIFS(Data!$L:$L,Data!$A:$A,$B3,Data!$C:$C,O$1))</f>
        <v>3.75</v>
      </c>
      <c r="P3" s="31">
        <f>IF(SUMIFS(Data!$L:$L,Data!$A:$A,$B3,Data!$C:$C,P$1)=0,"",SUMIFS(Data!$L:$L,Data!$A:$A,$B3,Data!$C:$C,P$1))</f>
        <v>4</v>
      </c>
      <c r="Q3" s="31">
        <f>IF(SUMIFS(Data!$L:$L,Data!$A:$A,$B3,Data!$C:$C,Q$1)=0,"",SUMIFS(Data!$L:$L,Data!$A:$A,$B3,Data!$C:$C,Q$1))</f>
        <v>4.25</v>
      </c>
      <c r="R3" s="31">
        <f>SUM(C3:Q3)</f>
        <v>61.5</v>
      </c>
    </row>
    <row r="4" spans="1:18" x14ac:dyDescent="0.35">
      <c r="A4" s="79">
        <v>3</v>
      </c>
      <c r="B4" s="30" t="s">
        <v>49</v>
      </c>
      <c r="C4" s="31">
        <f>IF(SUMIFS(Data!$L:$L,Data!$A:$A,$B4,Data!$C:$C,C$1)=0,"",SUMIFS(Data!$L:$L,Data!$A:$A,$B4,Data!$C:$C,C$1))</f>
        <v>4</v>
      </c>
      <c r="D4" s="31">
        <f>IF(SUMIFS(Data!$L:$L,Data!$A:$A,$B4,Data!$C:$C,D$1)=0,"",SUMIFS(Data!$L:$L,Data!$A:$A,$B4,Data!$C:$C,D$1))</f>
        <v>3.75</v>
      </c>
      <c r="E4" s="31">
        <f>IF(SUMIFS(Data!$L:$L,Data!$A:$A,$B4,Data!$C:$C,E$1)=0,"",SUMIFS(Data!$L:$L,Data!$A:$A,$B4,Data!$C:$C,E$1))</f>
        <v>4</v>
      </c>
      <c r="F4" s="31">
        <f>IF(SUMIFS(Data!$L:$L,Data!$A:$A,$B4,Data!$C:$C,F$1)=0,"",SUMIFS(Data!$L:$L,Data!$A:$A,$B4,Data!$C:$C,F$1))</f>
        <v>4</v>
      </c>
      <c r="G4" s="31">
        <f>IF(SUMIFS(Data!$L:$L,Data!$A:$A,$B4,Data!$C:$C,G$1)=0,"",SUMIFS(Data!$L:$L,Data!$A:$A,$B4,Data!$C:$C,G$1))</f>
        <v>4.25</v>
      </c>
      <c r="H4" s="31">
        <f>IF(SUMIFS(Data!$L:$L,Data!$A:$A,$B4,Data!$C:$C,H$1)=0,"",SUMIFS(Data!$L:$L,Data!$A:$A,$B4,Data!$C:$C,H$1))</f>
        <v>4.25</v>
      </c>
      <c r="I4" s="31">
        <f>IF(SUMIFS(Data!$L:$L,Data!$A:$A,$B4,Data!$C:$C,I$1)=0,"",SUMIFS(Data!$L:$L,Data!$A:$A,$B4,Data!$C:$C,I$1))</f>
        <v>4</v>
      </c>
      <c r="J4" s="31">
        <f>IF(SUMIFS(Data!$L:$L,Data!$A:$A,$B4,Data!$C:$C,J$1)=0,"",SUMIFS(Data!$L:$L,Data!$A:$A,$B4,Data!$C:$C,J$1))</f>
        <v>4.5</v>
      </c>
      <c r="K4" s="31">
        <f>IF(SUMIFS(Data!$L:$L,Data!$A:$A,$B4,Data!$C:$C,K$1)=0,"",SUMIFS(Data!$L:$L,Data!$A:$A,$B4,Data!$C:$C,K$1))</f>
        <v>4.25</v>
      </c>
      <c r="L4" s="31">
        <f>IF(SUMIFS(Data!$L:$L,Data!$A:$A,$B4,Data!$C:$C,L$1)=0,"",SUMIFS(Data!$L:$L,Data!$A:$A,$B4,Data!$C:$C,L$1))</f>
        <v>4.5</v>
      </c>
      <c r="M4" s="31">
        <f>IF(SUMIFS(Data!$L:$L,Data!$A:$A,$B4,Data!$C:$C,M$1)=0,"",SUMIFS(Data!$L:$L,Data!$A:$A,$B4,Data!$C:$C,M$1))</f>
        <v>4.25</v>
      </c>
      <c r="N4" s="31">
        <f>IF(SUMIFS(Data!$L:$L,Data!$A:$A,$B4,Data!$C:$C,N$1)=0,"",SUMIFS(Data!$L:$L,Data!$A:$A,$B4,Data!$C:$C,N$1))</f>
        <v>3.75</v>
      </c>
      <c r="O4" s="31">
        <f>IF(SUMIFS(Data!$L:$L,Data!$A:$A,$B4,Data!$C:$C,O$1)=0,"",SUMIFS(Data!$L:$L,Data!$A:$A,$B4,Data!$C:$C,O$1))</f>
        <v>4</v>
      </c>
      <c r="P4" s="31">
        <f>IF(SUMIFS(Data!$L:$L,Data!$A:$A,$B4,Data!$C:$C,P$1)=0,"",SUMIFS(Data!$L:$L,Data!$A:$A,$B4,Data!$C:$C,P$1))</f>
        <v>4</v>
      </c>
      <c r="Q4" s="31">
        <f>IF(SUMIFS(Data!$L:$L,Data!$A:$A,$B4,Data!$C:$C,Q$1)=0,"",SUMIFS(Data!$L:$L,Data!$A:$A,$B4,Data!$C:$C,Q$1))</f>
        <v>3.25</v>
      </c>
      <c r="R4" s="31">
        <f>SUM(C4:Q4)</f>
        <v>60.75</v>
      </c>
    </row>
    <row r="5" spans="1:18" x14ac:dyDescent="0.35">
      <c r="A5" s="79">
        <v>4</v>
      </c>
      <c r="B5" s="30" t="s">
        <v>51</v>
      </c>
      <c r="C5" s="31">
        <f>IF(SUMIFS(Data!$L:$L,Data!$A:$A,$B5,Data!$C:$C,C$1)=0,"",SUMIFS(Data!$L:$L,Data!$A:$A,$B5,Data!$C:$C,C$1))</f>
        <v>3.75</v>
      </c>
      <c r="D5" s="31">
        <f>IF(SUMIFS(Data!$L:$L,Data!$A:$A,$B5,Data!$C:$C,D$1)=0,"",SUMIFS(Data!$L:$L,Data!$A:$A,$B5,Data!$C:$C,D$1))</f>
        <v>4</v>
      </c>
      <c r="E5" s="31">
        <f>IF(SUMIFS(Data!$L:$L,Data!$A:$A,$B5,Data!$C:$C,E$1)=0,"",SUMIFS(Data!$L:$L,Data!$A:$A,$B5,Data!$C:$C,E$1))</f>
        <v>4.5</v>
      </c>
      <c r="F5" s="31">
        <f>IF(SUMIFS(Data!$L:$L,Data!$A:$A,$B5,Data!$C:$C,F$1)=0,"",SUMIFS(Data!$L:$L,Data!$A:$A,$B5,Data!$C:$C,F$1))</f>
        <v>4</v>
      </c>
      <c r="G5" s="31">
        <f>IF(SUMIFS(Data!$L:$L,Data!$A:$A,$B5,Data!$C:$C,G$1)=0,"",SUMIFS(Data!$L:$L,Data!$A:$A,$B5,Data!$C:$C,G$1))</f>
        <v>4</v>
      </c>
      <c r="H5" s="31">
        <f>IF(SUMIFS(Data!$L:$L,Data!$A:$A,$B5,Data!$C:$C,H$1)=0,"",SUMIFS(Data!$L:$L,Data!$A:$A,$B5,Data!$C:$C,H$1))</f>
        <v>4</v>
      </c>
      <c r="I5" s="31">
        <f>IF(SUMIFS(Data!$L:$L,Data!$A:$A,$B5,Data!$C:$C,I$1)=0,"",SUMIFS(Data!$L:$L,Data!$A:$A,$B5,Data!$C:$C,I$1))</f>
        <v>4</v>
      </c>
      <c r="J5" s="31">
        <f>IF(SUMIFS(Data!$L:$L,Data!$A:$A,$B5,Data!$C:$C,J$1)=0,"",SUMIFS(Data!$L:$L,Data!$A:$A,$B5,Data!$C:$C,J$1))</f>
        <v>3.5</v>
      </c>
      <c r="K5" s="31">
        <f>IF(SUMIFS(Data!$L:$L,Data!$A:$A,$B5,Data!$C:$C,K$1)=0,"",SUMIFS(Data!$L:$L,Data!$A:$A,$B5,Data!$C:$C,K$1))</f>
        <v>3.75</v>
      </c>
      <c r="L5" s="31">
        <f>IF(SUMIFS(Data!$L:$L,Data!$A:$A,$B5,Data!$C:$C,L$1)=0,"",SUMIFS(Data!$L:$L,Data!$A:$A,$B5,Data!$C:$C,L$1))</f>
        <v>3.75</v>
      </c>
      <c r="M5" s="31">
        <f>IF(SUMIFS(Data!$L:$L,Data!$A:$A,$B5,Data!$C:$C,M$1)=0,"",SUMIFS(Data!$L:$L,Data!$A:$A,$B5,Data!$C:$C,M$1))</f>
        <v>4.5</v>
      </c>
      <c r="N5" s="31">
        <f>IF(SUMIFS(Data!$L:$L,Data!$A:$A,$B5,Data!$C:$C,N$1)=0,"",SUMIFS(Data!$L:$L,Data!$A:$A,$B5,Data!$C:$C,N$1))</f>
        <v>3.25</v>
      </c>
      <c r="O5" s="31">
        <f>IF(SUMIFS(Data!$L:$L,Data!$A:$A,$B5,Data!$C:$C,O$1)=0,"",SUMIFS(Data!$L:$L,Data!$A:$A,$B5,Data!$C:$C,O$1))</f>
        <v>3.25</v>
      </c>
      <c r="P5" s="31">
        <f>IF(SUMIFS(Data!$L:$L,Data!$A:$A,$B5,Data!$C:$C,P$1)=0,"",SUMIFS(Data!$L:$L,Data!$A:$A,$B5,Data!$C:$C,P$1))</f>
        <v>2.5</v>
      </c>
      <c r="Q5" s="31">
        <f>IF(SUMIFS(Data!$L:$L,Data!$A:$A,$B5,Data!$C:$C,Q$1)=0,"",SUMIFS(Data!$L:$L,Data!$A:$A,$B5,Data!$C:$C,Q$1))</f>
        <v>3.5</v>
      </c>
      <c r="R5" s="31">
        <f>SUM(C5:Q5)</f>
        <v>56.25</v>
      </c>
    </row>
    <row r="6" spans="1:18" x14ac:dyDescent="0.35">
      <c r="A6" s="79">
        <v>5</v>
      </c>
      <c r="B6" s="30" t="s">
        <v>108</v>
      </c>
      <c r="C6" s="31">
        <f>IF(SUMIFS(Data!$L:$L,Data!$A:$A,$B6,Data!$C:$C,C$1)=0,"",SUMIFS(Data!$L:$L,Data!$A:$A,$B6,Data!$C:$C,C$1))</f>
        <v>3</v>
      </c>
      <c r="D6" s="31">
        <f>IF(SUMIFS(Data!$L:$L,Data!$A:$A,$B6,Data!$C:$C,D$1)=0,"",SUMIFS(Data!$L:$L,Data!$A:$A,$B6,Data!$C:$C,D$1))</f>
        <v>4.25</v>
      </c>
      <c r="E6" s="31">
        <f>IF(SUMIFS(Data!$L:$L,Data!$A:$A,$B6,Data!$C:$C,E$1)=0,"",SUMIFS(Data!$L:$L,Data!$A:$A,$B6,Data!$C:$C,E$1))</f>
        <v>4.25</v>
      </c>
      <c r="F6" s="31">
        <f>IF(SUMIFS(Data!$L:$L,Data!$A:$A,$B6,Data!$C:$C,F$1)=0,"",SUMIFS(Data!$L:$L,Data!$A:$A,$B6,Data!$C:$C,F$1))</f>
        <v>2.75</v>
      </c>
      <c r="G6" s="31">
        <f>IF(SUMIFS(Data!$L:$L,Data!$A:$A,$B6,Data!$C:$C,G$1)=0,"",SUMIFS(Data!$L:$L,Data!$A:$A,$B6,Data!$C:$C,G$1))</f>
        <v>3.25</v>
      </c>
      <c r="H6" s="31">
        <f>IF(SUMIFS(Data!$L:$L,Data!$A:$A,$B6,Data!$C:$C,H$1)=0,"",SUMIFS(Data!$L:$L,Data!$A:$A,$B6,Data!$C:$C,H$1))</f>
        <v>3.25</v>
      </c>
      <c r="I6" s="31">
        <f>IF(SUMIFS(Data!$L:$L,Data!$A:$A,$B6,Data!$C:$C,I$1)=0,"",SUMIFS(Data!$L:$L,Data!$A:$A,$B6,Data!$C:$C,I$1))</f>
        <v>4</v>
      </c>
      <c r="J6" s="31">
        <f>IF(SUMIFS(Data!$L:$L,Data!$A:$A,$B6,Data!$C:$C,J$1)=0,"",SUMIFS(Data!$L:$L,Data!$A:$A,$B6,Data!$C:$C,J$1))</f>
        <v>4.25</v>
      </c>
      <c r="K6" s="31">
        <f>IF(SUMIFS(Data!$L:$L,Data!$A:$A,$B6,Data!$C:$C,K$1)=0,"",SUMIFS(Data!$L:$L,Data!$A:$A,$B6,Data!$C:$C,K$1))</f>
        <v>3.75</v>
      </c>
      <c r="L6" s="31">
        <f>IF(SUMIFS(Data!$L:$L,Data!$A:$A,$B6,Data!$C:$C,L$1)=0,"",SUMIFS(Data!$L:$L,Data!$A:$A,$B6,Data!$C:$C,L$1))</f>
        <v>4</v>
      </c>
      <c r="M6" s="31">
        <f>IF(SUMIFS(Data!$L:$L,Data!$A:$A,$B6,Data!$C:$C,M$1)=0,"",SUMIFS(Data!$L:$L,Data!$A:$A,$B6,Data!$C:$C,M$1))</f>
        <v>3</v>
      </c>
      <c r="N6" s="31">
        <f>IF(SUMIFS(Data!$L:$L,Data!$A:$A,$B6,Data!$C:$C,N$1)=0,"",SUMIFS(Data!$L:$L,Data!$A:$A,$B6,Data!$C:$C,N$1))</f>
        <v>4</v>
      </c>
      <c r="O6" s="31">
        <f>IF(SUMIFS(Data!$L:$L,Data!$A:$A,$B6,Data!$C:$C,O$1)=0,"",SUMIFS(Data!$L:$L,Data!$A:$A,$B6,Data!$C:$C,O$1))</f>
        <v>3.5</v>
      </c>
      <c r="P6" s="31">
        <f>IF(SUMIFS(Data!$L:$L,Data!$A:$A,$B6,Data!$C:$C,P$1)=0,"",SUMIFS(Data!$L:$L,Data!$A:$A,$B6,Data!$C:$C,P$1))</f>
        <v>5</v>
      </c>
      <c r="Q6" s="31">
        <f>IF(SUMIFS(Data!$L:$L,Data!$A:$A,$B6,Data!$C:$C,Q$1)=0,"",SUMIFS(Data!$L:$L,Data!$A:$A,$B6,Data!$C:$C,Q$1))</f>
        <v>3.5</v>
      </c>
      <c r="R6" s="31">
        <f>SUM(C6:Q6)</f>
        <v>55.75</v>
      </c>
    </row>
    <row r="7" spans="1:18" x14ac:dyDescent="0.35">
      <c r="A7" s="79">
        <v>6</v>
      </c>
      <c r="B7" s="30" t="s">
        <v>203</v>
      </c>
      <c r="C7" s="31">
        <f>IF(SUMIFS(Data!$L:$L,Data!$A:$A,$B7,Data!$C:$C,C$1)=0,"",SUMIFS(Data!$L:$L,Data!$A:$A,$B7,Data!$C:$C,C$1))</f>
        <v>4</v>
      </c>
      <c r="D7" s="31">
        <f>IF(SUMIFS(Data!$L:$L,Data!$A:$A,$B7,Data!$C:$C,D$1)=0,"",SUMIFS(Data!$L:$L,Data!$A:$A,$B7,Data!$C:$C,D$1))</f>
        <v>3.25</v>
      </c>
      <c r="E7" s="31">
        <f>IF(SUMIFS(Data!$L:$L,Data!$A:$A,$B7,Data!$C:$C,E$1)=0,"",SUMIFS(Data!$L:$L,Data!$A:$A,$B7,Data!$C:$C,E$1))</f>
        <v>4.25</v>
      </c>
      <c r="F7" s="31">
        <f>IF(SUMIFS(Data!$L:$L,Data!$A:$A,$B7,Data!$C:$C,F$1)=0,"",SUMIFS(Data!$L:$L,Data!$A:$A,$B7,Data!$C:$C,F$1))</f>
        <v>4</v>
      </c>
      <c r="G7" s="31">
        <f>IF(SUMIFS(Data!$L:$L,Data!$A:$A,$B7,Data!$C:$C,G$1)=0,"",SUMIFS(Data!$L:$L,Data!$A:$A,$B7,Data!$C:$C,G$1))</f>
        <v>4</v>
      </c>
      <c r="H7" s="31">
        <f>IF(SUMIFS(Data!$L:$L,Data!$A:$A,$B7,Data!$C:$C,H$1)=0,"",SUMIFS(Data!$L:$L,Data!$A:$A,$B7,Data!$C:$C,H$1))</f>
        <v>3.75</v>
      </c>
      <c r="I7" s="31">
        <f>IF(SUMIFS(Data!$L:$L,Data!$A:$A,$B7,Data!$C:$C,I$1)=0,"",SUMIFS(Data!$L:$L,Data!$A:$A,$B7,Data!$C:$C,I$1))</f>
        <v>3.25</v>
      </c>
      <c r="J7" s="31">
        <f>IF(SUMIFS(Data!$L:$L,Data!$A:$A,$B7,Data!$C:$C,J$1)=0,"",SUMIFS(Data!$L:$L,Data!$A:$A,$B7,Data!$C:$C,J$1))</f>
        <v>3</v>
      </c>
      <c r="K7" s="31">
        <f>IF(SUMIFS(Data!$L:$L,Data!$A:$A,$B7,Data!$C:$C,K$1)=0,"",SUMIFS(Data!$L:$L,Data!$A:$A,$B7,Data!$C:$C,K$1))</f>
        <v>3.25</v>
      </c>
      <c r="L7" s="31">
        <f>IF(SUMIFS(Data!$L:$L,Data!$A:$A,$B7,Data!$C:$C,L$1)=0,"",SUMIFS(Data!$L:$L,Data!$A:$A,$B7,Data!$C:$C,L$1))</f>
        <v>4.75</v>
      </c>
      <c r="M7" s="31">
        <f>IF(SUMIFS(Data!$L:$L,Data!$A:$A,$B7,Data!$C:$C,M$1)=0,"",SUMIFS(Data!$L:$L,Data!$A:$A,$B7,Data!$C:$C,M$1))</f>
        <v>4</v>
      </c>
      <c r="N7" s="31">
        <f>IF(SUMIFS(Data!$L:$L,Data!$A:$A,$B7,Data!$C:$C,N$1)=0,"",SUMIFS(Data!$L:$L,Data!$A:$A,$B7,Data!$C:$C,N$1))</f>
        <v>3.5</v>
      </c>
      <c r="O7" s="31">
        <f>IF(SUMIFS(Data!$L:$L,Data!$A:$A,$B7,Data!$C:$C,O$1)=0,"",SUMIFS(Data!$L:$L,Data!$A:$A,$B7,Data!$C:$C,O$1))</f>
        <v>4</v>
      </c>
      <c r="P7" s="31">
        <f>IF(SUMIFS(Data!$L:$L,Data!$A:$A,$B7,Data!$C:$C,P$1)=0,"",SUMIFS(Data!$L:$L,Data!$A:$A,$B7,Data!$C:$C,P$1))</f>
        <v>2.5</v>
      </c>
      <c r="Q7" s="31">
        <f>IF(SUMIFS(Data!$L:$L,Data!$A:$A,$B7,Data!$C:$C,Q$1)=0,"",SUMIFS(Data!$L:$L,Data!$A:$A,$B7,Data!$C:$C,Q$1))</f>
        <v>4</v>
      </c>
      <c r="R7" s="31">
        <f>SUM(C7:Q7)</f>
        <v>55.5</v>
      </c>
    </row>
    <row r="8" spans="1:18" x14ac:dyDescent="0.35">
      <c r="A8" s="79">
        <v>7</v>
      </c>
      <c r="B8" s="30" t="s">
        <v>227</v>
      </c>
      <c r="C8" s="31">
        <f>IF(SUMIFS(Data!$L:$L,Data!$A:$A,$B8,Data!$C:$C,C$1)=0,"",SUMIFS(Data!$L:$L,Data!$A:$A,$B8,Data!$C:$C,C$1))</f>
        <v>3.25</v>
      </c>
      <c r="D8" s="31">
        <f>IF(SUMIFS(Data!$L:$L,Data!$A:$A,$B8,Data!$C:$C,D$1)=0,"",SUMIFS(Data!$L:$L,Data!$A:$A,$B8,Data!$C:$C,D$1))</f>
        <v>3</v>
      </c>
      <c r="E8" s="31">
        <f>IF(SUMIFS(Data!$L:$L,Data!$A:$A,$B8,Data!$C:$C,E$1)=0,"",SUMIFS(Data!$L:$L,Data!$A:$A,$B8,Data!$C:$C,E$1))</f>
        <v>3.5</v>
      </c>
      <c r="F8" s="31">
        <f>IF(SUMIFS(Data!$L:$L,Data!$A:$A,$B8,Data!$C:$C,F$1)=0,"",SUMIFS(Data!$L:$L,Data!$A:$A,$B8,Data!$C:$C,F$1))</f>
        <v>3.75</v>
      </c>
      <c r="G8" s="31">
        <f>IF(SUMIFS(Data!$L:$L,Data!$A:$A,$B8,Data!$C:$C,G$1)=0,"",SUMIFS(Data!$L:$L,Data!$A:$A,$B8,Data!$C:$C,G$1))</f>
        <v>4</v>
      </c>
      <c r="H8" s="31">
        <f>IF(SUMIFS(Data!$L:$L,Data!$A:$A,$B8,Data!$C:$C,H$1)=0,"",SUMIFS(Data!$L:$L,Data!$A:$A,$B8,Data!$C:$C,H$1))</f>
        <v>3.25</v>
      </c>
      <c r="I8" s="31">
        <f>IF(SUMIFS(Data!$L:$L,Data!$A:$A,$B8,Data!$C:$C,I$1)=0,"",SUMIFS(Data!$L:$L,Data!$A:$A,$B8,Data!$C:$C,I$1))</f>
        <v>3.5</v>
      </c>
      <c r="J8" s="31">
        <f>IF(SUMIFS(Data!$L:$L,Data!$A:$A,$B8,Data!$C:$C,J$1)=0,"",SUMIFS(Data!$L:$L,Data!$A:$A,$B8,Data!$C:$C,J$1))</f>
        <v>4</v>
      </c>
      <c r="K8" s="31">
        <f>IF(SUMIFS(Data!$L:$L,Data!$A:$A,$B8,Data!$C:$C,K$1)=0,"",SUMIFS(Data!$L:$L,Data!$A:$A,$B8,Data!$C:$C,K$1))</f>
        <v>3.5</v>
      </c>
      <c r="L8" s="31">
        <f>IF(SUMIFS(Data!$L:$L,Data!$A:$A,$B8,Data!$C:$C,L$1)=0,"",SUMIFS(Data!$L:$L,Data!$A:$A,$B8,Data!$C:$C,L$1))</f>
        <v>4</v>
      </c>
      <c r="M8" s="31">
        <f>IF(SUMIFS(Data!$L:$L,Data!$A:$A,$B8,Data!$C:$C,M$1)=0,"",SUMIFS(Data!$L:$L,Data!$A:$A,$B8,Data!$C:$C,M$1))</f>
        <v>4</v>
      </c>
      <c r="N8" s="31">
        <f>IF(SUMIFS(Data!$L:$L,Data!$A:$A,$B8,Data!$C:$C,N$1)=0,"",SUMIFS(Data!$L:$L,Data!$A:$A,$B8,Data!$C:$C,N$1))</f>
        <v>4.25</v>
      </c>
      <c r="O8" s="31">
        <f>IF(SUMIFS(Data!$L:$L,Data!$A:$A,$B8,Data!$C:$C,O$1)=0,"",SUMIFS(Data!$L:$L,Data!$A:$A,$B8,Data!$C:$C,O$1))</f>
        <v>3.75</v>
      </c>
      <c r="P8" s="31">
        <f>IF(SUMIFS(Data!$L:$L,Data!$A:$A,$B8,Data!$C:$C,P$1)=0,"",SUMIFS(Data!$L:$L,Data!$A:$A,$B8,Data!$C:$C,P$1))</f>
        <v>3</v>
      </c>
      <c r="Q8" s="31">
        <f>IF(SUMIFS(Data!$L:$L,Data!$A:$A,$B8,Data!$C:$C,Q$1)=0,"",SUMIFS(Data!$L:$L,Data!$A:$A,$B8,Data!$C:$C,Q$1))</f>
        <v>4.5</v>
      </c>
      <c r="R8" s="31">
        <f>SUM(C8:Q8)</f>
        <v>55.25</v>
      </c>
    </row>
    <row r="9" spans="1:18" x14ac:dyDescent="0.35">
      <c r="A9" s="79">
        <v>8</v>
      </c>
      <c r="B9" s="30" t="s">
        <v>124</v>
      </c>
      <c r="C9" s="31">
        <f>IF(SUMIFS(Data!$L:$L,Data!$A:$A,$B9,Data!$C:$C,C$1)=0,"",SUMIFS(Data!$L:$L,Data!$A:$A,$B9,Data!$C:$C,C$1))</f>
        <v>3.5</v>
      </c>
      <c r="D9" s="31">
        <f>IF(SUMIFS(Data!$L:$L,Data!$A:$A,$B9,Data!$C:$C,D$1)=0,"",SUMIFS(Data!$L:$L,Data!$A:$A,$B9,Data!$C:$C,D$1))</f>
        <v>4.25</v>
      </c>
      <c r="E9" s="31">
        <f>IF(SUMIFS(Data!$L:$L,Data!$A:$A,$B9,Data!$C:$C,E$1)=0,"",SUMIFS(Data!$L:$L,Data!$A:$A,$B9,Data!$C:$C,E$1))</f>
        <v>4</v>
      </c>
      <c r="F9" s="31">
        <f>IF(SUMIFS(Data!$L:$L,Data!$A:$A,$B9,Data!$C:$C,F$1)=0,"",SUMIFS(Data!$L:$L,Data!$A:$A,$B9,Data!$C:$C,F$1))</f>
        <v>4</v>
      </c>
      <c r="G9" s="31">
        <f>IF(SUMIFS(Data!$L:$L,Data!$A:$A,$B9,Data!$C:$C,G$1)=0,"",SUMIFS(Data!$L:$L,Data!$A:$A,$B9,Data!$C:$C,G$1))</f>
        <v>3.25</v>
      </c>
      <c r="H9" s="31">
        <f>IF(SUMIFS(Data!$L:$L,Data!$A:$A,$B9,Data!$C:$C,H$1)=0,"",SUMIFS(Data!$L:$L,Data!$A:$A,$B9,Data!$C:$C,H$1))</f>
        <v>3.75</v>
      </c>
      <c r="I9" s="31">
        <f>IF(SUMIFS(Data!$L:$L,Data!$A:$A,$B9,Data!$C:$C,I$1)=0,"",SUMIFS(Data!$L:$L,Data!$A:$A,$B9,Data!$C:$C,I$1))</f>
        <v>3.25</v>
      </c>
      <c r="J9" s="31">
        <f>IF(SUMIFS(Data!$L:$L,Data!$A:$A,$B9,Data!$C:$C,J$1)=0,"",SUMIFS(Data!$L:$L,Data!$A:$A,$B9,Data!$C:$C,J$1))</f>
        <v>3.25</v>
      </c>
      <c r="K9" s="31">
        <f>IF(SUMIFS(Data!$L:$L,Data!$A:$A,$B9,Data!$C:$C,K$1)=0,"",SUMIFS(Data!$L:$L,Data!$A:$A,$B9,Data!$C:$C,K$1))</f>
        <v>4</v>
      </c>
      <c r="L9" s="31">
        <f>IF(SUMIFS(Data!$L:$L,Data!$A:$A,$B9,Data!$C:$C,L$1)=0,"",SUMIFS(Data!$L:$L,Data!$A:$A,$B9,Data!$C:$C,L$1))</f>
        <v>3.5</v>
      </c>
      <c r="M9" s="31">
        <f>IF(SUMIFS(Data!$L:$L,Data!$A:$A,$B9,Data!$C:$C,M$1)=0,"",SUMIFS(Data!$L:$L,Data!$A:$A,$B9,Data!$C:$C,M$1))</f>
        <v>3</v>
      </c>
      <c r="N9" s="31">
        <f>IF(SUMIFS(Data!$L:$L,Data!$A:$A,$B9,Data!$C:$C,N$1)=0,"",SUMIFS(Data!$L:$L,Data!$A:$A,$B9,Data!$C:$C,N$1))</f>
        <v>4</v>
      </c>
      <c r="O9" s="31">
        <f>IF(SUMIFS(Data!$L:$L,Data!$A:$A,$B9,Data!$C:$C,O$1)=0,"",SUMIFS(Data!$L:$L,Data!$A:$A,$B9,Data!$C:$C,O$1))</f>
        <v>3</v>
      </c>
      <c r="P9" s="31">
        <f>IF(SUMIFS(Data!$L:$L,Data!$A:$A,$B9,Data!$C:$C,P$1)=0,"",SUMIFS(Data!$L:$L,Data!$A:$A,$B9,Data!$C:$C,P$1))</f>
        <v>4.5</v>
      </c>
      <c r="Q9" s="31">
        <f>IF(SUMIFS(Data!$L:$L,Data!$A:$A,$B9,Data!$C:$C,Q$1)=0,"",SUMIFS(Data!$L:$L,Data!$A:$A,$B9,Data!$C:$C,Q$1))</f>
        <v>3.25</v>
      </c>
      <c r="R9" s="31">
        <f>SUM(C9:Q9)</f>
        <v>54.5</v>
      </c>
    </row>
    <row r="10" spans="1:18" x14ac:dyDescent="0.35">
      <c r="A10" s="79">
        <v>9</v>
      </c>
      <c r="B10" s="30" t="s">
        <v>366</v>
      </c>
      <c r="C10" s="31">
        <f>IF(SUMIFS(Data!$L:$L,Data!$A:$A,$B10,Data!$C:$C,C$1)=0,"",SUMIFS(Data!$L:$L,Data!$A:$A,$B10,Data!$C:$C,C$1))</f>
        <v>3</v>
      </c>
      <c r="D10" s="31">
        <f>IF(SUMIFS(Data!$L:$L,Data!$A:$A,$B10,Data!$C:$C,D$1)=0,"",SUMIFS(Data!$L:$L,Data!$A:$A,$B10,Data!$C:$C,D$1))</f>
        <v>3</v>
      </c>
      <c r="E10" s="31">
        <f>IF(SUMIFS(Data!$L:$L,Data!$A:$A,$B10,Data!$C:$C,E$1)=0,"",SUMIFS(Data!$L:$L,Data!$A:$A,$B10,Data!$C:$C,E$1))</f>
        <v>4</v>
      </c>
      <c r="F10" s="31">
        <f>IF(SUMIFS(Data!$L:$L,Data!$A:$A,$B10,Data!$C:$C,F$1)=0,"",SUMIFS(Data!$L:$L,Data!$A:$A,$B10,Data!$C:$C,F$1))</f>
        <v>4</v>
      </c>
      <c r="G10" s="31">
        <f>IF(SUMIFS(Data!$L:$L,Data!$A:$A,$B10,Data!$C:$C,G$1)=0,"",SUMIFS(Data!$L:$L,Data!$A:$A,$B10,Data!$C:$C,G$1))</f>
        <v>3.25</v>
      </c>
      <c r="H10" s="31">
        <f>IF(SUMIFS(Data!$L:$L,Data!$A:$A,$B10,Data!$C:$C,H$1)=0,"",SUMIFS(Data!$L:$L,Data!$A:$A,$B10,Data!$C:$C,H$1))</f>
        <v>3.25</v>
      </c>
      <c r="I10" s="31">
        <f>IF(SUMIFS(Data!$L:$L,Data!$A:$A,$B10,Data!$C:$C,I$1)=0,"",SUMIFS(Data!$L:$L,Data!$A:$A,$B10,Data!$C:$C,I$1))</f>
        <v>3</v>
      </c>
      <c r="J10" s="31">
        <f>IF(SUMIFS(Data!$L:$L,Data!$A:$A,$B10,Data!$C:$C,J$1)=0,"",SUMIFS(Data!$L:$L,Data!$A:$A,$B10,Data!$C:$C,J$1))</f>
        <v>4</v>
      </c>
      <c r="K10" s="31">
        <f>IF(SUMIFS(Data!$L:$L,Data!$A:$A,$B10,Data!$C:$C,K$1)=0,"",SUMIFS(Data!$L:$L,Data!$A:$A,$B10,Data!$C:$C,K$1))</f>
        <v>3.75</v>
      </c>
      <c r="L10" s="31">
        <f>IF(SUMIFS(Data!$L:$L,Data!$A:$A,$B10,Data!$C:$C,L$1)=0,"",SUMIFS(Data!$L:$L,Data!$A:$A,$B10,Data!$C:$C,L$1))</f>
        <v>3.75</v>
      </c>
      <c r="M10" s="31">
        <f>IF(SUMIFS(Data!$L:$L,Data!$A:$A,$B10,Data!$C:$C,M$1)=0,"",SUMIFS(Data!$L:$L,Data!$A:$A,$B10,Data!$C:$C,M$1))</f>
        <v>3.5</v>
      </c>
      <c r="N10" s="31">
        <f>IF(SUMIFS(Data!$L:$L,Data!$A:$A,$B10,Data!$C:$C,N$1)=0,"",SUMIFS(Data!$L:$L,Data!$A:$A,$B10,Data!$C:$C,N$1))</f>
        <v>3.75</v>
      </c>
      <c r="O10" s="31">
        <f>IF(SUMIFS(Data!$L:$L,Data!$A:$A,$B10,Data!$C:$C,O$1)=0,"",SUMIFS(Data!$L:$L,Data!$A:$A,$B10,Data!$C:$C,O$1))</f>
        <v>3.75</v>
      </c>
      <c r="P10" s="31">
        <f>IF(SUMIFS(Data!$L:$L,Data!$A:$A,$B10,Data!$C:$C,P$1)=0,"",SUMIFS(Data!$L:$L,Data!$A:$A,$B10,Data!$C:$C,P$1))</f>
        <v>4</v>
      </c>
      <c r="Q10" s="31">
        <f>IF(SUMIFS(Data!$L:$L,Data!$A:$A,$B10,Data!$C:$C,Q$1)=0,"",SUMIFS(Data!$L:$L,Data!$A:$A,$B10,Data!$C:$C,Q$1))</f>
        <v>3</v>
      </c>
      <c r="R10" s="31">
        <f>SUM(C10:Q10)</f>
        <v>53</v>
      </c>
    </row>
    <row r="11" spans="1:18" x14ac:dyDescent="0.35">
      <c r="A11" s="79">
        <v>10</v>
      </c>
      <c r="B11" s="30" t="s">
        <v>344</v>
      </c>
      <c r="C11" s="31">
        <f>IF(SUMIFS(Data!$L:$L,Data!$A:$A,$B11,Data!$C:$C,C$1)=0,"",SUMIFS(Data!$L:$L,Data!$A:$A,$B11,Data!$C:$C,C$1))</f>
        <v>1.75</v>
      </c>
      <c r="D11" s="31">
        <f>IF(SUMIFS(Data!$L:$L,Data!$A:$A,$B11,Data!$C:$C,D$1)=0,"",SUMIFS(Data!$L:$L,Data!$A:$A,$B11,Data!$C:$C,D$1))</f>
        <v>1.5</v>
      </c>
      <c r="E11" s="31">
        <f>IF(SUMIFS(Data!$L:$L,Data!$A:$A,$B11,Data!$C:$C,E$1)=0,"",SUMIFS(Data!$L:$L,Data!$A:$A,$B11,Data!$C:$C,E$1))</f>
        <v>2.75</v>
      </c>
      <c r="F11" s="31">
        <f>IF(SUMIFS(Data!$L:$L,Data!$A:$A,$B11,Data!$C:$C,F$1)=0,"",SUMIFS(Data!$L:$L,Data!$A:$A,$B11,Data!$C:$C,F$1))</f>
        <v>3.75</v>
      </c>
      <c r="G11" s="31">
        <f>IF(SUMIFS(Data!$L:$L,Data!$A:$A,$B11,Data!$C:$C,G$1)=0,"",SUMIFS(Data!$L:$L,Data!$A:$A,$B11,Data!$C:$C,G$1))</f>
        <v>3.5</v>
      </c>
      <c r="H11" s="31">
        <f>IF(SUMIFS(Data!$L:$L,Data!$A:$A,$B11,Data!$C:$C,H$1)=0,"",SUMIFS(Data!$L:$L,Data!$A:$A,$B11,Data!$C:$C,H$1))</f>
        <v>3.75</v>
      </c>
      <c r="I11" s="31">
        <f>IF(SUMIFS(Data!$L:$L,Data!$A:$A,$B11,Data!$C:$C,I$1)=0,"",SUMIFS(Data!$L:$L,Data!$A:$A,$B11,Data!$C:$C,I$1))</f>
        <v>3.75</v>
      </c>
      <c r="J11" s="31">
        <f>IF(SUMIFS(Data!$L:$L,Data!$A:$A,$B11,Data!$C:$C,J$1)=0,"",SUMIFS(Data!$L:$L,Data!$A:$A,$B11,Data!$C:$C,J$1))</f>
        <v>3.75</v>
      </c>
      <c r="K11" s="31">
        <f>IF(SUMIFS(Data!$L:$L,Data!$A:$A,$B11,Data!$C:$C,K$1)=0,"",SUMIFS(Data!$L:$L,Data!$A:$A,$B11,Data!$C:$C,K$1))</f>
        <v>4</v>
      </c>
      <c r="L11" s="31">
        <f>IF(SUMIFS(Data!$L:$L,Data!$A:$A,$B11,Data!$C:$C,L$1)=0,"",SUMIFS(Data!$L:$L,Data!$A:$A,$B11,Data!$C:$C,L$1))</f>
        <v>4.25</v>
      </c>
      <c r="M11" s="31">
        <f>IF(SUMIFS(Data!$L:$L,Data!$A:$A,$B11,Data!$C:$C,M$1)=0,"",SUMIFS(Data!$L:$L,Data!$A:$A,$B11,Data!$C:$C,M$1))</f>
        <v>3.75</v>
      </c>
      <c r="N11" s="31">
        <f>IF(SUMIFS(Data!$L:$L,Data!$A:$A,$B11,Data!$C:$C,N$1)=0,"",SUMIFS(Data!$L:$L,Data!$A:$A,$B11,Data!$C:$C,N$1))</f>
        <v>3.75</v>
      </c>
      <c r="O11" s="31">
        <f>IF(SUMIFS(Data!$L:$L,Data!$A:$A,$B11,Data!$C:$C,O$1)=0,"",SUMIFS(Data!$L:$L,Data!$A:$A,$B11,Data!$C:$C,O$1))</f>
        <v>4</v>
      </c>
      <c r="P11" s="31">
        <f>IF(SUMIFS(Data!$L:$L,Data!$A:$A,$B11,Data!$C:$C,P$1)=0,"",SUMIFS(Data!$L:$L,Data!$A:$A,$B11,Data!$C:$C,P$1))</f>
        <v>4</v>
      </c>
      <c r="Q11" s="31">
        <f>IF(SUMIFS(Data!$L:$L,Data!$A:$A,$B11,Data!$C:$C,Q$1)=0,"",SUMIFS(Data!$L:$L,Data!$A:$A,$B11,Data!$C:$C,Q$1))</f>
        <v>3.5</v>
      </c>
      <c r="R11" s="31">
        <f>SUM(C11:Q11)</f>
        <v>51.75</v>
      </c>
    </row>
    <row r="12" spans="1:18" x14ac:dyDescent="0.35">
      <c r="A12" s="79">
        <v>11</v>
      </c>
      <c r="B12" s="30" t="s">
        <v>355</v>
      </c>
      <c r="C12" s="31">
        <f>IF(SUMIFS(Data!$L:$L,Data!$A:$A,$B12,Data!$C:$C,C$1)=0,"",SUMIFS(Data!$L:$L,Data!$A:$A,$B12,Data!$C:$C,C$1))</f>
        <v>3.25</v>
      </c>
      <c r="D12" s="31">
        <f>IF(SUMIFS(Data!$L:$L,Data!$A:$A,$B12,Data!$C:$C,D$1)=0,"",SUMIFS(Data!$L:$L,Data!$A:$A,$B12,Data!$C:$C,D$1))</f>
        <v>3</v>
      </c>
      <c r="E12" s="31">
        <f>IF(SUMIFS(Data!$L:$L,Data!$A:$A,$B12,Data!$C:$C,E$1)=0,"",SUMIFS(Data!$L:$L,Data!$A:$A,$B12,Data!$C:$C,E$1))</f>
        <v>3.25</v>
      </c>
      <c r="F12" s="31">
        <f>IF(SUMIFS(Data!$L:$L,Data!$A:$A,$B12,Data!$C:$C,F$1)=0,"",SUMIFS(Data!$L:$L,Data!$A:$A,$B12,Data!$C:$C,F$1))</f>
        <v>2.75</v>
      </c>
      <c r="G12" s="31">
        <f>IF(SUMIFS(Data!$L:$L,Data!$A:$A,$B12,Data!$C:$C,G$1)=0,"",SUMIFS(Data!$L:$L,Data!$A:$A,$B12,Data!$C:$C,G$1))</f>
        <v>2.75</v>
      </c>
      <c r="H12" s="31">
        <f>IF(SUMIFS(Data!$L:$L,Data!$A:$A,$B12,Data!$C:$C,H$1)=0,"",SUMIFS(Data!$L:$L,Data!$A:$A,$B12,Data!$C:$C,H$1))</f>
        <v>3.75</v>
      </c>
      <c r="I12" s="31">
        <f>IF(SUMIFS(Data!$L:$L,Data!$A:$A,$B12,Data!$C:$C,I$1)=0,"",SUMIFS(Data!$L:$L,Data!$A:$A,$B12,Data!$C:$C,I$1))</f>
        <v>3</v>
      </c>
      <c r="J12" s="31">
        <f>IF(SUMIFS(Data!$L:$L,Data!$A:$A,$B12,Data!$C:$C,J$1)=0,"",SUMIFS(Data!$L:$L,Data!$A:$A,$B12,Data!$C:$C,J$1))</f>
        <v>3.75</v>
      </c>
      <c r="K12" s="31">
        <f>IF(SUMIFS(Data!$L:$L,Data!$A:$A,$B12,Data!$C:$C,K$1)=0,"",SUMIFS(Data!$L:$L,Data!$A:$A,$B12,Data!$C:$C,K$1))</f>
        <v>3.5</v>
      </c>
      <c r="L12" s="31">
        <f>IF(SUMIFS(Data!$L:$L,Data!$A:$A,$B12,Data!$C:$C,L$1)=0,"",SUMIFS(Data!$L:$L,Data!$A:$A,$B12,Data!$C:$C,L$1))</f>
        <v>3.5</v>
      </c>
      <c r="M12" s="31">
        <f>IF(SUMIFS(Data!$L:$L,Data!$A:$A,$B12,Data!$C:$C,M$1)=0,"",SUMIFS(Data!$L:$L,Data!$A:$A,$B12,Data!$C:$C,M$1))</f>
        <v>3.25</v>
      </c>
      <c r="N12" s="31">
        <f>IF(SUMIFS(Data!$L:$L,Data!$A:$A,$B12,Data!$C:$C,N$1)=0,"",SUMIFS(Data!$L:$L,Data!$A:$A,$B12,Data!$C:$C,N$1))</f>
        <v>3.25</v>
      </c>
      <c r="O12" s="31">
        <f>IF(SUMIFS(Data!$L:$L,Data!$A:$A,$B12,Data!$C:$C,O$1)=0,"",SUMIFS(Data!$L:$L,Data!$A:$A,$B12,Data!$C:$C,O$1))</f>
        <v>3.25</v>
      </c>
      <c r="P12" s="31">
        <f>IF(SUMIFS(Data!$L:$L,Data!$A:$A,$B12,Data!$C:$C,P$1)=0,"",SUMIFS(Data!$L:$L,Data!$A:$A,$B12,Data!$C:$C,P$1))</f>
        <v>4.5</v>
      </c>
      <c r="Q12" s="31">
        <f>IF(SUMIFS(Data!$L:$L,Data!$A:$A,$B12,Data!$C:$C,Q$1)=0,"",SUMIFS(Data!$L:$L,Data!$A:$A,$B12,Data!$C:$C,Q$1))</f>
        <v>3.75</v>
      </c>
      <c r="R12" s="31">
        <f>SUM(C12:Q12)</f>
        <v>50.5</v>
      </c>
    </row>
    <row r="13" spans="1:18" x14ac:dyDescent="0.35">
      <c r="A13" s="79">
        <v>12</v>
      </c>
      <c r="B13" s="30" t="s">
        <v>132</v>
      </c>
      <c r="C13" s="31">
        <f>IF(SUMIFS(Data!$L:$L,Data!$A:$A,$B13,Data!$C:$C,C$1)=0,"",SUMIFS(Data!$L:$L,Data!$A:$A,$B13,Data!$C:$C,C$1))</f>
        <v>2.75</v>
      </c>
      <c r="D13" s="31">
        <f>IF(SUMIFS(Data!$L:$L,Data!$A:$A,$B13,Data!$C:$C,D$1)=0,"",SUMIFS(Data!$L:$L,Data!$A:$A,$B13,Data!$C:$C,D$1))</f>
        <v>2.75</v>
      </c>
      <c r="E13" s="31">
        <f>IF(SUMIFS(Data!$L:$L,Data!$A:$A,$B13,Data!$C:$C,E$1)=0,"",SUMIFS(Data!$L:$L,Data!$A:$A,$B13,Data!$C:$C,E$1))</f>
        <v>3.25</v>
      </c>
      <c r="F13" s="31">
        <f>IF(SUMIFS(Data!$L:$L,Data!$A:$A,$B13,Data!$C:$C,F$1)=0,"",SUMIFS(Data!$L:$L,Data!$A:$A,$B13,Data!$C:$C,F$1))</f>
        <v>3</v>
      </c>
      <c r="G13" s="31">
        <f>IF(SUMIFS(Data!$L:$L,Data!$A:$A,$B13,Data!$C:$C,G$1)=0,"",SUMIFS(Data!$L:$L,Data!$A:$A,$B13,Data!$C:$C,G$1))</f>
        <v>4</v>
      </c>
      <c r="H13" s="31">
        <f>IF(SUMIFS(Data!$L:$L,Data!$A:$A,$B13,Data!$C:$C,H$1)=0,"",SUMIFS(Data!$L:$L,Data!$A:$A,$B13,Data!$C:$C,H$1))</f>
        <v>3.75</v>
      </c>
      <c r="I13" s="31">
        <f>IF(SUMIFS(Data!$L:$L,Data!$A:$A,$B13,Data!$C:$C,I$1)=0,"",SUMIFS(Data!$L:$L,Data!$A:$A,$B13,Data!$C:$C,I$1))</f>
        <v>3</v>
      </c>
      <c r="J13" s="31">
        <f>IF(SUMIFS(Data!$L:$L,Data!$A:$A,$B13,Data!$C:$C,J$1)=0,"",SUMIFS(Data!$L:$L,Data!$A:$A,$B13,Data!$C:$C,J$1))</f>
        <v>3.5</v>
      </c>
      <c r="K13" s="31">
        <f>IF(SUMIFS(Data!$L:$L,Data!$A:$A,$B13,Data!$C:$C,K$1)=0,"",SUMIFS(Data!$L:$L,Data!$A:$A,$B13,Data!$C:$C,K$1))</f>
        <v>3.25</v>
      </c>
      <c r="L13" s="31">
        <f>IF(SUMIFS(Data!$L:$L,Data!$A:$A,$B13,Data!$C:$C,L$1)=0,"",SUMIFS(Data!$L:$L,Data!$A:$A,$B13,Data!$C:$C,L$1))</f>
        <v>3.5</v>
      </c>
      <c r="M13" s="31">
        <f>IF(SUMIFS(Data!$L:$L,Data!$A:$A,$B13,Data!$C:$C,M$1)=0,"",SUMIFS(Data!$L:$L,Data!$A:$A,$B13,Data!$C:$C,M$1))</f>
        <v>3.25</v>
      </c>
      <c r="N13" s="31">
        <f>IF(SUMIFS(Data!$L:$L,Data!$A:$A,$B13,Data!$C:$C,N$1)=0,"",SUMIFS(Data!$L:$L,Data!$A:$A,$B13,Data!$C:$C,N$1))</f>
        <v>3.25</v>
      </c>
      <c r="O13" s="31">
        <f>IF(SUMIFS(Data!$L:$L,Data!$A:$A,$B13,Data!$C:$C,O$1)=0,"",SUMIFS(Data!$L:$L,Data!$A:$A,$B13,Data!$C:$C,O$1))</f>
        <v>4</v>
      </c>
      <c r="P13" s="31">
        <f>IF(SUMIFS(Data!$L:$L,Data!$A:$A,$B13,Data!$C:$C,P$1)=0,"",SUMIFS(Data!$L:$L,Data!$A:$A,$B13,Data!$C:$C,P$1))</f>
        <v>4</v>
      </c>
      <c r="Q13" s="31">
        <f>IF(SUMIFS(Data!$L:$L,Data!$A:$A,$B13,Data!$C:$C,Q$1)=0,"",SUMIFS(Data!$L:$L,Data!$A:$A,$B13,Data!$C:$C,Q$1))</f>
        <v>3.25</v>
      </c>
      <c r="R13" s="31">
        <f>SUM(C13:Q13)</f>
        <v>50.5</v>
      </c>
    </row>
    <row r="14" spans="1:18" x14ac:dyDescent="0.35">
      <c r="A14" s="79">
        <v>13</v>
      </c>
      <c r="B14" s="30" t="s">
        <v>78</v>
      </c>
      <c r="C14" s="31">
        <f>IF(SUMIFS(Data!$L:$L,Data!$A:$A,$B14,Data!$C:$C,C$1)=0,"",SUMIFS(Data!$L:$L,Data!$A:$A,$B14,Data!$C:$C,C$1))</f>
        <v>3.5</v>
      </c>
      <c r="D14" s="31">
        <f>IF(SUMIFS(Data!$L:$L,Data!$A:$A,$B14,Data!$C:$C,D$1)=0,"",SUMIFS(Data!$L:$L,Data!$A:$A,$B14,Data!$C:$C,D$1))</f>
        <v>3.25</v>
      </c>
      <c r="E14" s="31">
        <f>IF(SUMIFS(Data!$L:$L,Data!$A:$A,$B14,Data!$C:$C,E$1)=0,"",SUMIFS(Data!$L:$L,Data!$A:$A,$B14,Data!$C:$C,E$1))</f>
        <v>3.75</v>
      </c>
      <c r="F14" s="31">
        <f>IF(SUMIFS(Data!$L:$L,Data!$A:$A,$B14,Data!$C:$C,F$1)=0,"",SUMIFS(Data!$L:$L,Data!$A:$A,$B14,Data!$C:$C,F$1))</f>
        <v>4.5</v>
      </c>
      <c r="G14" s="31">
        <f>IF(SUMIFS(Data!$L:$L,Data!$A:$A,$B14,Data!$C:$C,G$1)=0,"",SUMIFS(Data!$L:$L,Data!$A:$A,$B14,Data!$C:$C,G$1))</f>
        <v>3.75</v>
      </c>
      <c r="H14" s="31">
        <f>IF(SUMIFS(Data!$L:$L,Data!$A:$A,$B14,Data!$C:$C,H$1)=0,"",SUMIFS(Data!$L:$L,Data!$A:$A,$B14,Data!$C:$C,H$1))</f>
        <v>2.5</v>
      </c>
      <c r="I14" s="31">
        <f>IF(SUMIFS(Data!$L:$L,Data!$A:$A,$B14,Data!$C:$C,I$1)=0,"",SUMIFS(Data!$L:$L,Data!$A:$A,$B14,Data!$C:$C,I$1))</f>
        <v>3.25</v>
      </c>
      <c r="J14" s="31">
        <f>IF(SUMIFS(Data!$L:$L,Data!$A:$A,$B14,Data!$C:$C,J$1)=0,"",SUMIFS(Data!$L:$L,Data!$A:$A,$B14,Data!$C:$C,J$1))</f>
        <v>2.75</v>
      </c>
      <c r="K14" s="31">
        <f>IF(SUMIFS(Data!$L:$L,Data!$A:$A,$B14,Data!$C:$C,K$1)=0,"",SUMIFS(Data!$L:$L,Data!$A:$A,$B14,Data!$C:$C,K$1))</f>
        <v>3</v>
      </c>
      <c r="L14" s="31">
        <f>IF(SUMIFS(Data!$L:$L,Data!$A:$A,$B14,Data!$C:$C,L$1)=0,"",SUMIFS(Data!$L:$L,Data!$A:$A,$B14,Data!$C:$C,L$1))</f>
        <v>2.5</v>
      </c>
      <c r="M14" s="31">
        <f>IF(SUMIFS(Data!$L:$L,Data!$A:$A,$B14,Data!$C:$C,M$1)=0,"",SUMIFS(Data!$L:$L,Data!$A:$A,$B14,Data!$C:$C,M$1))</f>
        <v>3.25</v>
      </c>
      <c r="N14" s="31">
        <f>IF(SUMIFS(Data!$L:$L,Data!$A:$A,$B14,Data!$C:$C,N$1)=0,"",SUMIFS(Data!$L:$L,Data!$A:$A,$B14,Data!$C:$C,N$1))</f>
        <v>3.5</v>
      </c>
      <c r="O14" s="31">
        <f>IF(SUMIFS(Data!$L:$L,Data!$A:$A,$B14,Data!$C:$C,O$1)=0,"",SUMIFS(Data!$L:$L,Data!$A:$A,$B14,Data!$C:$C,O$1))</f>
        <v>3.25</v>
      </c>
      <c r="P14" s="31">
        <f>IF(SUMIFS(Data!$L:$L,Data!$A:$A,$B14,Data!$C:$C,P$1)=0,"",SUMIFS(Data!$L:$L,Data!$A:$A,$B14,Data!$C:$C,P$1))</f>
        <v>4</v>
      </c>
      <c r="Q14" s="31">
        <f>IF(SUMIFS(Data!$L:$L,Data!$A:$A,$B14,Data!$C:$C,Q$1)=0,"",SUMIFS(Data!$L:$L,Data!$A:$A,$B14,Data!$C:$C,Q$1))</f>
        <v>3.75</v>
      </c>
      <c r="R14" s="31">
        <f>SUM(C14:Q14)</f>
        <v>50.5</v>
      </c>
    </row>
    <row r="15" spans="1:18" x14ac:dyDescent="0.35">
      <c r="A15" s="79">
        <v>14</v>
      </c>
      <c r="B15" s="30" t="s">
        <v>205</v>
      </c>
      <c r="C15" s="31">
        <f>IF(SUMIFS(Data!$L:$L,Data!$A:$A,$B15,Data!$C:$C,C$1)=0,"",SUMIFS(Data!$L:$L,Data!$A:$A,$B15,Data!$C:$C,C$1))</f>
        <v>4</v>
      </c>
      <c r="D15" s="31">
        <f>IF(SUMIFS(Data!$L:$L,Data!$A:$A,$B15,Data!$C:$C,D$1)=0,"",SUMIFS(Data!$L:$L,Data!$A:$A,$B15,Data!$C:$C,D$1))</f>
        <v>3.5</v>
      </c>
      <c r="E15" s="31">
        <f>IF(SUMIFS(Data!$L:$L,Data!$A:$A,$B15,Data!$C:$C,E$1)=0,"",SUMIFS(Data!$L:$L,Data!$A:$A,$B15,Data!$C:$C,E$1))</f>
        <v>3.25</v>
      </c>
      <c r="F15" s="31">
        <f>IF(SUMIFS(Data!$L:$L,Data!$A:$A,$B15,Data!$C:$C,F$1)=0,"",SUMIFS(Data!$L:$L,Data!$A:$A,$B15,Data!$C:$C,F$1))</f>
        <v>2.75</v>
      </c>
      <c r="G15" s="31">
        <f>IF(SUMIFS(Data!$L:$L,Data!$A:$A,$B15,Data!$C:$C,G$1)=0,"",SUMIFS(Data!$L:$L,Data!$A:$A,$B15,Data!$C:$C,G$1))</f>
        <v>4</v>
      </c>
      <c r="H15" s="31">
        <f>IF(SUMIFS(Data!$L:$L,Data!$A:$A,$B15,Data!$C:$C,H$1)=0,"",SUMIFS(Data!$L:$L,Data!$A:$A,$B15,Data!$C:$C,H$1))</f>
        <v>3.5</v>
      </c>
      <c r="I15" s="31">
        <f>IF(SUMIFS(Data!$L:$L,Data!$A:$A,$B15,Data!$C:$C,I$1)=0,"",SUMIFS(Data!$L:$L,Data!$A:$A,$B15,Data!$C:$C,I$1))</f>
        <v>3.25</v>
      </c>
      <c r="J15" s="31">
        <f>IF(SUMIFS(Data!$L:$L,Data!$A:$A,$B15,Data!$C:$C,J$1)=0,"",SUMIFS(Data!$L:$L,Data!$A:$A,$B15,Data!$C:$C,J$1))</f>
        <v>3</v>
      </c>
      <c r="K15" s="31">
        <f>IF(SUMIFS(Data!$L:$L,Data!$A:$A,$B15,Data!$C:$C,K$1)=0,"",SUMIFS(Data!$L:$L,Data!$A:$A,$B15,Data!$C:$C,K$1))</f>
        <v>2</v>
      </c>
      <c r="L15" s="31">
        <f>IF(SUMIFS(Data!$L:$L,Data!$A:$A,$B15,Data!$C:$C,L$1)=0,"",SUMIFS(Data!$L:$L,Data!$A:$A,$B15,Data!$C:$C,L$1))</f>
        <v>3.25</v>
      </c>
      <c r="M15" s="31">
        <f>IF(SUMIFS(Data!$L:$L,Data!$A:$A,$B15,Data!$C:$C,M$1)=0,"",SUMIFS(Data!$L:$L,Data!$A:$A,$B15,Data!$C:$C,M$1))</f>
        <v>3.5</v>
      </c>
      <c r="N15" s="31">
        <f>IF(SUMIFS(Data!$L:$L,Data!$A:$A,$B15,Data!$C:$C,N$1)=0,"",SUMIFS(Data!$L:$L,Data!$A:$A,$B15,Data!$C:$C,N$1))</f>
        <v>3.5</v>
      </c>
      <c r="O15" s="31">
        <f>IF(SUMIFS(Data!$L:$L,Data!$A:$A,$B15,Data!$C:$C,O$1)=0,"",SUMIFS(Data!$L:$L,Data!$A:$A,$B15,Data!$C:$C,O$1))</f>
        <v>3</v>
      </c>
      <c r="P15" s="31">
        <f>IF(SUMIFS(Data!$L:$L,Data!$A:$A,$B15,Data!$C:$C,P$1)=0,"",SUMIFS(Data!$L:$L,Data!$A:$A,$B15,Data!$C:$C,P$1))</f>
        <v>2</v>
      </c>
      <c r="Q15" s="31">
        <f>IF(SUMIFS(Data!$L:$L,Data!$A:$A,$B15,Data!$C:$C,Q$1)=0,"",SUMIFS(Data!$L:$L,Data!$A:$A,$B15,Data!$C:$C,Q$1))</f>
        <v>3.75</v>
      </c>
      <c r="R15" s="31">
        <f>SUM(C15:Q15)</f>
        <v>48.25</v>
      </c>
    </row>
    <row r="16" spans="1:18" x14ac:dyDescent="0.35">
      <c r="A16" s="79">
        <v>15</v>
      </c>
      <c r="B16" s="30" t="s">
        <v>331</v>
      </c>
      <c r="C16" s="31">
        <f>IF(SUMIFS(Data!$L:$L,Data!$A:$A,$B16,Data!$C:$C,C$1)=0,"",SUMIFS(Data!$L:$L,Data!$A:$A,$B16,Data!$C:$C,C$1))</f>
        <v>2.5</v>
      </c>
      <c r="D16" s="31">
        <f>IF(SUMIFS(Data!$L:$L,Data!$A:$A,$B16,Data!$C:$C,D$1)=0,"",SUMIFS(Data!$L:$L,Data!$A:$A,$B16,Data!$C:$C,D$1))</f>
        <v>2.75</v>
      </c>
      <c r="E16" s="31">
        <f>IF(SUMIFS(Data!$L:$L,Data!$A:$A,$B16,Data!$C:$C,E$1)=0,"",SUMIFS(Data!$L:$L,Data!$A:$A,$B16,Data!$C:$C,E$1))</f>
        <v>3.75</v>
      </c>
      <c r="F16" s="31">
        <f>IF(SUMIFS(Data!$L:$L,Data!$A:$A,$B16,Data!$C:$C,F$1)=0,"",SUMIFS(Data!$L:$L,Data!$A:$A,$B16,Data!$C:$C,F$1))</f>
        <v>3.75</v>
      </c>
      <c r="G16" s="31">
        <f>IF(SUMIFS(Data!$L:$L,Data!$A:$A,$B16,Data!$C:$C,G$1)=0,"",SUMIFS(Data!$L:$L,Data!$A:$A,$B16,Data!$C:$C,G$1))</f>
        <v>2.5</v>
      </c>
      <c r="H16" s="31">
        <f>IF(SUMIFS(Data!$L:$L,Data!$A:$A,$B16,Data!$C:$C,H$1)=0,"",SUMIFS(Data!$L:$L,Data!$A:$A,$B16,Data!$C:$C,H$1))</f>
        <v>3.75</v>
      </c>
      <c r="I16" s="31">
        <f>IF(SUMIFS(Data!$L:$L,Data!$A:$A,$B16,Data!$C:$C,I$1)=0,"",SUMIFS(Data!$L:$L,Data!$A:$A,$B16,Data!$C:$C,I$1))</f>
        <v>3.25</v>
      </c>
      <c r="J16" s="31">
        <f>IF(SUMIFS(Data!$L:$L,Data!$A:$A,$B16,Data!$C:$C,J$1)=0,"",SUMIFS(Data!$L:$L,Data!$A:$A,$B16,Data!$C:$C,J$1))</f>
        <v>3.5</v>
      </c>
      <c r="K16" s="31">
        <f>IF(SUMIFS(Data!$L:$L,Data!$A:$A,$B16,Data!$C:$C,K$1)=0,"",SUMIFS(Data!$L:$L,Data!$A:$A,$B16,Data!$C:$C,K$1))</f>
        <v>3</v>
      </c>
      <c r="L16" s="31">
        <f>IF(SUMIFS(Data!$L:$L,Data!$A:$A,$B16,Data!$C:$C,L$1)=0,"",SUMIFS(Data!$L:$L,Data!$A:$A,$B16,Data!$C:$C,L$1))</f>
        <v>3</v>
      </c>
      <c r="M16" s="31">
        <f>IF(SUMIFS(Data!$L:$L,Data!$A:$A,$B16,Data!$C:$C,M$1)=0,"",SUMIFS(Data!$L:$L,Data!$A:$A,$B16,Data!$C:$C,M$1))</f>
        <v>3</v>
      </c>
      <c r="N16" s="31">
        <f>IF(SUMIFS(Data!$L:$L,Data!$A:$A,$B16,Data!$C:$C,N$1)=0,"",SUMIFS(Data!$L:$L,Data!$A:$A,$B16,Data!$C:$C,N$1))</f>
        <v>3.25</v>
      </c>
      <c r="O16" s="31">
        <f>IF(SUMIFS(Data!$L:$L,Data!$A:$A,$B16,Data!$C:$C,O$1)=0,"",SUMIFS(Data!$L:$L,Data!$A:$A,$B16,Data!$C:$C,O$1))</f>
        <v>4.25</v>
      </c>
      <c r="P16" s="31">
        <f>IF(SUMIFS(Data!$L:$L,Data!$A:$A,$B16,Data!$C:$C,P$1)=0,"",SUMIFS(Data!$L:$L,Data!$A:$A,$B16,Data!$C:$C,P$1))</f>
        <v>3</v>
      </c>
      <c r="Q16" s="31">
        <f>IF(SUMIFS(Data!$L:$L,Data!$A:$A,$B16,Data!$C:$C,Q$1)=0,"",SUMIFS(Data!$L:$L,Data!$A:$A,$B16,Data!$C:$C,Q$1))</f>
        <v>3</v>
      </c>
      <c r="R16" s="31">
        <f>SUM(C16:Q16)</f>
        <v>48.25</v>
      </c>
    </row>
    <row r="17" spans="1:18" x14ac:dyDescent="0.35">
      <c r="A17" s="79">
        <v>16</v>
      </c>
      <c r="B17" s="30" t="s">
        <v>356</v>
      </c>
      <c r="C17" s="31">
        <f>IF(SUMIFS(Data!$L:$L,Data!$A:$A,$B17,Data!$C:$C,C$1)=0,"",SUMIFS(Data!$L:$L,Data!$A:$A,$B17,Data!$C:$C,C$1))</f>
        <v>2</v>
      </c>
      <c r="D17" s="31">
        <f>IF(SUMIFS(Data!$L:$L,Data!$A:$A,$B17,Data!$C:$C,D$1)=0,"",SUMIFS(Data!$L:$L,Data!$A:$A,$B17,Data!$C:$C,D$1))</f>
        <v>2.25</v>
      </c>
      <c r="E17" s="31">
        <f>IF(SUMIFS(Data!$L:$L,Data!$A:$A,$B17,Data!$C:$C,E$1)=0,"",SUMIFS(Data!$L:$L,Data!$A:$A,$B17,Data!$C:$C,E$1))</f>
        <v>3.75</v>
      </c>
      <c r="F17" s="31">
        <f>IF(SUMIFS(Data!$L:$L,Data!$A:$A,$B17,Data!$C:$C,F$1)=0,"",SUMIFS(Data!$L:$L,Data!$A:$A,$B17,Data!$C:$C,F$1))</f>
        <v>2.75</v>
      </c>
      <c r="G17" s="31">
        <f>IF(SUMIFS(Data!$L:$L,Data!$A:$A,$B17,Data!$C:$C,G$1)=0,"",SUMIFS(Data!$L:$L,Data!$A:$A,$B17,Data!$C:$C,G$1))</f>
        <v>2.5</v>
      </c>
      <c r="H17" s="31">
        <f>IF(SUMIFS(Data!$L:$L,Data!$A:$A,$B17,Data!$C:$C,H$1)=0,"",SUMIFS(Data!$L:$L,Data!$A:$A,$B17,Data!$C:$C,H$1))</f>
        <v>3.5</v>
      </c>
      <c r="I17" s="31">
        <f>IF(SUMIFS(Data!$L:$L,Data!$A:$A,$B17,Data!$C:$C,I$1)=0,"",SUMIFS(Data!$L:$L,Data!$A:$A,$B17,Data!$C:$C,I$1))</f>
        <v>3</v>
      </c>
      <c r="J17" s="31">
        <f>IF(SUMIFS(Data!$L:$L,Data!$A:$A,$B17,Data!$C:$C,J$1)=0,"",SUMIFS(Data!$L:$L,Data!$A:$A,$B17,Data!$C:$C,J$1))</f>
        <v>3</v>
      </c>
      <c r="K17" s="31">
        <f>IF(SUMIFS(Data!$L:$L,Data!$A:$A,$B17,Data!$C:$C,K$1)=0,"",SUMIFS(Data!$L:$L,Data!$A:$A,$B17,Data!$C:$C,K$1))</f>
        <v>3.25</v>
      </c>
      <c r="L17" s="31">
        <f>IF(SUMIFS(Data!$L:$L,Data!$A:$A,$B17,Data!$C:$C,L$1)=0,"",SUMIFS(Data!$L:$L,Data!$A:$A,$B17,Data!$C:$C,L$1))</f>
        <v>2.5</v>
      </c>
      <c r="M17" s="31">
        <f>IF(SUMIFS(Data!$L:$L,Data!$A:$A,$B17,Data!$C:$C,M$1)=0,"",SUMIFS(Data!$L:$L,Data!$A:$A,$B17,Data!$C:$C,M$1))</f>
        <v>3.75</v>
      </c>
      <c r="N17" s="31">
        <f>IF(SUMIFS(Data!$L:$L,Data!$A:$A,$B17,Data!$C:$C,N$1)=0,"",SUMIFS(Data!$L:$L,Data!$A:$A,$B17,Data!$C:$C,N$1))</f>
        <v>3</v>
      </c>
      <c r="O17" s="31">
        <f>IF(SUMIFS(Data!$L:$L,Data!$A:$A,$B17,Data!$C:$C,O$1)=0,"",SUMIFS(Data!$L:$L,Data!$A:$A,$B17,Data!$C:$C,O$1))</f>
        <v>3.5</v>
      </c>
      <c r="P17" s="31">
        <f>IF(SUMIFS(Data!$L:$L,Data!$A:$A,$B17,Data!$C:$C,P$1)=0,"",SUMIFS(Data!$L:$L,Data!$A:$A,$B17,Data!$C:$C,P$1))</f>
        <v>4.5</v>
      </c>
      <c r="Q17" s="31">
        <f>IF(SUMIFS(Data!$L:$L,Data!$A:$A,$B17,Data!$C:$C,Q$1)=0,"",SUMIFS(Data!$L:$L,Data!$A:$A,$B17,Data!$C:$C,Q$1))</f>
        <v>2.75</v>
      </c>
      <c r="R17" s="31">
        <f>SUM(C17:Q17)</f>
        <v>46</v>
      </c>
    </row>
    <row r="18" spans="1:18" x14ac:dyDescent="0.35">
      <c r="A18" s="79">
        <v>17</v>
      </c>
      <c r="B18" s="30" t="s">
        <v>177</v>
      </c>
      <c r="C18" s="31">
        <f>IF(SUMIFS(Data!$L:$L,Data!$A:$A,$B18,Data!$C:$C,C$1)=0,"",SUMIFS(Data!$L:$L,Data!$A:$A,$B18,Data!$C:$C,C$1))</f>
        <v>2.5</v>
      </c>
      <c r="D18" s="31">
        <f>IF(SUMIFS(Data!$L:$L,Data!$A:$A,$B18,Data!$C:$C,D$1)=0,"",SUMIFS(Data!$L:$L,Data!$A:$A,$B18,Data!$C:$C,D$1))</f>
        <v>2.5</v>
      </c>
      <c r="E18" s="31">
        <f>IF(SUMIFS(Data!$L:$L,Data!$A:$A,$B18,Data!$C:$C,E$1)=0,"",SUMIFS(Data!$L:$L,Data!$A:$A,$B18,Data!$C:$C,E$1))</f>
        <v>3.25</v>
      </c>
      <c r="F18" s="31">
        <f>IF(SUMIFS(Data!$L:$L,Data!$A:$A,$B18,Data!$C:$C,F$1)=0,"",SUMIFS(Data!$L:$L,Data!$A:$A,$B18,Data!$C:$C,F$1))</f>
        <v>3.25</v>
      </c>
      <c r="G18" s="31">
        <f>IF(SUMIFS(Data!$L:$L,Data!$A:$A,$B18,Data!$C:$C,G$1)=0,"",SUMIFS(Data!$L:$L,Data!$A:$A,$B18,Data!$C:$C,G$1))</f>
        <v>3</v>
      </c>
      <c r="H18" s="31">
        <f>IF(SUMIFS(Data!$L:$L,Data!$A:$A,$B18,Data!$C:$C,H$1)=0,"",SUMIFS(Data!$L:$L,Data!$A:$A,$B18,Data!$C:$C,H$1))</f>
        <v>3</v>
      </c>
      <c r="I18" s="31">
        <f>IF(SUMIFS(Data!$L:$L,Data!$A:$A,$B18,Data!$C:$C,I$1)=0,"",SUMIFS(Data!$L:$L,Data!$A:$A,$B18,Data!$C:$C,I$1))</f>
        <v>2.75</v>
      </c>
      <c r="J18" s="31">
        <f>IF(SUMIFS(Data!$L:$L,Data!$A:$A,$B18,Data!$C:$C,J$1)=0,"",SUMIFS(Data!$L:$L,Data!$A:$A,$B18,Data!$C:$C,J$1))</f>
        <v>3</v>
      </c>
      <c r="K18" s="31">
        <f>IF(SUMIFS(Data!$L:$L,Data!$A:$A,$B18,Data!$C:$C,K$1)=0,"",SUMIFS(Data!$L:$L,Data!$A:$A,$B18,Data!$C:$C,K$1))</f>
        <v>3</v>
      </c>
      <c r="L18" s="31">
        <f>IF(SUMIFS(Data!$L:$L,Data!$A:$A,$B18,Data!$C:$C,L$1)=0,"",SUMIFS(Data!$L:$L,Data!$A:$A,$B18,Data!$C:$C,L$1))</f>
        <v>3</v>
      </c>
      <c r="M18" s="31">
        <f>IF(SUMIFS(Data!$L:$L,Data!$A:$A,$B18,Data!$C:$C,M$1)=0,"",SUMIFS(Data!$L:$L,Data!$A:$A,$B18,Data!$C:$C,M$1))</f>
        <v>3.25</v>
      </c>
      <c r="N18" s="31">
        <f>IF(SUMIFS(Data!$L:$L,Data!$A:$A,$B18,Data!$C:$C,N$1)=0,"",SUMIFS(Data!$L:$L,Data!$A:$A,$B18,Data!$C:$C,N$1))</f>
        <v>3</v>
      </c>
      <c r="O18" s="31">
        <f>IF(SUMIFS(Data!$L:$L,Data!$A:$A,$B18,Data!$C:$C,O$1)=0,"",SUMIFS(Data!$L:$L,Data!$A:$A,$B18,Data!$C:$C,O$1))</f>
        <v>3.25</v>
      </c>
      <c r="P18" s="31">
        <f>IF(SUMIFS(Data!$L:$L,Data!$A:$A,$B18,Data!$C:$C,P$1)=0,"",SUMIFS(Data!$L:$L,Data!$A:$A,$B18,Data!$C:$C,P$1))</f>
        <v>3</v>
      </c>
      <c r="Q18" s="31">
        <f>IF(SUMIFS(Data!$L:$L,Data!$A:$A,$B18,Data!$C:$C,Q$1)=0,"",SUMIFS(Data!$L:$L,Data!$A:$A,$B18,Data!$C:$C,Q$1))</f>
        <v>3</v>
      </c>
      <c r="R18" s="31">
        <f>SUM(C18:Q18)</f>
        <v>44.75</v>
      </c>
    </row>
    <row r="19" spans="1:18" x14ac:dyDescent="0.35">
      <c r="A19" s="79">
        <v>18</v>
      </c>
      <c r="B19" s="30" t="s">
        <v>114</v>
      </c>
      <c r="C19" s="31">
        <f>IF(SUMIFS(Data!$L:$L,Data!$A:$A,$B19,Data!$C:$C,C$1)=0,"",SUMIFS(Data!$L:$L,Data!$A:$A,$B19,Data!$C:$C,C$1))</f>
        <v>3.75</v>
      </c>
      <c r="D19" s="31">
        <f>IF(SUMIFS(Data!$L:$L,Data!$A:$A,$B19,Data!$C:$C,D$1)=0,"",SUMIFS(Data!$L:$L,Data!$A:$A,$B19,Data!$C:$C,D$1))</f>
        <v>4.25</v>
      </c>
      <c r="E19" s="31">
        <f>IF(SUMIFS(Data!$L:$L,Data!$A:$A,$B19,Data!$C:$C,E$1)=0,"",SUMIFS(Data!$L:$L,Data!$A:$A,$B19,Data!$C:$C,E$1))</f>
        <v>1.5</v>
      </c>
      <c r="F19" s="31">
        <f>IF(SUMIFS(Data!$L:$L,Data!$A:$A,$B19,Data!$C:$C,F$1)=0,"",SUMIFS(Data!$L:$L,Data!$A:$A,$B19,Data!$C:$C,F$1))</f>
        <v>3.25</v>
      </c>
      <c r="G19" s="31">
        <f>IF(SUMIFS(Data!$L:$L,Data!$A:$A,$B19,Data!$C:$C,G$1)=0,"",SUMIFS(Data!$L:$L,Data!$A:$A,$B19,Data!$C:$C,G$1))</f>
        <v>3.75</v>
      </c>
      <c r="H19" s="31">
        <f>IF(SUMIFS(Data!$L:$L,Data!$A:$A,$B19,Data!$C:$C,H$1)=0,"",SUMIFS(Data!$L:$L,Data!$A:$A,$B19,Data!$C:$C,H$1))</f>
        <v>1.5</v>
      </c>
      <c r="I19" s="31">
        <f>IF(SUMIFS(Data!$L:$L,Data!$A:$A,$B19,Data!$C:$C,I$1)=0,"",SUMIFS(Data!$L:$L,Data!$A:$A,$B19,Data!$C:$C,I$1))</f>
        <v>1.5</v>
      </c>
      <c r="J19" s="31">
        <f>IF(SUMIFS(Data!$L:$L,Data!$A:$A,$B19,Data!$C:$C,J$1)=0,"",SUMIFS(Data!$L:$L,Data!$A:$A,$B19,Data!$C:$C,J$1))</f>
        <v>2.5</v>
      </c>
      <c r="K19" s="31">
        <f>IF(SUMIFS(Data!$L:$L,Data!$A:$A,$B19,Data!$C:$C,K$1)=0,"",SUMIFS(Data!$L:$L,Data!$A:$A,$B19,Data!$C:$C,K$1))</f>
        <v>3.5</v>
      </c>
      <c r="L19" s="31">
        <f>IF(SUMIFS(Data!$L:$L,Data!$A:$A,$B19,Data!$C:$C,L$1)=0,"",SUMIFS(Data!$L:$L,Data!$A:$A,$B19,Data!$C:$C,L$1))</f>
        <v>3.5</v>
      </c>
      <c r="M19" s="31">
        <f>IF(SUMIFS(Data!$L:$L,Data!$A:$A,$B19,Data!$C:$C,M$1)=0,"",SUMIFS(Data!$L:$L,Data!$A:$A,$B19,Data!$C:$C,M$1))</f>
        <v>3.75</v>
      </c>
      <c r="N19" s="31">
        <f>IF(SUMIFS(Data!$L:$L,Data!$A:$A,$B19,Data!$C:$C,N$1)=0,"",SUMIFS(Data!$L:$L,Data!$A:$A,$B19,Data!$C:$C,N$1))</f>
        <v>2.75</v>
      </c>
      <c r="O19" s="31">
        <f>IF(SUMIFS(Data!$L:$L,Data!$A:$A,$B19,Data!$C:$C,O$1)=0,"",SUMIFS(Data!$L:$L,Data!$A:$A,$B19,Data!$C:$C,O$1))</f>
        <v>3</v>
      </c>
      <c r="P19" s="31">
        <f>IF(SUMIFS(Data!$L:$L,Data!$A:$A,$B19,Data!$C:$C,P$1)=0,"",SUMIFS(Data!$L:$L,Data!$A:$A,$B19,Data!$C:$C,P$1))</f>
        <v>3</v>
      </c>
      <c r="Q19" s="31">
        <f>IF(SUMIFS(Data!$L:$L,Data!$A:$A,$B19,Data!$C:$C,Q$1)=0,"",SUMIFS(Data!$L:$L,Data!$A:$A,$B19,Data!$C:$C,Q$1))</f>
        <v>2.75</v>
      </c>
      <c r="R19" s="31">
        <f>SUM(C19:Q19)</f>
        <v>44.25</v>
      </c>
    </row>
    <row r="20" spans="1:18" x14ac:dyDescent="0.35">
      <c r="A20" s="79">
        <v>19</v>
      </c>
      <c r="B20" s="30" t="s">
        <v>332</v>
      </c>
      <c r="C20" s="31">
        <f>IF(SUMIFS(Data!$L:$L,Data!$A:$A,$B20,Data!$C:$C,C$1)=0,"",SUMIFS(Data!$L:$L,Data!$A:$A,$B20,Data!$C:$C,C$1))</f>
        <v>1.5</v>
      </c>
      <c r="D20" s="31">
        <f>IF(SUMIFS(Data!$L:$L,Data!$A:$A,$B20,Data!$C:$C,D$1)=0,"",SUMIFS(Data!$L:$L,Data!$A:$A,$B20,Data!$C:$C,D$1))</f>
        <v>2.75</v>
      </c>
      <c r="E20" s="31">
        <f>IF(SUMIFS(Data!$L:$L,Data!$A:$A,$B20,Data!$C:$C,E$1)=0,"",SUMIFS(Data!$L:$L,Data!$A:$A,$B20,Data!$C:$C,E$1))</f>
        <v>2.75</v>
      </c>
      <c r="F20" s="31">
        <f>IF(SUMIFS(Data!$L:$L,Data!$A:$A,$B20,Data!$C:$C,F$1)=0,"",SUMIFS(Data!$L:$L,Data!$A:$A,$B20,Data!$C:$C,F$1))</f>
        <v>3</v>
      </c>
      <c r="G20" s="31">
        <f>IF(SUMIFS(Data!$L:$L,Data!$A:$A,$B20,Data!$C:$C,G$1)=0,"",SUMIFS(Data!$L:$L,Data!$A:$A,$B20,Data!$C:$C,G$1))</f>
        <v>2.5</v>
      </c>
      <c r="H20" s="31">
        <f>IF(SUMIFS(Data!$L:$L,Data!$A:$A,$B20,Data!$C:$C,H$1)=0,"",SUMIFS(Data!$L:$L,Data!$A:$A,$B20,Data!$C:$C,H$1))</f>
        <v>4</v>
      </c>
      <c r="I20" s="31">
        <f>IF(SUMIFS(Data!$L:$L,Data!$A:$A,$B20,Data!$C:$C,I$1)=0,"",SUMIFS(Data!$L:$L,Data!$A:$A,$B20,Data!$C:$C,I$1))</f>
        <v>3</v>
      </c>
      <c r="J20" s="31">
        <f>IF(SUMIFS(Data!$L:$L,Data!$A:$A,$B20,Data!$C:$C,J$1)=0,"",SUMIFS(Data!$L:$L,Data!$A:$A,$B20,Data!$C:$C,J$1))</f>
        <v>2.75</v>
      </c>
      <c r="K20" s="31">
        <f>IF(SUMIFS(Data!$L:$L,Data!$A:$A,$B20,Data!$C:$C,K$1)=0,"",SUMIFS(Data!$L:$L,Data!$A:$A,$B20,Data!$C:$C,K$1))</f>
        <v>2.75</v>
      </c>
      <c r="L20" s="31">
        <f>IF(SUMIFS(Data!$L:$L,Data!$A:$A,$B20,Data!$C:$C,L$1)=0,"",SUMIFS(Data!$L:$L,Data!$A:$A,$B20,Data!$C:$C,L$1))</f>
        <v>3</v>
      </c>
      <c r="M20" s="31">
        <f>IF(SUMIFS(Data!$L:$L,Data!$A:$A,$B20,Data!$C:$C,M$1)=0,"",SUMIFS(Data!$L:$L,Data!$A:$A,$B20,Data!$C:$C,M$1))</f>
        <v>2.75</v>
      </c>
      <c r="N20" s="31">
        <f>IF(SUMIFS(Data!$L:$L,Data!$A:$A,$B20,Data!$C:$C,N$1)=0,"",SUMIFS(Data!$L:$L,Data!$A:$A,$B20,Data!$C:$C,N$1))</f>
        <v>3.5</v>
      </c>
      <c r="O20" s="31">
        <f>IF(SUMIFS(Data!$L:$L,Data!$A:$A,$B20,Data!$C:$C,O$1)=0,"",SUMIFS(Data!$L:$L,Data!$A:$A,$B20,Data!$C:$C,O$1))</f>
        <v>3</v>
      </c>
      <c r="P20" s="31">
        <f>IF(SUMIFS(Data!$L:$L,Data!$A:$A,$B20,Data!$C:$C,P$1)=0,"",SUMIFS(Data!$L:$L,Data!$A:$A,$B20,Data!$C:$C,P$1))</f>
        <v>3</v>
      </c>
      <c r="Q20" s="31">
        <f>IF(SUMIFS(Data!$L:$L,Data!$A:$A,$B20,Data!$C:$C,Q$1)=0,"",SUMIFS(Data!$L:$L,Data!$A:$A,$B20,Data!$C:$C,Q$1))</f>
        <v>3</v>
      </c>
      <c r="R20" s="31">
        <f>SUM(C20:Q20)</f>
        <v>43.25</v>
      </c>
    </row>
    <row r="21" spans="1:18" x14ac:dyDescent="0.35">
      <c r="A21" s="79">
        <v>20</v>
      </c>
      <c r="B21" s="30" t="s">
        <v>296</v>
      </c>
      <c r="C21" s="31">
        <f>IF(SUMIFS(Data!$L:$L,Data!$A:$A,$B21,Data!$C:$C,C$1)=0,"",SUMIFS(Data!$L:$L,Data!$A:$A,$B21,Data!$C:$C,C$1))</f>
        <v>2.5</v>
      </c>
      <c r="D21" s="31">
        <f>IF(SUMIFS(Data!$L:$L,Data!$A:$A,$B21,Data!$C:$C,D$1)=0,"",SUMIFS(Data!$L:$L,Data!$A:$A,$B21,Data!$C:$C,D$1))</f>
        <v>1.5</v>
      </c>
      <c r="E21" s="31">
        <f>IF(SUMIFS(Data!$L:$L,Data!$A:$A,$B21,Data!$C:$C,E$1)=0,"",SUMIFS(Data!$L:$L,Data!$A:$A,$B21,Data!$C:$C,E$1))</f>
        <v>3.5</v>
      </c>
      <c r="F21" s="31">
        <f>IF(SUMIFS(Data!$L:$L,Data!$A:$A,$B21,Data!$C:$C,F$1)=0,"",SUMIFS(Data!$L:$L,Data!$A:$A,$B21,Data!$C:$C,F$1))</f>
        <v>3.5</v>
      </c>
      <c r="G21" s="31">
        <f>IF(SUMIFS(Data!$L:$L,Data!$A:$A,$B21,Data!$C:$C,G$1)=0,"",SUMIFS(Data!$L:$L,Data!$A:$A,$B21,Data!$C:$C,G$1))</f>
        <v>3</v>
      </c>
      <c r="H21" s="31">
        <f>IF(SUMIFS(Data!$L:$L,Data!$A:$A,$B21,Data!$C:$C,H$1)=0,"",SUMIFS(Data!$L:$L,Data!$A:$A,$B21,Data!$C:$C,H$1))</f>
        <v>3.25</v>
      </c>
      <c r="I21" s="31">
        <f>IF(SUMIFS(Data!$L:$L,Data!$A:$A,$B21,Data!$C:$C,I$1)=0,"",SUMIFS(Data!$L:$L,Data!$A:$A,$B21,Data!$C:$C,I$1))</f>
        <v>2.5</v>
      </c>
      <c r="J21" s="31">
        <f>IF(SUMIFS(Data!$L:$L,Data!$A:$A,$B21,Data!$C:$C,J$1)=0,"",SUMIFS(Data!$L:$L,Data!$A:$A,$B21,Data!$C:$C,J$1))</f>
        <v>3.5</v>
      </c>
      <c r="K21" s="31">
        <f>IF(SUMIFS(Data!$L:$L,Data!$A:$A,$B21,Data!$C:$C,K$1)=0,"",SUMIFS(Data!$L:$L,Data!$A:$A,$B21,Data!$C:$C,K$1))</f>
        <v>3</v>
      </c>
      <c r="L21" s="31">
        <f>IF(SUMIFS(Data!$L:$L,Data!$A:$A,$B21,Data!$C:$C,L$1)=0,"",SUMIFS(Data!$L:$L,Data!$A:$A,$B21,Data!$C:$C,L$1))</f>
        <v>2.75</v>
      </c>
      <c r="M21" s="31">
        <f>IF(SUMIFS(Data!$L:$L,Data!$A:$A,$B21,Data!$C:$C,M$1)=0,"",SUMIFS(Data!$L:$L,Data!$A:$A,$B21,Data!$C:$C,M$1))</f>
        <v>2.5</v>
      </c>
      <c r="N21" s="31">
        <f>IF(SUMIFS(Data!$L:$L,Data!$A:$A,$B21,Data!$C:$C,N$1)=0,"",SUMIFS(Data!$L:$L,Data!$A:$A,$B21,Data!$C:$C,N$1))</f>
        <v>3.25</v>
      </c>
      <c r="O21" s="31">
        <f>IF(SUMIFS(Data!$L:$L,Data!$A:$A,$B21,Data!$C:$C,O$1)=0,"",SUMIFS(Data!$L:$L,Data!$A:$A,$B21,Data!$C:$C,O$1))</f>
        <v>3</v>
      </c>
      <c r="P21" s="31">
        <f>IF(SUMIFS(Data!$L:$L,Data!$A:$A,$B21,Data!$C:$C,P$1)=0,"",SUMIFS(Data!$L:$L,Data!$A:$A,$B21,Data!$C:$C,P$1))</f>
        <v>3</v>
      </c>
      <c r="Q21" s="31">
        <f>IF(SUMIFS(Data!$L:$L,Data!$A:$A,$B21,Data!$C:$C,Q$1)=0,"",SUMIFS(Data!$L:$L,Data!$A:$A,$B21,Data!$C:$C,Q$1))</f>
        <v>2.25</v>
      </c>
      <c r="R21" s="31">
        <f>SUM(C21:Q21)</f>
        <v>43</v>
      </c>
    </row>
    <row r="22" spans="1:18" x14ac:dyDescent="0.35">
      <c r="A22" s="79">
        <v>21</v>
      </c>
      <c r="B22" s="30" t="s">
        <v>116</v>
      </c>
      <c r="C22" s="31">
        <f>IF(SUMIFS(Data!$L:$L,Data!$A:$A,$B22,Data!$C:$C,C$1)=0,"",SUMIFS(Data!$L:$L,Data!$A:$A,$B22,Data!$C:$C,C$1))</f>
        <v>2.25</v>
      </c>
      <c r="D22" s="31">
        <f>IF(SUMIFS(Data!$L:$L,Data!$A:$A,$B22,Data!$C:$C,D$1)=0,"",SUMIFS(Data!$L:$L,Data!$A:$A,$B22,Data!$C:$C,D$1))</f>
        <v>2.75</v>
      </c>
      <c r="E22" s="31">
        <f>IF(SUMIFS(Data!$L:$L,Data!$A:$A,$B22,Data!$C:$C,E$1)=0,"",SUMIFS(Data!$L:$L,Data!$A:$A,$B22,Data!$C:$C,E$1))</f>
        <v>4.25</v>
      </c>
      <c r="F22" s="31" t="str">
        <f>IF(SUMIFS(Data!$L:$L,Data!$A:$A,$B22,Data!$C:$C,F$1)=0,"",SUMIFS(Data!$L:$L,Data!$A:$A,$B22,Data!$C:$C,F$1))</f>
        <v/>
      </c>
      <c r="G22" s="31">
        <f>IF(SUMIFS(Data!$L:$L,Data!$A:$A,$B22,Data!$C:$C,G$1)=0,"",SUMIFS(Data!$L:$L,Data!$A:$A,$B22,Data!$C:$C,G$1))</f>
        <v>3</v>
      </c>
      <c r="H22" s="31">
        <f>IF(SUMIFS(Data!$L:$L,Data!$A:$A,$B22,Data!$C:$C,H$1)=0,"",SUMIFS(Data!$L:$L,Data!$A:$A,$B22,Data!$C:$C,H$1))</f>
        <v>3.25</v>
      </c>
      <c r="I22" s="31">
        <f>IF(SUMIFS(Data!$L:$L,Data!$A:$A,$B22,Data!$C:$C,I$1)=0,"",SUMIFS(Data!$L:$L,Data!$A:$A,$B22,Data!$C:$C,I$1))</f>
        <v>2.75</v>
      </c>
      <c r="J22" s="31">
        <f>IF(SUMIFS(Data!$L:$L,Data!$A:$A,$B22,Data!$C:$C,J$1)=0,"",SUMIFS(Data!$L:$L,Data!$A:$A,$B22,Data!$C:$C,J$1))</f>
        <v>3.25</v>
      </c>
      <c r="K22" s="31">
        <f>IF(SUMIFS(Data!$L:$L,Data!$A:$A,$B22,Data!$C:$C,K$1)=0,"",SUMIFS(Data!$L:$L,Data!$A:$A,$B22,Data!$C:$C,K$1))</f>
        <v>3.5</v>
      </c>
      <c r="L22" s="31" t="str">
        <f>IF(SUMIFS(Data!$L:$L,Data!$A:$A,$B22,Data!$C:$C,L$1)=0,"",SUMIFS(Data!$L:$L,Data!$A:$A,$B22,Data!$C:$C,L$1))</f>
        <v/>
      </c>
      <c r="M22" s="31">
        <f>IF(SUMIFS(Data!$L:$L,Data!$A:$A,$B22,Data!$C:$C,M$1)=0,"",SUMIFS(Data!$L:$L,Data!$A:$A,$B22,Data!$C:$C,M$1))</f>
        <v>3.75</v>
      </c>
      <c r="N22" s="31">
        <f>IF(SUMIFS(Data!$L:$L,Data!$A:$A,$B22,Data!$C:$C,N$1)=0,"",SUMIFS(Data!$L:$L,Data!$A:$A,$B22,Data!$C:$C,N$1))</f>
        <v>2.5</v>
      </c>
      <c r="O22" s="31">
        <f>IF(SUMIFS(Data!$L:$L,Data!$A:$A,$B22,Data!$C:$C,O$1)=0,"",SUMIFS(Data!$L:$L,Data!$A:$A,$B22,Data!$C:$C,O$1))</f>
        <v>3.5</v>
      </c>
      <c r="P22" s="31">
        <f>IF(SUMIFS(Data!$L:$L,Data!$A:$A,$B22,Data!$C:$C,P$1)=0,"",SUMIFS(Data!$L:$L,Data!$A:$A,$B22,Data!$C:$C,P$1))</f>
        <v>4</v>
      </c>
      <c r="Q22" s="31">
        <f>IF(SUMIFS(Data!$L:$L,Data!$A:$A,$B22,Data!$C:$C,Q$1)=0,"",SUMIFS(Data!$L:$L,Data!$A:$A,$B22,Data!$C:$C,Q$1))</f>
        <v>3.5</v>
      </c>
      <c r="R22" s="31">
        <f>SUM(C22:Q22)</f>
        <v>42.25</v>
      </c>
    </row>
    <row r="23" spans="1:18" x14ac:dyDescent="0.35">
      <c r="A23" s="79">
        <v>22</v>
      </c>
      <c r="B23" s="30" t="s">
        <v>45</v>
      </c>
      <c r="C23" s="31" t="str">
        <f>IF(SUMIFS(Data!$L:$L,Data!$A:$A,$B23,Data!$C:$C,C$1)=0,"",SUMIFS(Data!$L:$L,Data!$A:$A,$B23,Data!$C:$C,C$1))</f>
        <v/>
      </c>
      <c r="D23" s="31">
        <f>IF(SUMIFS(Data!$L:$L,Data!$A:$A,$B23,Data!$C:$C,D$1)=0,"",SUMIFS(Data!$L:$L,Data!$A:$A,$B23,Data!$C:$C,D$1))</f>
        <v>2.5</v>
      </c>
      <c r="E23" s="31">
        <f>IF(SUMIFS(Data!$L:$L,Data!$A:$A,$B23,Data!$C:$C,E$1)=0,"",SUMIFS(Data!$L:$L,Data!$A:$A,$B23,Data!$C:$C,E$1))</f>
        <v>5</v>
      </c>
      <c r="F23" s="31">
        <f>IF(SUMIFS(Data!$L:$L,Data!$A:$A,$B23,Data!$C:$C,F$1)=0,"",SUMIFS(Data!$L:$L,Data!$A:$A,$B23,Data!$C:$C,F$1))</f>
        <v>4</v>
      </c>
      <c r="G23" s="31">
        <f>IF(SUMIFS(Data!$L:$L,Data!$A:$A,$B23,Data!$C:$C,G$1)=0,"",SUMIFS(Data!$L:$L,Data!$A:$A,$B23,Data!$C:$C,G$1))</f>
        <v>3.5</v>
      </c>
      <c r="H23" s="31">
        <f>IF(SUMIFS(Data!$L:$L,Data!$A:$A,$B23,Data!$C:$C,H$1)=0,"",SUMIFS(Data!$L:$L,Data!$A:$A,$B23,Data!$C:$C,H$1))</f>
        <v>2.75</v>
      </c>
      <c r="I23" s="31" t="str">
        <f>IF(SUMIFS(Data!$L:$L,Data!$A:$A,$B23,Data!$C:$C,I$1)=0,"",SUMIFS(Data!$L:$L,Data!$A:$A,$B23,Data!$C:$C,I$1))</f>
        <v/>
      </c>
      <c r="J23" s="31">
        <f>IF(SUMIFS(Data!$L:$L,Data!$A:$A,$B23,Data!$C:$C,J$1)=0,"",SUMIFS(Data!$L:$L,Data!$A:$A,$B23,Data!$C:$C,J$1))</f>
        <v>3.5</v>
      </c>
      <c r="K23" s="31">
        <f>IF(SUMIFS(Data!$L:$L,Data!$A:$A,$B23,Data!$C:$C,K$1)=0,"",SUMIFS(Data!$L:$L,Data!$A:$A,$B23,Data!$C:$C,K$1))</f>
        <v>3.25</v>
      </c>
      <c r="L23" s="31">
        <f>IF(SUMIFS(Data!$L:$L,Data!$A:$A,$B23,Data!$C:$C,L$1)=0,"",SUMIFS(Data!$L:$L,Data!$A:$A,$B23,Data!$C:$C,L$1))</f>
        <v>3.25</v>
      </c>
      <c r="M23" s="31">
        <f>IF(SUMIFS(Data!$L:$L,Data!$A:$A,$B23,Data!$C:$C,M$1)=0,"",SUMIFS(Data!$L:$L,Data!$A:$A,$B23,Data!$C:$C,M$1))</f>
        <v>3.5</v>
      </c>
      <c r="N23" s="31">
        <f>IF(SUMIFS(Data!$L:$L,Data!$A:$A,$B23,Data!$C:$C,N$1)=0,"",SUMIFS(Data!$L:$L,Data!$A:$A,$B23,Data!$C:$C,N$1))</f>
        <v>3.25</v>
      </c>
      <c r="O23" s="31" t="str">
        <f>IF(SUMIFS(Data!$L:$L,Data!$A:$A,$B23,Data!$C:$C,O$1)=0,"",SUMIFS(Data!$L:$L,Data!$A:$A,$B23,Data!$C:$C,O$1))</f>
        <v/>
      </c>
      <c r="P23" s="31">
        <f>IF(SUMIFS(Data!$L:$L,Data!$A:$A,$B23,Data!$C:$C,P$1)=0,"",SUMIFS(Data!$L:$L,Data!$A:$A,$B23,Data!$C:$C,P$1))</f>
        <v>2.5</v>
      </c>
      <c r="Q23" s="31">
        <f>IF(SUMIFS(Data!$L:$L,Data!$A:$A,$B23,Data!$C:$C,Q$1)=0,"",SUMIFS(Data!$L:$L,Data!$A:$A,$B23,Data!$C:$C,Q$1))</f>
        <v>2.5</v>
      </c>
      <c r="R23" s="31">
        <f>SUM(C23:Q23)</f>
        <v>39.5</v>
      </c>
    </row>
    <row r="24" spans="1:18" x14ac:dyDescent="0.35">
      <c r="A24" s="79">
        <v>23</v>
      </c>
      <c r="B24" s="30" t="s">
        <v>122</v>
      </c>
      <c r="C24" s="31">
        <f>IF(SUMIFS(Data!$L:$L,Data!$A:$A,$B24,Data!$C:$C,C$1)=0,"",SUMIFS(Data!$L:$L,Data!$A:$A,$B24,Data!$C:$C,C$1))</f>
        <v>3.75</v>
      </c>
      <c r="D24" s="31">
        <f>IF(SUMIFS(Data!$L:$L,Data!$A:$A,$B24,Data!$C:$C,D$1)=0,"",SUMIFS(Data!$L:$L,Data!$A:$A,$B24,Data!$C:$C,D$1))</f>
        <v>2.75</v>
      </c>
      <c r="E24" s="31">
        <f>IF(SUMIFS(Data!$L:$L,Data!$A:$A,$B24,Data!$C:$C,E$1)=0,"",SUMIFS(Data!$L:$L,Data!$A:$A,$B24,Data!$C:$C,E$1))</f>
        <v>3</v>
      </c>
      <c r="F24" s="31">
        <f>IF(SUMIFS(Data!$L:$L,Data!$A:$A,$B24,Data!$C:$C,F$1)=0,"",SUMIFS(Data!$L:$L,Data!$A:$A,$B24,Data!$C:$C,F$1))</f>
        <v>2.25</v>
      </c>
      <c r="G24" s="31">
        <f>IF(SUMIFS(Data!$L:$L,Data!$A:$A,$B24,Data!$C:$C,G$1)=0,"",SUMIFS(Data!$L:$L,Data!$A:$A,$B24,Data!$C:$C,G$1))</f>
        <v>3.5</v>
      </c>
      <c r="H24" s="31">
        <f>IF(SUMIFS(Data!$L:$L,Data!$A:$A,$B24,Data!$C:$C,H$1)=0,"",SUMIFS(Data!$L:$L,Data!$A:$A,$B24,Data!$C:$C,H$1))</f>
        <v>4</v>
      </c>
      <c r="I24" s="31">
        <f>IF(SUMIFS(Data!$L:$L,Data!$A:$A,$B24,Data!$C:$C,I$1)=0,"",SUMIFS(Data!$L:$L,Data!$A:$A,$B24,Data!$C:$C,I$1))</f>
        <v>2.25</v>
      </c>
      <c r="J24" s="31">
        <f>IF(SUMIFS(Data!$L:$L,Data!$A:$A,$B24,Data!$C:$C,J$1)=0,"",SUMIFS(Data!$L:$L,Data!$A:$A,$B24,Data!$C:$C,J$1))</f>
        <v>2.75</v>
      </c>
      <c r="K24" s="31">
        <f>IF(SUMIFS(Data!$L:$L,Data!$A:$A,$B24,Data!$C:$C,K$1)=0,"",SUMIFS(Data!$L:$L,Data!$A:$A,$B24,Data!$C:$C,K$1))</f>
        <v>3</v>
      </c>
      <c r="L24" s="31">
        <f>IF(SUMIFS(Data!$L:$L,Data!$A:$A,$B24,Data!$C:$C,L$1)=0,"",SUMIFS(Data!$L:$L,Data!$A:$A,$B24,Data!$C:$C,L$1))</f>
        <v>2.5</v>
      </c>
      <c r="M24" s="31">
        <f>IF(SUMIFS(Data!$L:$L,Data!$A:$A,$B24,Data!$C:$C,M$1)=0,"",SUMIFS(Data!$L:$L,Data!$A:$A,$B24,Data!$C:$C,M$1))</f>
        <v>3</v>
      </c>
      <c r="N24" s="31">
        <f>IF(SUMIFS(Data!$L:$L,Data!$A:$A,$B24,Data!$C:$C,N$1)=0,"",SUMIFS(Data!$L:$L,Data!$A:$A,$B24,Data!$C:$C,N$1))</f>
        <v>2.25</v>
      </c>
      <c r="O24" s="31">
        <f>IF(SUMIFS(Data!$L:$L,Data!$A:$A,$B24,Data!$C:$C,O$1)=0,"",SUMIFS(Data!$L:$L,Data!$A:$A,$B24,Data!$C:$C,O$1))</f>
        <v>1</v>
      </c>
      <c r="P24" s="31">
        <f>IF(SUMIFS(Data!$L:$L,Data!$A:$A,$B24,Data!$C:$C,P$1)=0,"",SUMIFS(Data!$L:$L,Data!$A:$A,$B24,Data!$C:$C,P$1))</f>
        <v>2</v>
      </c>
      <c r="Q24" s="31">
        <f>IF(SUMIFS(Data!$L:$L,Data!$A:$A,$B24,Data!$C:$C,Q$1)=0,"",SUMIFS(Data!$L:$L,Data!$A:$A,$B24,Data!$C:$C,Q$1))</f>
        <v>1.5</v>
      </c>
      <c r="R24" s="31">
        <f>SUM(C24:Q24)</f>
        <v>39.5</v>
      </c>
    </row>
    <row r="25" spans="1:18" x14ac:dyDescent="0.35">
      <c r="A25" s="79">
        <v>24</v>
      </c>
      <c r="B25" s="30" t="s">
        <v>48</v>
      </c>
      <c r="C25" s="31">
        <f>IF(SUMIFS(Data!$L:$L,Data!$A:$A,$B25,Data!$C:$C,C$1)=0,"",SUMIFS(Data!$L:$L,Data!$A:$A,$B25,Data!$C:$C,C$1))</f>
        <v>2.25</v>
      </c>
      <c r="D25" s="31">
        <f>IF(SUMIFS(Data!$L:$L,Data!$A:$A,$B25,Data!$C:$C,D$1)=0,"",SUMIFS(Data!$L:$L,Data!$A:$A,$B25,Data!$C:$C,D$1))</f>
        <v>2.75</v>
      </c>
      <c r="E25" s="31">
        <f>IF(SUMIFS(Data!$L:$L,Data!$A:$A,$B25,Data!$C:$C,E$1)=0,"",SUMIFS(Data!$L:$L,Data!$A:$A,$B25,Data!$C:$C,E$1))</f>
        <v>3</v>
      </c>
      <c r="F25" s="31">
        <f>IF(SUMIFS(Data!$L:$L,Data!$A:$A,$B25,Data!$C:$C,F$1)=0,"",SUMIFS(Data!$L:$L,Data!$A:$A,$B25,Data!$C:$C,F$1))</f>
        <v>3.5</v>
      </c>
      <c r="G25" s="31">
        <f>IF(SUMIFS(Data!$L:$L,Data!$A:$A,$B25,Data!$C:$C,G$1)=0,"",SUMIFS(Data!$L:$L,Data!$A:$A,$B25,Data!$C:$C,G$1))</f>
        <v>2.5</v>
      </c>
      <c r="H25" s="31">
        <f>IF(SUMIFS(Data!$L:$L,Data!$A:$A,$B25,Data!$C:$C,H$1)=0,"",SUMIFS(Data!$L:$L,Data!$A:$A,$B25,Data!$C:$C,H$1))</f>
        <v>4</v>
      </c>
      <c r="I25" s="31">
        <f>IF(SUMIFS(Data!$L:$L,Data!$A:$A,$B25,Data!$C:$C,I$1)=0,"",SUMIFS(Data!$L:$L,Data!$A:$A,$B25,Data!$C:$C,I$1))</f>
        <v>1.75</v>
      </c>
      <c r="J25" s="31">
        <f>IF(SUMIFS(Data!$L:$L,Data!$A:$A,$B25,Data!$C:$C,J$1)=0,"",SUMIFS(Data!$L:$L,Data!$A:$A,$B25,Data!$C:$C,J$1))</f>
        <v>2.75</v>
      </c>
      <c r="K25" s="31">
        <f>IF(SUMIFS(Data!$L:$L,Data!$A:$A,$B25,Data!$C:$C,K$1)=0,"",SUMIFS(Data!$L:$L,Data!$A:$A,$B25,Data!$C:$C,K$1))</f>
        <v>3.25</v>
      </c>
      <c r="L25" s="31">
        <f>IF(SUMIFS(Data!$L:$L,Data!$A:$A,$B25,Data!$C:$C,L$1)=0,"",SUMIFS(Data!$L:$L,Data!$A:$A,$B25,Data!$C:$C,L$1))</f>
        <v>3.25</v>
      </c>
      <c r="M25" s="31">
        <f>IF(SUMIFS(Data!$L:$L,Data!$A:$A,$B25,Data!$C:$C,M$1)=0,"",SUMIFS(Data!$L:$L,Data!$A:$A,$B25,Data!$C:$C,M$1))</f>
        <v>1.75</v>
      </c>
      <c r="N25" s="31">
        <f>IF(SUMIFS(Data!$L:$L,Data!$A:$A,$B25,Data!$C:$C,N$1)=0,"",SUMIFS(Data!$L:$L,Data!$A:$A,$B25,Data!$C:$C,N$1))</f>
        <v>2.5</v>
      </c>
      <c r="O25" s="31">
        <f>IF(SUMIFS(Data!$L:$L,Data!$A:$A,$B25,Data!$C:$C,O$1)=0,"",SUMIFS(Data!$L:$L,Data!$A:$A,$B25,Data!$C:$C,O$1))</f>
        <v>2.75</v>
      </c>
      <c r="P25" s="31">
        <f>IF(SUMIFS(Data!$L:$L,Data!$A:$A,$B25,Data!$C:$C,P$1)=0,"",SUMIFS(Data!$L:$L,Data!$A:$A,$B25,Data!$C:$C,P$1))</f>
        <v>0.5</v>
      </c>
      <c r="Q25" s="31">
        <f>IF(SUMIFS(Data!$L:$L,Data!$A:$A,$B25,Data!$C:$C,Q$1)=0,"",SUMIFS(Data!$L:$L,Data!$A:$A,$B25,Data!$C:$C,Q$1))</f>
        <v>2.5</v>
      </c>
      <c r="R25" s="31">
        <f>SUM(C25:Q25)</f>
        <v>39</v>
      </c>
    </row>
    <row r="26" spans="1:18" x14ac:dyDescent="0.35">
      <c r="A26" s="79">
        <v>25</v>
      </c>
      <c r="B26" s="30" t="s">
        <v>136</v>
      </c>
      <c r="C26" s="31">
        <f>IF(SUMIFS(Data!$L:$L,Data!$A:$A,$B26,Data!$C:$C,C$1)=0,"",SUMIFS(Data!$L:$L,Data!$A:$A,$B26,Data!$C:$C,C$1))</f>
        <v>3</v>
      </c>
      <c r="D26" s="31">
        <f>IF(SUMIFS(Data!$L:$L,Data!$A:$A,$B26,Data!$C:$C,D$1)=0,"",SUMIFS(Data!$L:$L,Data!$A:$A,$B26,Data!$C:$C,D$1))</f>
        <v>1.75</v>
      </c>
      <c r="E26" s="31">
        <f>IF(SUMIFS(Data!$L:$L,Data!$A:$A,$B26,Data!$C:$C,E$1)=0,"",SUMIFS(Data!$L:$L,Data!$A:$A,$B26,Data!$C:$C,E$1))</f>
        <v>2.75</v>
      </c>
      <c r="F26" s="31">
        <f>IF(SUMIFS(Data!$L:$L,Data!$A:$A,$B26,Data!$C:$C,F$1)=0,"",SUMIFS(Data!$L:$L,Data!$A:$A,$B26,Data!$C:$C,F$1))</f>
        <v>3.5</v>
      </c>
      <c r="G26" s="31">
        <f>IF(SUMIFS(Data!$L:$L,Data!$A:$A,$B26,Data!$C:$C,G$1)=0,"",SUMIFS(Data!$L:$L,Data!$A:$A,$B26,Data!$C:$C,G$1))</f>
        <v>3</v>
      </c>
      <c r="H26" s="31">
        <f>IF(SUMIFS(Data!$L:$L,Data!$A:$A,$B26,Data!$C:$C,H$1)=0,"",SUMIFS(Data!$L:$L,Data!$A:$A,$B26,Data!$C:$C,H$1))</f>
        <v>3.5</v>
      </c>
      <c r="I26" s="31">
        <f>IF(SUMIFS(Data!$L:$L,Data!$A:$A,$B26,Data!$C:$C,I$1)=0,"",SUMIFS(Data!$L:$L,Data!$A:$A,$B26,Data!$C:$C,I$1))</f>
        <v>2.75</v>
      </c>
      <c r="J26" s="31">
        <f>IF(SUMIFS(Data!$L:$L,Data!$A:$A,$B26,Data!$C:$C,J$1)=0,"",SUMIFS(Data!$L:$L,Data!$A:$A,$B26,Data!$C:$C,J$1))</f>
        <v>2.25</v>
      </c>
      <c r="K26" s="31">
        <f>IF(SUMIFS(Data!$L:$L,Data!$A:$A,$B26,Data!$C:$C,K$1)=0,"",SUMIFS(Data!$L:$L,Data!$A:$A,$B26,Data!$C:$C,K$1))</f>
        <v>3.25</v>
      </c>
      <c r="L26" s="31">
        <f>IF(SUMIFS(Data!$L:$L,Data!$A:$A,$B26,Data!$C:$C,L$1)=0,"",SUMIFS(Data!$L:$L,Data!$A:$A,$B26,Data!$C:$C,L$1))</f>
        <v>3.25</v>
      </c>
      <c r="M26" s="31">
        <f>IF(SUMIFS(Data!$L:$L,Data!$A:$A,$B26,Data!$C:$C,M$1)=0,"",SUMIFS(Data!$L:$L,Data!$A:$A,$B26,Data!$C:$C,M$1))</f>
        <v>2.5</v>
      </c>
      <c r="N26" s="31">
        <f>IF(SUMIFS(Data!$L:$L,Data!$A:$A,$B26,Data!$C:$C,N$1)=0,"",SUMIFS(Data!$L:$L,Data!$A:$A,$B26,Data!$C:$C,N$1))</f>
        <v>3.5</v>
      </c>
      <c r="O26" s="31">
        <f>IF(SUMIFS(Data!$L:$L,Data!$A:$A,$B26,Data!$C:$C,O$1)=0,"",SUMIFS(Data!$L:$L,Data!$A:$A,$B26,Data!$C:$C,O$1))</f>
        <v>3</v>
      </c>
      <c r="P26" s="31" t="str">
        <f>IF(SUMIFS(Data!$L:$L,Data!$A:$A,$B26,Data!$C:$C,P$1)=0,"",SUMIFS(Data!$L:$L,Data!$A:$A,$B26,Data!$C:$C,P$1))</f>
        <v/>
      </c>
      <c r="Q26" s="31" t="str">
        <f>IF(SUMIFS(Data!$L:$L,Data!$A:$A,$B26,Data!$C:$C,Q$1)=0,"",SUMIFS(Data!$L:$L,Data!$A:$A,$B26,Data!$C:$C,Q$1))</f>
        <v/>
      </c>
      <c r="R26" s="31">
        <f>SUM(C26:Q26)</f>
        <v>38</v>
      </c>
    </row>
    <row r="27" spans="1:18" x14ac:dyDescent="0.35">
      <c r="A27" s="79">
        <v>26</v>
      </c>
      <c r="B27" s="30" t="s">
        <v>248</v>
      </c>
      <c r="C27" s="31">
        <f>IF(SUMIFS(Data!$L:$L,Data!$A:$A,$B27,Data!$C:$C,C$1)=0,"",SUMIFS(Data!$L:$L,Data!$A:$A,$B27,Data!$C:$C,C$1))</f>
        <v>2.5</v>
      </c>
      <c r="D27" s="31">
        <f>IF(SUMIFS(Data!$L:$L,Data!$A:$A,$B27,Data!$C:$C,D$1)=0,"",SUMIFS(Data!$L:$L,Data!$A:$A,$B27,Data!$C:$C,D$1))</f>
        <v>3.5</v>
      </c>
      <c r="E27" s="31">
        <f>IF(SUMIFS(Data!$L:$L,Data!$A:$A,$B27,Data!$C:$C,E$1)=0,"",SUMIFS(Data!$L:$L,Data!$A:$A,$B27,Data!$C:$C,E$1))</f>
        <v>3.75</v>
      </c>
      <c r="F27" s="31">
        <f>IF(SUMIFS(Data!$L:$L,Data!$A:$A,$B27,Data!$C:$C,F$1)=0,"",SUMIFS(Data!$L:$L,Data!$A:$A,$B27,Data!$C:$C,F$1))</f>
        <v>3.75</v>
      </c>
      <c r="G27" s="31">
        <f>IF(SUMIFS(Data!$L:$L,Data!$A:$A,$B27,Data!$C:$C,G$1)=0,"",SUMIFS(Data!$L:$L,Data!$A:$A,$B27,Data!$C:$C,G$1))</f>
        <v>3.25</v>
      </c>
      <c r="H27" s="31">
        <f>IF(SUMIFS(Data!$L:$L,Data!$A:$A,$B27,Data!$C:$C,H$1)=0,"",SUMIFS(Data!$L:$L,Data!$A:$A,$B27,Data!$C:$C,H$1))</f>
        <v>2.5</v>
      </c>
      <c r="I27" s="31">
        <f>IF(SUMIFS(Data!$L:$L,Data!$A:$A,$B27,Data!$C:$C,I$1)=0,"",SUMIFS(Data!$L:$L,Data!$A:$A,$B27,Data!$C:$C,I$1))</f>
        <v>4</v>
      </c>
      <c r="J27" s="31">
        <f>IF(SUMIFS(Data!$L:$L,Data!$A:$A,$B27,Data!$C:$C,J$1)=0,"",SUMIFS(Data!$L:$L,Data!$A:$A,$B27,Data!$C:$C,J$1))</f>
        <v>0.5</v>
      </c>
      <c r="K27" s="31">
        <f>IF(SUMIFS(Data!$L:$L,Data!$A:$A,$B27,Data!$C:$C,K$1)=0,"",SUMIFS(Data!$L:$L,Data!$A:$A,$B27,Data!$C:$C,K$1))</f>
        <v>1.25</v>
      </c>
      <c r="L27" s="31">
        <f>IF(SUMIFS(Data!$L:$L,Data!$A:$A,$B27,Data!$C:$C,L$1)=0,"",SUMIFS(Data!$L:$L,Data!$A:$A,$B27,Data!$C:$C,L$1))</f>
        <v>0.25</v>
      </c>
      <c r="M27" s="31">
        <f>IF(SUMIFS(Data!$L:$L,Data!$A:$A,$B27,Data!$C:$C,M$1)=0,"",SUMIFS(Data!$L:$L,Data!$A:$A,$B27,Data!$C:$C,M$1))</f>
        <v>4</v>
      </c>
      <c r="N27" s="31">
        <f>IF(SUMIFS(Data!$L:$L,Data!$A:$A,$B27,Data!$C:$C,N$1)=0,"",SUMIFS(Data!$L:$L,Data!$A:$A,$B27,Data!$C:$C,N$1))</f>
        <v>4</v>
      </c>
      <c r="O27" s="31">
        <f>IF(SUMIFS(Data!$L:$L,Data!$A:$A,$B27,Data!$C:$C,O$1)=0,"",SUMIFS(Data!$L:$L,Data!$A:$A,$B27,Data!$C:$C,O$1))</f>
        <v>2.75</v>
      </c>
      <c r="P27" s="31">
        <f>IF(SUMIFS(Data!$L:$L,Data!$A:$A,$B27,Data!$C:$C,P$1)=0,"",SUMIFS(Data!$L:$L,Data!$A:$A,$B27,Data!$C:$C,P$1))</f>
        <v>0.25</v>
      </c>
      <c r="Q27" s="31">
        <f>IF(SUMIFS(Data!$L:$L,Data!$A:$A,$B27,Data!$C:$C,Q$1)=0,"",SUMIFS(Data!$L:$L,Data!$A:$A,$B27,Data!$C:$C,Q$1))</f>
        <v>0.5</v>
      </c>
      <c r="R27" s="31">
        <f>SUM(C27:Q27)</f>
        <v>36.75</v>
      </c>
    </row>
    <row r="28" spans="1:18" x14ac:dyDescent="0.35">
      <c r="A28" s="79">
        <v>27</v>
      </c>
      <c r="B28" s="30" t="s">
        <v>47</v>
      </c>
      <c r="C28" s="31">
        <f>IF(SUMIFS(Data!$L:$L,Data!$A:$A,$B28,Data!$C:$C,C$1)=0,"",SUMIFS(Data!$L:$L,Data!$A:$A,$B28,Data!$C:$C,C$1))</f>
        <v>3.75</v>
      </c>
      <c r="D28" s="31">
        <f>IF(SUMIFS(Data!$L:$L,Data!$A:$A,$B28,Data!$C:$C,D$1)=0,"",SUMIFS(Data!$L:$L,Data!$A:$A,$B28,Data!$C:$C,D$1))</f>
        <v>4</v>
      </c>
      <c r="E28" s="31" t="str">
        <f>IF(SUMIFS(Data!$L:$L,Data!$A:$A,$B28,Data!$C:$C,E$1)=0,"",SUMIFS(Data!$L:$L,Data!$A:$A,$B28,Data!$C:$C,E$1))</f>
        <v/>
      </c>
      <c r="F28" s="31" t="str">
        <f>IF(SUMIFS(Data!$L:$L,Data!$A:$A,$B28,Data!$C:$C,F$1)=0,"",SUMIFS(Data!$L:$L,Data!$A:$A,$B28,Data!$C:$C,F$1))</f>
        <v/>
      </c>
      <c r="G28" s="31">
        <f>IF(SUMIFS(Data!$L:$L,Data!$A:$A,$B28,Data!$C:$C,G$1)=0,"",SUMIFS(Data!$L:$L,Data!$A:$A,$B28,Data!$C:$C,G$1))</f>
        <v>3.75</v>
      </c>
      <c r="H28" s="31">
        <f>IF(SUMIFS(Data!$L:$L,Data!$A:$A,$B28,Data!$C:$C,H$1)=0,"",SUMIFS(Data!$L:$L,Data!$A:$A,$B28,Data!$C:$C,H$1))</f>
        <v>2.25</v>
      </c>
      <c r="I28" s="31">
        <f>IF(SUMIFS(Data!$L:$L,Data!$A:$A,$B28,Data!$C:$C,I$1)=0,"",SUMIFS(Data!$L:$L,Data!$A:$A,$B28,Data!$C:$C,I$1))</f>
        <v>4</v>
      </c>
      <c r="J28" s="31">
        <f>IF(SUMIFS(Data!$L:$L,Data!$A:$A,$B28,Data!$C:$C,J$1)=0,"",SUMIFS(Data!$L:$L,Data!$A:$A,$B28,Data!$C:$C,J$1))</f>
        <v>2.25</v>
      </c>
      <c r="K28" s="31">
        <f>IF(SUMIFS(Data!$L:$L,Data!$A:$A,$B28,Data!$C:$C,K$1)=0,"",SUMIFS(Data!$L:$L,Data!$A:$A,$B28,Data!$C:$C,K$1))</f>
        <v>2.75</v>
      </c>
      <c r="L28" s="31">
        <f>IF(SUMIFS(Data!$L:$L,Data!$A:$A,$B28,Data!$C:$C,L$1)=0,"",SUMIFS(Data!$L:$L,Data!$A:$A,$B28,Data!$C:$C,L$1))</f>
        <v>2.75</v>
      </c>
      <c r="M28" s="31">
        <f>IF(SUMIFS(Data!$L:$L,Data!$A:$A,$B28,Data!$C:$C,M$1)=0,"",SUMIFS(Data!$L:$L,Data!$A:$A,$B28,Data!$C:$C,M$1))</f>
        <v>2.5</v>
      </c>
      <c r="N28" s="31">
        <f>IF(SUMIFS(Data!$L:$L,Data!$A:$A,$B28,Data!$C:$C,N$1)=0,"",SUMIFS(Data!$L:$L,Data!$A:$A,$B28,Data!$C:$C,N$1))</f>
        <v>3.25</v>
      </c>
      <c r="O28" s="31">
        <f>IF(SUMIFS(Data!$L:$L,Data!$A:$A,$B28,Data!$C:$C,O$1)=0,"",SUMIFS(Data!$L:$L,Data!$A:$A,$B28,Data!$C:$C,O$1))</f>
        <v>3.5</v>
      </c>
      <c r="P28" s="31">
        <f>IF(SUMIFS(Data!$L:$L,Data!$A:$A,$B28,Data!$C:$C,P$1)=0,"",SUMIFS(Data!$L:$L,Data!$A:$A,$B28,Data!$C:$C,P$1))</f>
        <v>0.5</v>
      </c>
      <c r="Q28" s="31">
        <f>IF(SUMIFS(Data!$L:$L,Data!$A:$A,$B28,Data!$C:$C,Q$1)=0,"",SUMIFS(Data!$L:$L,Data!$A:$A,$B28,Data!$C:$C,Q$1))</f>
        <v>1</v>
      </c>
      <c r="R28" s="31">
        <f>SUM(C28:Q28)</f>
        <v>36.25</v>
      </c>
    </row>
    <row r="29" spans="1:18" x14ac:dyDescent="0.35">
      <c r="A29" s="79">
        <v>28</v>
      </c>
      <c r="B29" s="30" t="s">
        <v>208</v>
      </c>
      <c r="C29" s="31">
        <f>IF(SUMIFS(Data!$L:$L,Data!$A:$A,$B29,Data!$C:$C,C$1)=0,"",SUMIFS(Data!$L:$L,Data!$A:$A,$B29,Data!$C:$C,C$1))</f>
        <v>2.5</v>
      </c>
      <c r="D29" s="31">
        <f>IF(SUMIFS(Data!$L:$L,Data!$A:$A,$B29,Data!$C:$C,D$1)=0,"",SUMIFS(Data!$L:$L,Data!$A:$A,$B29,Data!$C:$C,D$1))</f>
        <v>2.25</v>
      </c>
      <c r="E29" s="31">
        <f>IF(SUMIFS(Data!$L:$L,Data!$A:$A,$B29,Data!$C:$C,E$1)=0,"",SUMIFS(Data!$L:$L,Data!$A:$A,$B29,Data!$C:$C,E$1))</f>
        <v>2.25</v>
      </c>
      <c r="F29" s="31">
        <f>IF(SUMIFS(Data!$L:$L,Data!$A:$A,$B29,Data!$C:$C,F$1)=0,"",SUMIFS(Data!$L:$L,Data!$A:$A,$B29,Data!$C:$C,F$1))</f>
        <v>2.75</v>
      </c>
      <c r="G29" s="31">
        <f>IF(SUMIFS(Data!$L:$L,Data!$A:$A,$B29,Data!$C:$C,G$1)=0,"",SUMIFS(Data!$L:$L,Data!$A:$A,$B29,Data!$C:$C,G$1))</f>
        <v>2</v>
      </c>
      <c r="H29" s="31">
        <f>IF(SUMIFS(Data!$L:$L,Data!$A:$A,$B29,Data!$C:$C,H$1)=0,"",SUMIFS(Data!$L:$L,Data!$A:$A,$B29,Data!$C:$C,H$1))</f>
        <v>2.75</v>
      </c>
      <c r="I29" s="31">
        <f>IF(SUMIFS(Data!$L:$L,Data!$A:$A,$B29,Data!$C:$C,I$1)=0,"",SUMIFS(Data!$L:$L,Data!$A:$A,$B29,Data!$C:$C,I$1))</f>
        <v>2</v>
      </c>
      <c r="J29" s="31">
        <f>IF(SUMIFS(Data!$L:$L,Data!$A:$A,$B29,Data!$C:$C,J$1)=0,"",SUMIFS(Data!$L:$L,Data!$A:$A,$B29,Data!$C:$C,J$1))</f>
        <v>2.25</v>
      </c>
      <c r="K29" s="31">
        <f>IF(SUMIFS(Data!$L:$L,Data!$A:$A,$B29,Data!$C:$C,K$1)=0,"",SUMIFS(Data!$L:$L,Data!$A:$A,$B29,Data!$C:$C,K$1))</f>
        <v>2.5</v>
      </c>
      <c r="L29" s="31">
        <f>IF(SUMIFS(Data!$L:$L,Data!$A:$A,$B29,Data!$C:$C,L$1)=0,"",SUMIFS(Data!$L:$L,Data!$A:$A,$B29,Data!$C:$C,L$1))</f>
        <v>1</v>
      </c>
      <c r="M29" s="31">
        <f>IF(SUMIFS(Data!$L:$L,Data!$A:$A,$B29,Data!$C:$C,M$1)=0,"",SUMIFS(Data!$L:$L,Data!$A:$A,$B29,Data!$C:$C,M$1))</f>
        <v>2.75</v>
      </c>
      <c r="N29" s="31">
        <f>IF(SUMIFS(Data!$L:$L,Data!$A:$A,$B29,Data!$C:$C,N$1)=0,"",SUMIFS(Data!$L:$L,Data!$A:$A,$B29,Data!$C:$C,N$1))</f>
        <v>2.75</v>
      </c>
      <c r="O29" s="31">
        <f>IF(SUMIFS(Data!$L:$L,Data!$A:$A,$B29,Data!$C:$C,O$1)=0,"",SUMIFS(Data!$L:$L,Data!$A:$A,$B29,Data!$C:$C,O$1))</f>
        <v>3.5</v>
      </c>
      <c r="P29" s="31">
        <f>IF(SUMIFS(Data!$L:$L,Data!$A:$A,$B29,Data!$C:$C,P$1)=0,"",SUMIFS(Data!$L:$L,Data!$A:$A,$B29,Data!$C:$C,P$1))</f>
        <v>2</v>
      </c>
      <c r="Q29" s="31">
        <f>IF(SUMIFS(Data!$L:$L,Data!$A:$A,$B29,Data!$C:$C,Q$1)=0,"",SUMIFS(Data!$L:$L,Data!$A:$A,$B29,Data!$C:$C,Q$1))</f>
        <v>2.25</v>
      </c>
      <c r="R29" s="31">
        <f>SUM(C29:Q29)</f>
        <v>35.5</v>
      </c>
    </row>
    <row r="30" spans="1:18" x14ac:dyDescent="0.35">
      <c r="A30" s="79">
        <v>29</v>
      </c>
      <c r="B30" s="30" t="s">
        <v>137</v>
      </c>
      <c r="C30" s="31">
        <f>IF(SUMIFS(Data!$L:$L,Data!$A:$A,$B30,Data!$C:$C,C$1)=0,"",SUMIFS(Data!$L:$L,Data!$A:$A,$B30,Data!$C:$C,C$1))</f>
        <v>2.5</v>
      </c>
      <c r="D30" s="31">
        <f>IF(SUMIFS(Data!$L:$L,Data!$A:$A,$B30,Data!$C:$C,D$1)=0,"",SUMIFS(Data!$L:$L,Data!$A:$A,$B30,Data!$C:$C,D$1))</f>
        <v>2</v>
      </c>
      <c r="E30" s="31">
        <f>IF(SUMIFS(Data!$L:$L,Data!$A:$A,$B30,Data!$C:$C,E$1)=0,"",SUMIFS(Data!$L:$L,Data!$A:$A,$B30,Data!$C:$C,E$1))</f>
        <v>2.75</v>
      </c>
      <c r="F30" s="31">
        <f>IF(SUMIFS(Data!$L:$L,Data!$A:$A,$B30,Data!$C:$C,F$1)=0,"",SUMIFS(Data!$L:$L,Data!$A:$A,$B30,Data!$C:$C,F$1))</f>
        <v>2.75</v>
      </c>
      <c r="G30" s="31">
        <f>IF(SUMIFS(Data!$L:$L,Data!$A:$A,$B30,Data!$C:$C,G$1)=0,"",SUMIFS(Data!$L:$L,Data!$A:$A,$B30,Data!$C:$C,G$1))</f>
        <v>2.5</v>
      </c>
      <c r="H30" s="31">
        <f>IF(SUMIFS(Data!$L:$L,Data!$A:$A,$B30,Data!$C:$C,H$1)=0,"",SUMIFS(Data!$L:$L,Data!$A:$A,$B30,Data!$C:$C,H$1))</f>
        <v>2</v>
      </c>
      <c r="I30" s="31">
        <f>IF(SUMIFS(Data!$L:$L,Data!$A:$A,$B30,Data!$C:$C,I$1)=0,"",SUMIFS(Data!$L:$L,Data!$A:$A,$B30,Data!$C:$C,I$1))</f>
        <v>2</v>
      </c>
      <c r="J30" s="31" t="str">
        <f>IF(SUMIFS(Data!$L:$L,Data!$A:$A,$B30,Data!$C:$C,J$1)=0,"",SUMIFS(Data!$L:$L,Data!$A:$A,$B30,Data!$C:$C,J$1))</f>
        <v/>
      </c>
      <c r="K30" s="31">
        <f>IF(SUMIFS(Data!$L:$L,Data!$A:$A,$B30,Data!$C:$C,K$1)=0,"",SUMIFS(Data!$L:$L,Data!$A:$A,$B30,Data!$C:$C,K$1))</f>
        <v>2</v>
      </c>
      <c r="L30" s="31">
        <f>IF(SUMIFS(Data!$L:$L,Data!$A:$A,$B30,Data!$C:$C,L$1)=0,"",SUMIFS(Data!$L:$L,Data!$A:$A,$B30,Data!$C:$C,L$1))</f>
        <v>3.5</v>
      </c>
      <c r="M30" s="31">
        <f>IF(SUMIFS(Data!$L:$L,Data!$A:$A,$B30,Data!$C:$C,M$1)=0,"",SUMIFS(Data!$L:$L,Data!$A:$A,$B30,Data!$C:$C,M$1))</f>
        <v>3.25</v>
      </c>
      <c r="N30" s="31">
        <f>IF(SUMIFS(Data!$L:$L,Data!$A:$A,$B30,Data!$C:$C,N$1)=0,"",SUMIFS(Data!$L:$L,Data!$A:$A,$B30,Data!$C:$C,N$1))</f>
        <v>2.5</v>
      </c>
      <c r="O30" s="31">
        <f>IF(SUMIFS(Data!$L:$L,Data!$A:$A,$B30,Data!$C:$C,O$1)=0,"",SUMIFS(Data!$L:$L,Data!$A:$A,$B30,Data!$C:$C,O$1))</f>
        <v>3.25</v>
      </c>
      <c r="P30" s="31">
        <f>IF(SUMIFS(Data!$L:$L,Data!$A:$A,$B30,Data!$C:$C,P$1)=0,"",SUMIFS(Data!$L:$L,Data!$A:$A,$B30,Data!$C:$C,P$1))</f>
        <v>1</v>
      </c>
      <c r="Q30" s="31">
        <f>IF(SUMIFS(Data!$L:$L,Data!$A:$A,$B30,Data!$C:$C,Q$1)=0,"",SUMIFS(Data!$L:$L,Data!$A:$A,$B30,Data!$C:$C,Q$1))</f>
        <v>3.5</v>
      </c>
      <c r="R30" s="31">
        <f>SUM(C30:Q30)</f>
        <v>35.5</v>
      </c>
    </row>
    <row r="31" spans="1:18" x14ac:dyDescent="0.35">
      <c r="A31" s="79">
        <v>30</v>
      </c>
      <c r="B31" s="30" t="s">
        <v>339</v>
      </c>
      <c r="C31" s="31">
        <f>IF(SUMIFS(Data!$L:$L,Data!$A:$A,$B31,Data!$C:$C,C$1)=0,"",SUMIFS(Data!$L:$L,Data!$A:$A,$B31,Data!$C:$C,C$1))</f>
        <v>1.5</v>
      </c>
      <c r="D31" s="31">
        <f>IF(SUMIFS(Data!$L:$L,Data!$A:$A,$B31,Data!$C:$C,D$1)=0,"",SUMIFS(Data!$L:$L,Data!$A:$A,$B31,Data!$C:$C,D$1))</f>
        <v>2.5</v>
      </c>
      <c r="E31" s="31">
        <f>IF(SUMIFS(Data!$L:$L,Data!$A:$A,$B31,Data!$C:$C,E$1)=0,"",SUMIFS(Data!$L:$L,Data!$A:$A,$B31,Data!$C:$C,E$1))</f>
        <v>1.5</v>
      </c>
      <c r="F31" s="31">
        <f>IF(SUMIFS(Data!$L:$L,Data!$A:$A,$B31,Data!$C:$C,F$1)=0,"",SUMIFS(Data!$L:$L,Data!$A:$A,$B31,Data!$C:$C,F$1))</f>
        <v>2.25</v>
      </c>
      <c r="G31" s="31">
        <f>IF(SUMIFS(Data!$L:$L,Data!$A:$A,$B31,Data!$C:$C,G$1)=0,"",SUMIFS(Data!$L:$L,Data!$A:$A,$B31,Data!$C:$C,G$1))</f>
        <v>2</v>
      </c>
      <c r="H31" s="31">
        <f>IF(SUMIFS(Data!$L:$L,Data!$A:$A,$B31,Data!$C:$C,H$1)=0,"",SUMIFS(Data!$L:$L,Data!$A:$A,$B31,Data!$C:$C,H$1))</f>
        <v>4</v>
      </c>
      <c r="I31" s="31">
        <f>IF(SUMIFS(Data!$L:$L,Data!$A:$A,$B31,Data!$C:$C,I$1)=0,"",SUMIFS(Data!$L:$L,Data!$A:$A,$B31,Data!$C:$C,I$1))</f>
        <v>2.5</v>
      </c>
      <c r="J31" s="31">
        <f>IF(SUMIFS(Data!$L:$L,Data!$A:$A,$B31,Data!$C:$C,J$1)=0,"",SUMIFS(Data!$L:$L,Data!$A:$A,$B31,Data!$C:$C,J$1))</f>
        <v>2.5</v>
      </c>
      <c r="K31" s="31">
        <f>IF(SUMIFS(Data!$L:$L,Data!$A:$A,$B31,Data!$C:$C,K$1)=0,"",SUMIFS(Data!$L:$L,Data!$A:$A,$B31,Data!$C:$C,K$1))</f>
        <v>1.75</v>
      </c>
      <c r="L31" s="31">
        <f>IF(SUMIFS(Data!$L:$L,Data!$A:$A,$B31,Data!$C:$C,L$1)=0,"",SUMIFS(Data!$L:$L,Data!$A:$A,$B31,Data!$C:$C,L$1))</f>
        <v>1.25</v>
      </c>
      <c r="M31" s="31">
        <f>IF(SUMIFS(Data!$L:$L,Data!$A:$A,$B31,Data!$C:$C,M$1)=0,"",SUMIFS(Data!$L:$L,Data!$A:$A,$B31,Data!$C:$C,M$1))</f>
        <v>3</v>
      </c>
      <c r="N31" s="31">
        <f>IF(SUMIFS(Data!$L:$L,Data!$A:$A,$B31,Data!$C:$C,N$1)=0,"",SUMIFS(Data!$L:$L,Data!$A:$A,$B31,Data!$C:$C,N$1))</f>
        <v>2.75</v>
      </c>
      <c r="O31" s="31">
        <f>IF(SUMIFS(Data!$L:$L,Data!$A:$A,$B31,Data!$C:$C,O$1)=0,"",SUMIFS(Data!$L:$L,Data!$A:$A,$B31,Data!$C:$C,O$1))</f>
        <v>3.25</v>
      </c>
      <c r="P31" s="31">
        <f>IF(SUMIFS(Data!$L:$L,Data!$A:$A,$B31,Data!$C:$C,P$1)=0,"",SUMIFS(Data!$L:$L,Data!$A:$A,$B31,Data!$C:$C,P$1))</f>
        <v>2.5</v>
      </c>
      <c r="Q31" s="31">
        <f>IF(SUMIFS(Data!$L:$L,Data!$A:$A,$B31,Data!$C:$C,Q$1)=0,"",SUMIFS(Data!$L:$L,Data!$A:$A,$B31,Data!$C:$C,Q$1))</f>
        <v>2</v>
      </c>
      <c r="R31" s="31">
        <f>SUM(C31:Q31)</f>
        <v>35.25</v>
      </c>
    </row>
    <row r="32" spans="1:18" x14ac:dyDescent="0.35">
      <c r="A32" s="79">
        <v>31</v>
      </c>
      <c r="B32" s="30" t="s">
        <v>341</v>
      </c>
      <c r="C32" s="31">
        <f>IF(SUMIFS(Data!$L:$L,Data!$A:$A,$B32,Data!$C:$C,C$1)=0,"",SUMIFS(Data!$L:$L,Data!$A:$A,$B32,Data!$C:$C,C$1))</f>
        <v>0.75</v>
      </c>
      <c r="D32" s="31">
        <f>IF(SUMIFS(Data!$L:$L,Data!$A:$A,$B32,Data!$C:$C,D$1)=0,"",SUMIFS(Data!$L:$L,Data!$A:$A,$B32,Data!$C:$C,D$1))</f>
        <v>3</v>
      </c>
      <c r="E32" s="31">
        <f>IF(SUMIFS(Data!$L:$L,Data!$A:$A,$B32,Data!$C:$C,E$1)=0,"",SUMIFS(Data!$L:$L,Data!$A:$A,$B32,Data!$C:$C,E$1))</f>
        <v>2.75</v>
      </c>
      <c r="F32" s="31">
        <f>IF(SUMIFS(Data!$L:$L,Data!$A:$A,$B32,Data!$C:$C,F$1)=0,"",SUMIFS(Data!$L:$L,Data!$A:$A,$B32,Data!$C:$C,F$1))</f>
        <v>3</v>
      </c>
      <c r="G32" s="31">
        <f>IF(SUMIFS(Data!$L:$L,Data!$A:$A,$B32,Data!$C:$C,G$1)=0,"",SUMIFS(Data!$L:$L,Data!$A:$A,$B32,Data!$C:$C,G$1))</f>
        <v>3.25</v>
      </c>
      <c r="H32" s="31">
        <f>IF(SUMIFS(Data!$L:$L,Data!$A:$A,$B32,Data!$C:$C,H$1)=0,"",SUMIFS(Data!$L:$L,Data!$A:$A,$B32,Data!$C:$C,H$1))</f>
        <v>2.5</v>
      </c>
      <c r="I32" s="31">
        <f>IF(SUMIFS(Data!$L:$L,Data!$A:$A,$B32,Data!$C:$C,I$1)=0,"",SUMIFS(Data!$L:$L,Data!$A:$A,$B32,Data!$C:$C,I$1))</f>
        <v>2</v>
      </c>
      <c r="J32" s="31">
        <f>IF(SUMIFS(Data!$L:$L,Data!$A:$A,$B32,Data!$C:$C,J$1)=0,"",SUMIFS(Data!$L:$L,Data!$A:$A,$B32,Data!$C:$C,J$1))</f>
        <v>2.5</v>
      </c>
      <c r="K32" s="31">
        <f>IF(SUMIFS(Data!$L:$L,Data!$A:$A,$B32,Data!$C:$C,K$1)=0,"",SUMIFS(Data!$L:$L,Data!$A:$A,$B32,Data!$C:$C,K$1))</f>
        <v>3.25</v>
      </c>
      <c r="L32" s="31">
        <f>IF(SUMIFS(Data!$L:$L,Data!$A:$A,$B32,Data!$C:$C,L$1)=0,"",SUMIFS(Data!$L:$L,Data!$A:$A,$B32,Data!$C:$C,L$1))</f>
        <v>2</v>
      </c>
      <c r="M32" s="31">
        <f>IF(SUMIFS(Data!$L:$L,Data!$A:$A,$B32,Data!$C:$C,M$1)=0,"",SUMIFS(Data!$L:$L,Data!$A:$A,$B32,Data!$C:$C,M$1))</f>
        <v>1.75</v>
      </c>
      <c r="N32" s="31">
        <f>IF(SUMIFS(Data!$L:$L,Data!$A:$A,$B32,Data!$C:$C,N$1)=0,"",SUMIFS(Data!$L:$L,Data!$A:$A,$B32,Data!$C:$C,N$1))</f>
        <v>2</v>
      </c>
      <c r="O32" s="31">
        <f>IF(SUMIFS(Data!$L:$L,Data!$A:$A,$B32,Data!$C:$C,O$1)=0,"",SUMIFS(Data!$L:$L,Data!$A:$A,$B32,Data!$C:$C,O$1))</f>
        <v>2.75</v>
      </c>
      <c r="P32" s="31">
        <f>IF(SUMIFS(Data!$L:$L,Data!$A:$A,$B32,Data!$C:$C,P$1)=0,"",SUMIFS(Data!$L:$L,Data!$A:$A,$B32,Data!$C:$C,P$1))</f>
        <v>0.5</v>
      </c>
      <c r="Q32" s="31">
        <f>IF(SUMIFS(Data!$L:$L,Data!$A:$A,$B32,Data!$C:$C,Q$1)=0,"",SUMIFS(Data!$L:$L,Data!$A:$A,$B32,Data!$C:$C,Q$1))</f>
        <v>2.5</v>
      </c>
      <c r="R32" s="31">
        <f>SUM(C32:Q32)</f>
        <v>34.5</v>
      </c>
    </row>
    <row r="33" spans="1:18" x14ac:dyDescent="0.35">
      <c r="A33" s="79">
        <v>32</v>
      </c>
      <c r="B33" s="30" t="s">
        <v>378</v>
      </c>
      <c r="C33" s="31">
        <f>IF(SUMIFS(Data!$L:$L,Data!$A:$A,$B33,Data!$C:$C,C$1)=0,"",SUMIFS(Data!$L:$L,Data!$A:$A,$B33,Data!$C:$C,C$1))</f>
        <v>1.75</v>
      </c>
      <c r="D33" s="31">
        <f>IF(SUMIFS(Data!$L:$L,Data!$A:$A,$B33,Data!$C:$C,D$1)=0,"",SUMIFS(Data!$L:$L,Data!$A:$A,$B33,Data!$C:$C,D$1))</f>
        <v>2</v>
      </c>
      <c r="E33" s="31" t="str">
        <f>IF(SUMIFS(Data!$L:$L,Data!$A:$A,$B33,Data!$C:$C,E$1)=0,"",SUMIFS(Data!$L:$L,Data!$A:$A,$B33,Data!$C:$C,E$1))</f>
        <v/>
      </c>
      <c r="F33" s="31" t="str">
        <f>IF(SUMIFS(Data!$L:$L,Data!$A:$A,$B33,Data!$C:$C,F$1)=0,"",SUMIFS(Data!$L:$L,Data!$A:$A,$B33,Data!$C:$C,F$1))</f>
        <v/>
      </c>
      <c r="G33" s="31">
        <f>IF(SUMIFS(Data!$L:$L,Data!$A:$A,$B33,Data!$C:$C,G$1)=0,"",SUMIFS(Data!$L:$L,Data!$A:$A,$B33,Data!$C:$C,G$1))</f>
        <v>3.5</v>
      </c>
      <c r="H33" s="31">
        <f>IF(SUMIFS(Data!$L:$L,Data!$A:$A,$B33,Data!$C:$C,H$1)=0,"",SUMIFS(Data!$L:$L,Data!$A:$A,$B33,Data!$C:$C,H$1))</f>
        <v>2.25</v>
      </c>
      <c r="I33" s="31">
        <f>IF(SUMIFS(Data!$L:$L,Data!$A:$A,$B33,Data!$C:$C,I$1)=0,"",SUMIFS(Data!$L:$L,Data!$A:$A,$B33,Data!$C:$C,I$1))</f>
        <v>2.25</v>
      </c>
      <c r="J33" s="31">
        <f>IF(SUMIFS(Data!$L:$L,Data!$A:$A,$B33,Data!$C:$C,J$1)=0,"",SUMIFS(Data!$L:$L,Data!$A:$A,$B33,Data!$C:$C,J$1))</f>
        <v>2.25</v>
      </c>
      <c r="K33" s="31">
        <f>IF(SUMIFS(Data!$L:$L,Data!$A:$A,$B33,Data!$C:$C,K$1)=0,"",SUMIFS(Data!$L:$L,Data!$A:$A,$B33,Data!$C:$C,K$1))</f>
        <v>2.25</v>
      </c>
      <c r="L33" s="31">
        <f>IF(SUMIFS(Data!$L:$L,Data!$A:$A,$B33,Data!$C:$C,L$1)=0,"",SUMIFS(Data!$L:$L,Data!$A:$A,$B33,Data!$C:$C,L$1))</f>
        <v>2.75</v>
      </c>
      <c r="M33" s="31">
        <f>IF(SUMIFS(Data!$L:$L,Data!$A:$A,$B33,Data!$C:$C,M$1)=0,"",SUMIFS(Data!$L:$L,Data!$A:$A,$B33,Data!$C:$C,M$1))</f>
        <v>3.25</v>
      </c>
      <c r="N33" s="31">
        <f>IF(SUMIFS(Data!$L:$L,Data!$A:$A,$B33,Data!$C:$C,N$1)=0,"",SUMIFS(Data!$L:$L,Data!$A:$A,$B33,Data!$C:$C,N$1))</f>
        <v>3</v>
      </c>
      <c r="O33" s="31">
        <f>IF(SUMIFS(Data!$L:$L,Data!$A:$A,$B33,Data!$C:$C,O$1)=0,"",SUMIFS(Data!$L:$L,Data!$A:$A,$B33,Data!$C:$C,O$1))</f>
        <v>2.75</v>
      </c>
      <c r="P33" s="31">
        <f>IF(SUMIFS(Data!$L:$L,Data!$A:$A,$B33,Data!$C:$C,P$1)=0,"",SUMIFS(Data!$L:$L,Data!$A:$A,$B33,Data!$C:$C,P$1))</f>
        <v>3.5</v>
      </c>
      <c r="Q33" s="31">
        <f>IF(SUMIFS(Data!$L:$L,Data!$A:$A,$B33,Data!$C:$C,Q$1)=0,"",SUMIFS(Data!$L:$L,Data!$A:$A,$B33,Data!$C:$C,Q$1))</f>
        <v>2.75</v>
      </c>
      <c r="R33" s="31">
        <f>SUM(C33:Q33)</f>
        <v>34.25</v>
      </c>
    </row>
    <row r="34" spans="1:18" x14ac:dyDescent="0.35">
      <c r="A34" s="79">
        <v>33</v>
      </c>
      <c r="B34" s="30" t="s">
        <v>59</v>
      </c>
      <c r="C34" s="31" t="str">
        <f>IF(SUMIFS(Data!$L:$L,Data!$A:$A,$B34,Data!$C:$C,C$1)=0,"",SUMIFS(Data!$L:$L,Data!$A:$A,$B34,Data!$C:$C,C$1))</f>
        <v/>
      </c>
      <c r="D34" s="31">
        <f>IF(SUMIFS(Data!$L:$L,Data!$A:$A,$B34,Data!$C:$C,D$1)=0,"",SUMIFS(Data!$L:$L,Data!$A:$A,$B34,Data!$C:$C,D$1))</f>
        <v>2.75</v>
      </c>
      <c r="E34" s="31">
        <f>IF(SUMIFS(Data!$L:$L,Data!$A:$A,$B34,Data!$C:$C,E$1)=0,"",SUMIFS(Data!$L:$L,Data!$A:$A,$B34,Data!$C:$C,E$1))</f>
        <v>1.25</v>
      </c>
      <c r="F34" s="31">
        <f>IF(SUMIFS(Data!$L:$L,Data!$A:$A,$B34,Data!$C:$C,F$1)=0,"",SUMIFS(Data!$L:$L,Data!$A:$A,$B34,Data!$C:$C,F$1))</f>
        <v>4.25</v>
      </c>
      <c r="G34" s="31">
        <f>IF(SUMIFS(Data!$L:$L,Data!$A:$A,$B34,Data!$C:$C,G$1)=0,"",SUMIFS(Data!$L:$L,Data!$A:$A,$B34,Data!$C:$C,G$1))</f>
        <v>2.25</v>
      </c>
      <c r="H34" s="31">
        <f>IF(SUMIFS(Data!$L:$L,Data!$A:$A,$B34,Data!$C:$C,H$1)=0,"",SUMIFS(Data!$L:$L,Data!$A:$A,$B34,Data!$C:$C,H$1))</f>
        <v>3.75</v>
      </c>
      <c r="I34" s="31">
        <f>IF(SUMIFS(Data!$L:$L,Data!$A:$A,$B34,Data!$C:$C,I$1)=0,"",SUMIFS(Data!$L:$L,Data!$A:$A,$B34,Data!$C:$C,I$1))</f>
        <v>1</v>
      </c>
      <c r="J34" s="31">
        <f>IF(SUMIFS(Data!$L:$L,Data!$A:$A,$B34,Data!$C:$C,J$1)=0,"",SUMIFS(Data!$L:$L,Data!$A:$A,$B34,Data!$C:$C,J$1))</f>
        <v>3.75</v>
      </c>
      <c r="K34" s="31">
        <f>IF(SUMIFS(Data!$L:$L,Data!$A:$A,$B34,Data!$C:$C,K$1)=0,"",SUMIFS(Data!$L:$L,Data!$A:$A,$B34,Data!$C:$C,K$1))</f>
        <v>1.25</v>
      </c>
      <c r="L34" s="31">
        <f>IF(SUMIFS(Data!$L:$L,Data!$A:$A,$B34,Data!$C:$C,L$1)=0,"",SUMIFS(Data!$L:$L,Data!$A:$A,$B34,Data!$C:$C,L$1))</f>
        <v>1.5</v>
      </c>
      <c r="M34" s="31">
        <f>IF(SUMIFS(Data!$L:$L,Data!$A:$A,$B34,Data!$C:$C,M$1)=0,"",SUMIFS(Data!$L:$L,Data!$A:$A,$B34,Data!$C:$C,M$1))</f>
        <v>3.75</v>
      </c>
      <c r="N34" s="31">
        <f>IF(SUMIFS(Data!$L:$L,Data!$A:$A,$B34,Data!$C:$C,N$1)=0,"",SUMIFS(Data!$L:$L,Data!$A:$A,$B34,Data!$C:$C,N$1))</f>
        <v>3.5</v>
      </c>
      <c r="O34" s="31">
        <f>IF(SUMIFS(Data!$L:$L,Data!$A:$A,$B34,Data!$C:$C,O$1)=0,"",SUMIFS(Data!$L:$L,Data!$A:$A,$B34,Data!$C:$C,O$1))</f>
        <v>1.5</v>
      </c>
      <c r="P34" s="31" t="str">
        <f>IF(SUMIFS(Data!$L:$L,Data!$A:$A,$B34,Data!$C:$C,P$1)=0,"",SUMIFS(Data!$L:$L,Data!$A:$A,$B34,Data!$C:$C,P$1))</f>
        <v/>
      </c>
      <c r="Q34" s="31">
        <f>IF(SUMIFS(Data!$L:$L,Data!$A:$A,$B34,Data!$C:$C,Q$1)=0,"",SUMIFS(Data!$L:$L,Data!$A:$A,$B34,Data!$C:$C,Q$1))</f>
        <v>3.25</v>
      </c>
      <c r="R34" s="31">
        <f>SUM(C34:Q34)</f>
        <v>33.75</v>
      </c>
    </row>
    <row r="35" spans="1:18" x14ac:dyDescent="0.35">
      <c r="A35" s="79">
        <v>34</v>
      </c>
      <c r="B35" s="30" t="s">
        <v>291</v>
      </c>
      <c r="C35" s="31">
        <f>IF(SUMIFS(Data!$L:$L,Data!$A:$A,$B35,Data!$C:$C,C$1)=0,"",SUMIFS(Data!$L:$L,Data!$A:$A,$B35,Data!$C:$C,C$1))</f>
        <v>1.75</v>
      </c>
      <c r="D35" s="31">
        <f>IF(SUMIFS(Data!$L:$L,Data!$A:$A,$B35,Data!$C:$C,D$1)=0,"",SUMIFS(Data!$L:$L,Data!$A:$A,$B35,Data!$C:$C,D$1))</f>
        <v>2.5</v>
      </c>
      <c r="E35" s="31">
        <f>IF(SUMIFS(Data!$L:$L,Data!$A:$A,$B35,Data!$C:$C,E$1)=0,"",SUMIFS(Data!$L:$L,Data!$A:$A,$B35,Data!$C:$C,E$1))</f>
        <v>3</v>
      </c>
      <c r="F35" s="31">
        <f>IF(SUMIFS(Data!$L:$L,Data!$A:$A,$B35,Data!$C:$C,F$1)=0,"",SUMIFS(Data!$L:$L,Data!$A:$A,$B35,Data!$C:$C,F$1))</f>
        <v>1</v>
      </c>
      <c r="G35" s="31">
        <f>IF(SUMIFS(Data!$L:$L,Data!$A:$A,$B35,Data!$C:$C,G$1)=0,"",SUMIFS(Data!$L:$L,Data!$A:$A,$B35,Data!$C:$C,G$1))</f>
        <v>3.25</v>
      </c>
      <c r="H35" s="31">
        <f>IF(SUMIFS(Data!$L:$L,Data!$A:$A,$B35,Data!$C:$C,H$1)=0,"",SUMIFS(Data!$L:$L,Data!$A:$A,$B35,Data!$C:$C,H$1))</f>
        <v>3.5</v>
      </c>
      <c r="I35" s="31" t="str">
        <f>IF(SUMIFS(Data!$L:$L,Data!$A:$A,$B35,Data!$C:$C,I$1)=0,"",SUMIFS(Data!$L:$L,Data!$A:$A,$B35,Data!$C:$C,I$1))</f>
        <v/>
      </c>
      <c r="J35" s="31">
        <f>IF(SUMIFS(Data!$L:$L,Data!$A:$A,$B35,Data!$C:$C,J$1)=0,"",SUMIFS(Data!$L:$L,Data!$A:$A,$B35,Data!$C:$C,J$1))</f>
        <v>2.5</v>
      </c>
      <c r="K35" s="31">
        <f>IF(SUMIFS(Data!$L:$L,Data!$A:$A,$B35,Data!$C:$C,K$1)=0,"",SUMIFS(Data!$L:$L,Data!$A:$A,$B35,Data!$C:$C,K$1))</f>
        <v>3.25</v>
      </c>
      <c r="L35" s="31">
        <f>IF(SUMIFS(Data!$L:$L,Data!$A:$A,$B35,Data!$C:$C,L$1)=0,"",SUMIFS(Data!$L:$L,Data!$A:$A,$B35,Data!$C:$C,L$1))</f>
        <v>3</v>
      </c>
      <c r="M35" s="31">
        <f>IF(SUMIFS(Data!$L:$L,Data!$A:$A,$B35,Data!$C:$C,M$1)=0,"",SUMIFS(Data!$L:$L,Data!$A:$A,$B35,Data!$C:$C,M$1))</f>
        <v>1.25</v>
      </c>
      <c r="N35" s="31">
        <f>IF(SUMIFS(Data!$L:$L,Data!$A:$A,$B35,Data!$C:$C,N$1)=0,"",SUMIFS(Data!$L:$L,Data!$A:$A,$B35,Data!$C:$C,N$1))</f>
        <v>2</v>
      </c>
      <c r="O35" s="31">
        <f>IF(SUMIFS(Data!$L:$L,Data!$A:$A,$B35,Data!$C:$C,O$1)=0,"",SUMIFS(Data!$L:$L,Data!$A:$A,$B35,Data!$C:$C,O$1))</f>
        <v>3</v>
      </c>
      <c r="P35" s="31">
        <f>IF(SUMIFS(Data!$L:$L,Data!$A:$A,$B35,Data!$C:$C,P$1)=0,"",SUMIFS(Data!$L:$L,Data!$A:$A,$B35,Data!$C:$C,P$1))</f>
        <v>0.75</v>
      </c>
      <c r="Q35" s="31">
        <f>IF(SUMIFS(Data!$L:$L,Data!$A:$A,$B35,Data!$C:$C,Q$1)=0,"",SUMIFS(Data!$L:$L,Data!$A:$A,$B35,Data!$C:$C,Q$1))</f>
        <v>2.5</v>
      </c>
      <c r="R35" s="31">
        <f>SUM(C35:Q35)</f>
        <v>33.25</v>
      </c>
    </row>
    <row r="36" spans="1:18" x14ac:dyDescent="0.35">
      <c r="A36" s="79">
        <v>35</v>
      </c>
      <c r="B36" s="30" t="s">
        <v>347</v>
      </c>
      <c r="C36" s="31">
        <f>IF(SUMIFS(Data!$L:$L,Data!$A:$A,$B36,Data!$C:$C,C$1)=0,"",SUMIFS(Data!$L:$L,Data!$A:$A,$B36,Data!$C:$C,C$1))</f>
        <v>1.5</v>
      </c>
      <c r="D36" s="31">
        <f>IF(SUMIFS(Data!$L:$L,Data!$A:$A,$B36,Data!$C:$C,D$1)=0,"",SUMIFS(Data!$L:$L,Data!$A:$A,$B36,Data!$C:$C,D$1))</f>
        <v>1</v>
      </c>
      <c r="E36" s="31">
        <f>IF(SUMIFS(Data!$L:$L,Data!$A:$A,$B36,Data!$C:$C,E$1)=0,"",SUMIFS(Data!$L:$L,Data!$A:$A,$B36,Data!$C:$C,E$1))</f>
        <v>2.5</v>
      </c>
      <c r="F36" s="31">
        <f>IF(SUMIFS(Data!$L:$L,Data!$A:$A,$B36,Data!$C:$C,F$1)=0,"",SUMIFS(Data!$L:$L,Data!$A:$A,$B36,Data!$C:$C,F$1))</f>
        <v>1.75</v>
      </c>
      <c r="G36" s="31">
        <f>IF(SUMIFS(Data!$L:$L,Data!$A:$A,$B36,Data!$C:$C,G$1)=0,"",SUMIFS(Data!$L:$L,Data!$A:$A,$B36,Data!$C:$C,G$1))</f>
        <v>1.25</v>
      </c>
      <c r="H36" s="31">
        <f>IF(SUMIFS(Data!$L:$L,Data!$A:$A,$B36,Data!$C:$C,H$1)=0,"",SUMIFS(Data!$L:$L,Data!$A:$A,$B36,Data!$C:$C,H$1))</f>
        <v>3.25</v>
      </c>
      <c r="I36" s="31">
        <f>IF(SUMIFS(Data!$L:$L,Data!$A:$A,$B36,Data!$C:$C,I$1)=0,"",SUMIFS(Data!$L:$L,Data!$A:$A,$B36,Data!$C:$C,I$1))</f>
        <v>2.5</v>
      </c>
      <c r="J36" s="31">
        <f>IF(SUMIFS(Data!$L:$L,Data!$A:$A,$B36,Data!$C:$C,J$1)=0,"",SUMIFS(Data!$L:$L,Data!$A:$A,$B36,Data!$C:$C,J$1))</f>
        <v>2.25</v>
      </c>
      <c r="K36" s="31">
        <f>IF(SUMIFS(Data!$L:$L,Data!$A:$A,$B36,Data!$C:$C,K$1)=0,"",SUMIFS(Data!$L:$L,Data!$A:$A,$B36,Data!$C:$C,K$1))</f>
        <v>2.5</v>
      </c>
      <c r="L36" s="31">
        <f>IF(SUMIFS(Data!$L:$L,Data!$A:$A,$B36,Data!$C:$C,L$1)=0,"",SUMIFS(Data!$L:$L,Data!$A:$A,$B36,Data!$C:$C,L$1))</f>
        <v>2</v>
      </c>
      <c r="M36" s="31">
        <f>IF(SUMIFS(Data!$L:$L,Data!$A:$A,$B36,Data!$C:$C,M$1)=0,"",SUMIFS(Data!$L:$L,Data!$A:$A,$B36,Data!$C:$C,M$1))</f>
        <v>2.75</v>
      </c>
      <c r="N36" s="31">
        <f>IF(SUMIFS(Data!$L:$L,Data!$A:$A,$B36,Data!$C:$C,N$1)=0,"",SUMIFS(Data!$L:$L,Data!$A:$A,$B36,Data!$C:$C,N$1))</f>
        <v>3</v>
      </c>
      <c r="O36" s="31">
        <f>IF(SUMIFS(Data!$L:$L,Data!$A:$A,$B36,Data!$C:$C,O$1)=0,"",SUMIFS(Data!$L:$L,Data!$A:$A,$B36,Data!$C:$C,O$1))</f>
        <v>2.5</v>
      </c>
      <c r="P36" s="31">
        <f>IF(SUMIFS(Data!$L:$L,Data!$A:$A,$B36,Data!$C:$C,P$1)=0,"",SUMIFS(Data!$L:$L,Data!$A:$A,$B36,Data!$C:$C,P$1))</f>
        <v>2</v>
      </c>
      <c r="Q36" s="31">
        <f>IF(SUMIFS(Data!$L:$L,Data!$A:$A,$B36,Data!$C:$C,Q$1)=0,"",SUMIFS(Data!$L:$L,Data!$A:$A,$B36,Data!$C:$C,Q$1))</f>
        <v>2.5</v>
      </c>
      <c r="R36" s="31">
        <f>SUM(C36:Q36)</f>
        <v>33.25</v>
      </c>
    </row>
    <row r="37" spans="1:18" x14ac:dyDescent="0.35">
      <c r="A37" s="79">
        <v>36</v>
      </c>
      <c r="B37" s="30" t="s">
        <v>431</v>
      </c>
      <c r="C37" s="31" t="str">
        <f>IF(SUMIFS(Data!$L:$L,Data!$A:$A,$B37,Data!$C:$C,C$1)=0,"",SUMIFS(Data!$L:$L,Data!$A:$A,$B37,Data!$C:$C,C$1))</f>
        <v/>
      </c>
      <c r="D37" s="31" t="str">
        <f>IF(SUMIFS(Data!$L:$L,Data!$A:$A,$B37,Data!$C:$C,D$1)=0,"",SUMIFS(Data!$L:$L,Data!$A:$A,$B37,Data!$C:$C,D$1))</f>
        <v/>
      </c>
      <c r="E37" s="31" t="str">
        <f>IF(SUMIFS(Data!$L:$L,Data!$A:$A,$B37,Data!$C:$C,E$1)=0,"",SUMIFS(Data!$L:$L,Data!$A:$A,$B37,Data!$C:$C,E$1))</f>
        <v/>
      </c>
      <c r="F37" s="31" t="str">
        <f>IF(SUMIFS(Data!$L:$L,Data!$A:$A,$B37,Data!$C:$C,F$1)=0,"",SUMIFS(Data!$L:$L,Data!$A:$A,$B37,Data!$C:$C,F$1))</f>
        <v/>
      </c>
      <c r="G37" s="31">
        <f>IF(SUMIFS(Data!$L:$L,Data!$A:$A,$B37,Data!$C:$C,G$1)=0,"",SUMIFS(Data!$L:$L,Data!$A:$A,$B37,Data!$C:$C,G$1))</f>
        <v>3.5</v>
      </c>
      <c r="H37" s="31">
        <f>IF(SUMIFS(Data!$L:$L,Data!$A:$A,$B37,Data!$C:$C,H$1)=0,"",SUMIFS(Data!$L:$L,Data!$A:$A,$B37,Data!$C:$C,H$1))</f>
        <v>3.75</v>
      </c>
      <c r="I37" s="31">
        <f>IF(SUMIFS(Data!$L:$L,Data!$A:$A,$B37,Data!$C:$C,I$1)=0,"",SUMIFS(Data!$L:$L,Data!$A:$A,$B37,Data!$C:$C,I$1))</f>
        <v>3.5</v>
      </c>
      <c r="J37" s="31">
        <f>IF(SUMIFS(Data!$L:$L,Data!$A:$A,$B37,Data!$C:$C,J$1)=0,"",SUMIFS(Data!$L:$L,Data!$A:$A,$B37,Data!$C:$C,J$1))</f>
        <v>2.5</v>
      </c>
      <c r="K37" s="31">
        <f>IF(SUMIFS(Data!$L:$L,Data!$A:$A,$B37,Data!$C:$C,K$1)=0,"",SUMIFS(Data!$L:$L,Data!$A:$A,$B37,Data!$C:$C,K$1))</f>
        <v>2.75</v>
      </c>
      <c r="L37" s="31">
        <f>IF(SUMIFS(Data!$L:$L,Data!$A:$A,$B37,Data!$C:$C,L$1)=0,"",SUMIFS(Data!$L:$L,Data!$A:$A,$B37,Data!$C:$C,L$1))</f>
        <v>2.75</v>
      </c>
      <c r="M37" s="31">
        <f>IF(SUMIFS(Data!$L:$L,Data!$A:$A,$B37,Data!$C:$C,M$1)=0,"",SUMIFS(Data!$L:$L,Data!$A:$A,$B37,Data!$C:$C,M$1))</f>
        <v>2.25</v>
      </c>
      <c r="N37" s="31">
        <f>IF(SUMIFS(Data!$L:$L,Data!$A:$A,$B37,Data!$C:$C,N$1)=0,"",SUMIFS(Data!$L:$L,Data!$A:$A,$B37,Data!$C:$C,N$1))</f>
        <v>3.75</v>
      </c>
      <c r="O37" s="31">
        <f>IF(SUMIFS(Data!$L:$L,Data!$A:$A,$B37,Data!$C:$C,O$1)=0,"",SUMIFS(Data!$L:$L,Data!$A:$A,$B37,Data!$C:$C,O$1))</f>
        <v>2.5</v>
      </c>
      <c r="P37" s="31">
        <f>IF(SUMIFS(Data!$L:$L,Data!$A:$A,$B37,Data!$C:$C,P$1)=0,"",SUMIFS(Data!$L:$L,Data!$A:$A,$B37,Data!$C:$C,P$1))</f>
        <v>3</v>
      </c>
      <c r="Q37" s="31">
        <f>IF(SUMIFS(Data!$L:$L,Data!$A:$A,$B37,Data!$C:$C,Q$1)=0,"",SUMIFS(Data!$L:$L,Data!$A:$A,$B37,Data!$C:$C,Q$1))</f>
        <v>3</v>
      </c>
      <c r="R37" s="31">
        <f>SUM(C37:Q37)</f>
        <v>33.25</v>
      </c>
    </row>
    <row r="38" spans="1:18" x14ac:dyDescent="0.35">
      <c r="A38" s="79">
        <v>37</v>
      </c>
      <c r="B38" s="30" t="s">
        <v>403</v>
      </c>
      <c r="C38" s="31" t="str">
        <f>IF(SUMIFS(Data!$L:$L,Data!$A:$A,$B38,Data!$C:$C,C$1)=0,"",SUMIFS(Data!$L:$L,Data!$A:$A,$B38,Data!$C:$C,C$1))</f>
        <v/>
      </c>
      <c r="D38" s="31" t="str">
        <f>IF(SUMIFS(Data!$L:$L,Data!$A:$A,$B38,Data!$C:$C,D$1)=0,"",SUMIFS(Data!$L:$L,Data!$A:$A,$B38,Data!$C:$C,D$1))</f>
        <v/>
      </c>
      <c r="E38" s="31" t="str">
        <f>IF(SUMIFS(Data!$L:$L,Data!$A:$A,$B38,Data!$C:$C,E$1)=0,"",SUMIFS(Data!$L:$L,Data!$A:$A,$B38,Data!$C:$C,E$1))</f>
        <v/>
      </c>
      <c r="F38" s="31">
        <f>IF(SUMIFS(Data!$L:$L,Data!$A:$A,$B38,Data!$C:$C,F$1)=0,"",SUMIFS(Data!$L:$L,Data!$A:$A,$B38,Data!$C:$C,F$1))</f>
        <v>1.5</v>
      </c>
      <c r="G38" s="31">
        <f>IF(SUMIFS(Data!$L:$L,Data!$A:$A,$B38,Data!$C:$C,G$1)=0,"",SUMIFS(Data!$L:$L,Data!$A:$A,$B38,Data!$C:$C,G$1))</f>
        <v>3.25</v>
      </c>
      <c r="H38" s="31">
        <f>IF(SUMIFS(Data!$L:$L,Data!$A:$A,$B38,Data!$C:$C,H$1)=0,"",SUMIFS(Data!$L:$L,Data!$A:$A,$B38,Data!$C:$C,H$1))</f>
        <v>4</v>
      </c>
      <c r="I38" s="31">
        <f>IF(SUMIFS(Data!$L:$L,Data!$A:$A,$B38,Data!$C:$C,I$1)=0,"",SUMIFS(Data!$L:$L,Data!$A:$A,$B38,Data!$C:$C,I$1))</f>
        <v>3.5</v>
      </c>
      <c r="J38" s="31">
        <f>IF(SUMIFS(Data!$L:$L,Data!$A:$A,$B38,Data!$C:$C,J$1)=0,"",SUMIFS(Data!$L:$L,Data!$A:$A,$B38,Data!$C:$C,J$1))</f>
        <v>4</v>
      </c>
      <c r="K38" s="31">
        <f>IF(SUMIFS(Data!$L:$L,Data!$A:$A,$B38,Data!$C:$C,K$1)=0,"",SUMIFS(Data!$L:$L,Data!$A:$A,$B38,Data!$C:$C,K$1))</f>
        <v>2.75</v>
      </c>
      <c r="L38" s="31">
        <f>IF(SUMIFS(Data!$L:$L,Data!$A:$A,$B38,Data!$C:$C,L$1)=0,"",SUMIFS(Data!$L:$L,Data!$A:$A,$B38,Data!$C:$C,L$1))</f>
        <v>3</v>
      </c>
      <c r="M38" s="31">
        <f>IF(SUMIFS(Data!$L:$L,Data!$A:$A,$B38,Data!$C:$C,M$1)=0,"",SUMIFS(Data!$L:$L,Data!$A:$A,$B38,Data!$C:$C,M$1))</f>
        <v>2.75</v>
      </c>
      <c r="N38" s="31">
        <f>IF(SUMIFS(Data!$L:$L,Data!$A:$A,$B38,Data!$C:$C,N$1)=0,"",SUMIFS(Data!$L:$L,Data!$A:$A,$B38,Data!$C:$C,N$1))</f>
        <v>1.25</v>
      </c>
      <c r="O38" s="31">
        <f>IF(SUMIFS(Data!$L:$L,Data!$A:$A,$B38,Data!$C:$C,O$1)=0,"",SUMIFS(Data!$L:$L,Data!$A:$A,$B38,Data!$C:$C,O$1))</f>
        <v>4</v>
      </c>
      <c r="P38" s="31">
        <f>IF(SUMIFS(Data!$L:$L,Data!$A:$A,$B38,Data!$C:$C,P$1)=0,"",SUMIFS(Data!$L:$L,Data!$A:$A,$B38,Data!$C:$C,P$1))</f>
        <v>1.5</v>
      </c>
      <c r="Q38" s="31">
        <f>IF(SUMIFS(Data!$L:$L,Data!$A:$A,$B38,Data!$C:$C,Q$1)=0,"",SUMIFS(Data!$L:$L,Data!$A:$A,$B38,Data!$C:$C,Q$1))</f>
        <v>1.5</v>
      </c>
      <c r="R38" s="31">
        <f>SUM(C38:Q38)</f>
        <v>33</v>
      </c>
    </row>
    <row r="39" spans="1:18" x14ac:dyDescent="0.35">
      <c r="A39" s="79">
        <v>38</v>
      </c>
      <c r="B39" s="30" t="s">
        <v>64</v>
      </c>
      <c r="C39" s="31">
        <f>IF(SUMIFS(Data!$L:$L,Data!$A:$A,$B39,Data!$C:$C,C$1)=0,"",SUMIFS(Data!$L:$L,Data!$A:$A,$B39,Data!$C:$C,C$1))</f>
        <v>1.75</v>
      </c>
      <c r="D39" s="31">
        <f>IF(SUMIFS(Data!$L:$L,Data!$A:$A,$B39,Data!$C:$C,D$1)=0,"",SUMIFS(Data!$L:$L,Data!$A:$A,$B39,Data!$C:$C,D$1))</f>
        <v>2</v>
      </c>
      <c r="E39" s="31">
        <f>IF(SUMIFS(Data!$L:$L,Data!$A:$A,$B39,Data!$C:$C,E$1)=0,"",SUMIFS(Data!$L:$L,Data!$A:$A,$B39,Data!$C:$C,E$1))</f>
        <v>2</v>
      </c>
      <c r="F39" s="31">
        <f>IF(SUMIFS(Data!$L:$L,Data!$A:$A,$B39,Data!$C:$C,F$1)=0,"",SUMIFS(Data!$L:$L,Data!$A:$A,$B39,Data!$C:$C,F$1))</f>
        <v>2</v>
      </c>
      <c r="G39" s="31">
        <f>IF(SUMIFS(Data!$L:$L,Data!$A:$A,$B39,Data!$C:$C,G$1)=0,"",SUMIFS(Data!$L:$L,Data!$A:$A,$B39,Data!$C:$C,G$1))</f>
        <v>2.75</v>
      </c>
      <c r="H39" s="31">
        <f>IF(SUMIFS(Data!$L:$L,Data!$A:$A,$B39,Data!$C:$C,H$1)=0,"",SUMIFS(Data!$L:$L,Data!$A:$A,$B39,Data!$C:$C,H$1))</f>
        <v>2.25</v>
      </c>
      <c r="I39" s="31">
        <f>IF(SUMIFS(Data!$L:$L,Data!$A:$A,$B39,Data!$C:$C,I$1)=0,"",SUMIFS(Data!$L:$L,Data!$A:$A,$B39,Data!$C:$C,I$1))</f>
        <v>2.5</v>
      </c>
      <c r="J39" s="31">
        <f>IF(SUMIFS(Data!$L:$L,Data!$A:$A,$B39,Data!$C:$C,J$1)=0,"",SUMIFS(Data!$L:$L,Data!$A:$A,$B39,Data!$C:$C,J$1))</f>
        <v>3</v>
      </c>
      <c r="K39" s="31">
        <f>IF(SUMIFS(Data!$L:$L,Data!$A:$A,$B39,Data!$C:$C,K$1)=0,"",SUMIFS(Data!$L:$L,Data!$A:$A,$B39,Data!$C:$C,K$1))</f>
        <v>2.25</v>
      </c>
      <c r="L39" s="31">
        <f>IF(SUMIFS(Data!$L:$L,Data!$A:$A,$B39,Data!$C:$C,L$1)=0,"",SUMIFS(Data!$L:$L,Data!$A:$A,$B39,Data!$C:$C,L$1))</f>
        <v>2.5</v>
      </c>
      <c r="M39" s="31">
        <f>IF(SUMIFS(Data!$L:$L,Data!$A:$A,$B39,Data!$C:$C,M$1)=0,"",SUMIFS(Data!$L:$L,Data!$A:$A,$B39,Data!$C:$C,M$1))</f>
        <v>2.25</v>
      </c>
      <c r="N39" s="31">
        <f>IF(SUMIFS(Data!$L:$L,Data!$A:$A,$B39,Data!$C:$C,N$1)=0,"",SUMIFS(Data!$L:$L,Data!$A:$A,$B39,Data!$C:$C,N$1))</f>
        <v>2.5</v>
      </c>
      <c r="O39" s="31">
        <f>IF(SUMIFS(Data!$L:$L,Data!$A:$A,$B39,Data!$C:$C,O$1)=0,"",SUMIFS(Data!$L:$L,Data!$A:$A,$B39,Data!$C:$C,O$1))</f>
        <v>1.5</v>
      </c>
      <c r="P39" s="31">
        <f>IF(SUMIFS(Data!$L:$L,Data!$A:$A,$B39,Data!$C:$C,P$1)=0,"",SUMIFS(Data!$L:$L,Data!$A:$A,$B39,Data!$C:$C,P$1))</f>
        <v>1.25</v>
      </c>
      <c r="Q39" s="31">
        <f>IF(SUMIFS(Data!$L:$L,Data!$A:$A,$B39,Data!$C:$C,Q$1)=0,"",SUMIFS(Data!$L:$L,Data!$A:$A,$B39,Data!$C:$C,Q$1))</f>
        <v>2.25</v>
      </c>
      <c r="R39" s="31">
        <f>SUM(C39:Q39)</f>
        <v>32.75</v>
      </c>
    </row>
    <row r="40" spans="1:18" x14ac:dyDescent="0.35">
      <c r="A40" s="79">
        <v>39</v>
      </c>
      <c r="B40" s="30" t="s">
        <v>252</v>
      </c>
      <c r="C40" s="31">
        <f>IF(SUMIFS(Data!$L:$L,Data!$A:$A,$B40,Data!$C:$C,C$1)=0,"",SUMIFS(Data!$L:$L,Data!$A:$A,$B40,Data!$C:$C,C$1))</f>
        <v>1.5</v>
      </c>
      <c r="D40" s="31">
        <f>IF(SUMIFS(Data!$L:$L,Data!$A:$A,$B40,Data!$C:$C,D$1)=0,"",SUMIFS(Data!$L:$L,Data!$A:$A,$B40,Data!$C:$C,D$1))</f>
        <v>2</v>
      </c>
      <c r="E40" s="31">
        <f>IF(SUMIFS(Data!$L:$L,Data!$A:$A,$B40,Data!$C:$C,E$1)=0,"",SUMIFS(Data!$L:$L,Data!$A:$A,$B40,Data!$C:$C,E$1))</f>
        <v>2.25</v>
      </c>
      <c r="F40" s="31">
        <f>IF(SUMIFS(Data!$L:$L,Data!$A:$A,$B40,Data!$C:$C,F$1)=0,"",SUMIFS(Data!$L:$L,Data!$A:$A,$B40,Data!$C:$C,F$1))</f>
        <v>2.25</v>
      </c>
      <c r="G40" s="31">
        <f>IF(SUMIFS(Data!$L:$L,Data!$A:$A,$B40,Data!$C:$C,G$1)=0,"",SUMIFS(Data!$L:$L,Data!$A:$A,$B40,Data!$C:$C,G$1))</f>
        <v>2.75</v>
      </c>
      <c r="H40" s="31">
        <f>IF(SUMIFS(Data!$L:$L,Data!$A:$A,$B40,Data!$C:$C,H$1)=0,"",SUMIFS(Data!$L:$L,Data!$A:$A,$B40,Data!$C:$C,H$1))</f>
        <v>2</v>
      </c>
      <c r="I40" s="31">
        <f>IF(SUMIFS(Data!$L:$L,Data!$A:$A,$B40,Data!$C:$C,I$1)=0,"",SUMIFS(Data!$L:$L,Data!$A:$A,$B40,Data!$C:$C,I$1))</f>
        <v>2.75</v>
      </c>
      <c r="J40" s="31">
        <f>IF(SUMIFS(Data!$L:$L,Data!$A:$A,$B40,Data!$C:$C,J$1)=0,"",SUMIFS(Data!$L:$L,Data!$A:$A,$B40,Data!$C:$C,J$1))</f>
        <v>1</v>
      </c>
      <c r="K40" s="31">
        <f>IF(SUMIFS(Data!$L:$L,Data!$A:$A,$B40,Data!$C:$C,K$1)=0,"",SUMIFS(Data!$L:$L,Data!$A:$A,$B40,Data!$C:$C,K$1))</f>
        <v>2.75</v>
      </c>
      <c r="L40" s="31">
        <f>IF(SUMIFS(Data!$L:$L,Data!$A:$A,$B40,Data!$C:$C,L$1)=0,"",SUMIFS(Data!$L:$L,Data!$A:$A,$B40,Data!$C:$C,L$1))</f>
        <v>0.5</v>
      </c>
      <c r="M40" s="31">
        <f>IF(SUMIFS(Data!$L:$L,Data!$A:$A,$B40,Data!$C:$C,M$1)=0,"",SUMIFS(Data!$L:$L,Data!$A:$A,$B40,Data!$C:$C,M$1))</f>
        <v>2.75</v>
      </c>
      <c r="N40" s="31">
        <f>IF(SUMIFS(Data!$L:$L,Data!$A:$A,$B40,Data!$C:$C,N$1)=0,"",SUMIFS(Data!$L:$L,Data!$A:$A,$B40,Data!$C:$C,N$1))</f>
        <v>2</v>
      </c>
      <c r="O40" s="31">
        <f>IF(SUMIFS(Data!$L:$L,Data!$A:$A,$B40,Data!$C:$C,O$1)=0,"",SUMIFS(Data!$L:$L,Data!$A:$A,$B40,Data!$C:$C,O$1))</f>
        <v>3.75</v>
      </c>
      <c r="P40" s="31">
        <f>IF(SUMIFS(Data!$L:$L,Data!$A:$A,$B40,Data!$C:$C,P$1)=0,"",SUMIFS(Data!$L:$L,Data!$A:$A,$B40,Data!$C:$C,P$1))</f>
        <v>0.5</v>
      </c>
      <c r="Q40" s="31">
        <f>IF(SUMIFS(Data!$L:$L,Data!$A:$A,$B40,Data!$C:$C,Q$1)=0,"",SUMIFS(Data!$L:$L,Data!$A:$A,$B40,Data!$C:$C,Q$1))</f>
        <v>4</v>
      </c>
      <c r="R40" s="31">
        <f>SUM(C40:Q40)</f>
        <v>32.75</v>
      </c>
    </row>
    <row r="41" spans="1:18" x14ac:dyDescent="0.35">
      <c r="A41" s="79">
        <v>40</v>
      </c>
      <c r="B41" s="30" t="s">
        <v>376</v>
      </c>
      <c r="C41" s="31">
        <f>IF(SUMIFS(Data!$L:$L,Data!$A:$A,$B41,Data!$C:$C,C$1)=0,"",SUMIFS(Data!$L:$L,Data!$A:$A,$B41,Data!$C:$C,C$1))</f>
        <v>0.5</v>
      </c>
      <c r="D41" s="31">
        <f>IF(SUMIFS(Data!$L:$L,Data!$A:$A,$B41,Data!$C:$C,D$1)=0,"",SUMIFS(Data!$L:$L,Data!$A:$A,$B41,Data!$C:$C,D$1))</f>
        <v>0.5</v>
      </c>
      <c r="E41" s="31">
        <f>IF(SUMIFS(Data!$L:$L,Data!$A:$A,$B41,Data!$C:$C,E$1)=0,"",SUMIFS(Data!$L:$L,Data!$A:$A,$B41,Data!$C:$C,E$1))</f>
        <v>5</v>
      </c>
      <c r="F41" s="31">
        <f>IF(SUMIFS(Data!$L:$L,Data!$A:$A,$B41,Data!$C:$C,F$1)=0,"",SUMIFS(Data!$L:$L,Data!$A:$A,$B41,Data!$C:$C,F$1))</f>
        <v>1</v>
      </c>
      <c r="G41" s="31" t="str">
        <f>IF(SUMIFS(Data!$L:$L,Data!$A:$A,$B41,Data!$C:$C,G$1)=0,"",SUMIFS(Data!$L:$L,Data!$A:$A,$B41,Data!$C:$C,G$1))</f>
        <v/>
      </c>
      <c r="H41" s="31">
        <f>IF(SUMIFS(Data!$L:$L,Data!$A:$A,$B41,Data!$C:$C,H$1)=0,"",SUMIFS(Data!$L:$L,Data!$A:$A,$B41,Data!$C:$C,H$1))</f>
        <v>4</v>
      </c>
      <c r="I41" s="31">
        <f>IF(SUMIFS(Data!$L:$L,Data!$A:$A,$B41,Data!$C:$C,I$1)=0,"",SUMIFS(Data!$L:$L,Data!$A:$A,$B41,Data!$C:$C,I$1))</f>
        <v>0.5</v>
      </c>
      <c r="J41" s="31">
        <f>IF(SUMIFS(Data!$L:$L,Data!$A:$A,$B41,Data!$C:$C,J$1)=0,"",SUMIFS(Data!$L:$L,Data!$A:$A,$B41,Data!$C:$C,J$1))</f>
        <v>4</v>
      </c>
      <c r="K41" s="31">
        <f>IF(SUMIFS(Data!$L:$L,Data!$A:$A,$B41,Data!$C:$C,K$1)=0,"",SUMIFS(Data!$L:$L,Data!$A:$A,$B41,Data!$C:$C,K$1))</f>
        <v>2.25</v>
      </c>
      <c r="L41" s="31">
        <f>IF(SUMIFS(Data!$L:$L,Data!$A:$A,$B41,Data!$C:$C,L$1)=0,"",SUMIFS(Data!$L:$L,Data!$A:$A,$B41,Data!$C:$C,L$1))</f>
        <v>3.5</v>
      </c>
      <c r="M41" s="31">
        <f>IF(SUMIFS(Data!$L:$L,Data!$A:$A,$B41,Data!$C:$C,M$1)=0,"",SUMIFS(Data!$L:$L,Data!$A:$A,$B41,Data!$C:$C,M$1))</f>
        <v>1.5</v>
      </c>
      <c r="N41" s="31">
        <f>IF(SUMIFS(Data!$L:$L,Data!$A:$A,$B41,Data!$C:$C,N$1)=0,"",SUMIFS(Data!$L:$L,Data!$A:$A,$B41,Data!$C:$C,N$1))</f>
        <v>2.5</v>
      </c>
      <c r="O41" s="31">
        <f>IF(SUMIFS(Data!$L:$L,Data!$A:$A,$B41,Data!$C:$C,O$1)=0,"",SUMIFS(Data!$L:$L,Data!$A:$A,$B41,Data!$C:$C,O$1))</f>
        <v>1.5</v>
      </c>
      <c r="P41" s="31" t="str">
        <f>IF(SUMIFS(Data!$L:$L,Data!$A:$A,$B41,Data!$C:$C,P$1)=0,"",SUMIFS(Data!$L:$L,Data!$A:$A,$B41,Data!$C:$C,P$1))</f>
        <v/>
      </c>
      <c r="Q41" s="31">
        <f>IF(SUMIFS(Data!$L:$L,Data!$A:$A,$B41,Data!$C:$C,Q$1)=0,"",SUMIFS(Data!$L:$L,Data!$A:$A,$B41,Data!$C:$C,Q$1))</f>
        <v>4.5</v>
      </c>
      <c r="R41" s="31">
        <f>SUM(C41:Q41)</f>
        <v>31.25</v>
      </c>
    </row>
    <row r="42" spans="1:18" x14ac:dyDescent="0.35">
      <c r="A42" s="79">
        <v>41</v>
      </c>
      <c r="B42" s="30" t="s">
        <v>353</v>
      </c>
      <c r="C42" s="31">
        <f>IF(SUMIFS(Data!$L:$L,Data!$A:$A,$B42,Data!$C:$C,C$1)=0,"",SUMIFS(Data!$L:$L,Data!$A:$A,$B42,Data!$C:$C,C$1))</f>
        <v>2</v>
      </c>
      <c r="D42" s="31">
        <f>IF(SUMIFS(Data!$L:$L,Data!$A:$A,$B42,Data!$C:$C,D$1)=0,"",SUMIFS(Data!$L:$L,Data!$A:$A,$B42,Data!$C:$C,D$1))</f>
        <v>1.25</v>
      </c>
      <c r="E42" s="31">
        <f>IF(SUMIFS(Data!$L:$L,Data!$A:$A,$B42,Data!$C:$C,E$1)=0,"",SUMIFS(Data!$L:$L,Data!$A:$A,$B42,Data!$C:$C,E$1))</f>
        <v>1.5</v>
      </c>
      <c r="F42" s="31">
        <f>IF(SUMIFS(Data!$L:$L,Data!$A:$A,$B42,Data!$C:$C,F$1)=0,"",SUMIFS(Data!$L:$L,Data!$A:$A,$B42,Data!$C:$C,F$1))</f>
        <v>1.75</v>
      </c>
      <c r="G42" s="31">
        <f>IF(SUMIFS(Data!$L:$L,Data!$A:$A,$B42,Data!$C:$C,G$1)=0,"",SUMIFS(Data!$L:$L,Data!$A:$A,$B42,Data!$C:$C,G$1))</f>
        <v>2.5</v>
      </c>
      <c r="H42" s="31">
        <f>IF(SUMIFS(Data!$L:$L,Data!$A:$A,$B42,Data!$C:$C,H$1)=0,"",SUMIFS(Data!$L:$L,Data!$A:$A,$B42,Data!$C:$C,H$1))</f>
        <v>2</v>
      </c>
      <c r="I42" s="31">
        <f>IF(SUMIFS(Data!$L:$L,Data!$A:$A,$B42,Data!$C:$C,I$1)=0,"",SUMIFS(Data!$L:$L,Data!$A:$A,$B42,Data!$C:$C,I$1))</f>
        <v>2.75</v>
      </c>
      <c r="J42" s="31">
        <f>IF(SUMIFS(Data!$L:$L,Data!$A:$A,$B42,Data!$C:$C,J$1)=0,"",SUMIFS(Data!$L:$L,Data!$A:$A,$B42,Data!$C:$C,J$1))</f>
        <v>2</v>
      </c>
      <c r="K42" s="31">
        <f>IF(SUMIFS(Data!$L:$L,Data!$A:$A,$B42,Data!$C:$C,K$1)=0,"",SUMIFS(Data!$L:$L,Data!$A:$A,$B42,Data!$C:$C,K$1))</f>
        <v>2.25</v>
      </c>
      <c r="L42" s="31">
        <f>IF(SUMIFS(Data!$L:$L,Data!$A:$A,$B42,Data!$C:$C,L$1)=0,"",SUMIFS(Data!$L:$L,Data!$A:$A,$B42,Data!$C:$C,L$1))</f>
        <v>1.75</v>
      </c>
      <c r="M42" s="31">
        <f>IF(SUMIFS(Data!$L:$L,Data!$A:$A,$B42,Data!$C:$C,M$1)=0,"",SUMIFS(Data!$L:$L,Data!$A:$A,$B42,Data!$C:$C,M$1))</f>
        <v>2.75</v>
      </c>
      <c r="N42" s="31">
        <f>IF(SUMIFS(Data!$L:$L,Data!$A:$A,$B42,Data!$C:$C,N$1)=0,"",SUMIFS(Data!$L:$L,Data!$A:$A,$B42,Data!$C:$C,N$1))</f>
        <v>3</v>
      </c>
      <c r="O42" s="31">
        <f>IF(SUMIFS(Data!$L:$L,Data!$A:$A,$B42,Data!$C:$C,O$1)=0,"",SUMIFS(Data!$L:$L,Data!$A:$A,$B42,Data!$C:$C,O$1))</f>
        <v>3</v>
      </c>
      <c r="P42" s="31">
        <f>IF(SUMIFS(Data!$L:$L,Data!$A:$A,$B42,Data!$C:$C,P$1)=0,"",SUMIFS(Data!$L:$L,Data!$A:$A,$B42,Data!$C:$C,P$1))</f>
        <v>0.5</v>
      </c>
      <c r="Q42" s="31">
        <f>IF(SUMIFS(Data!$L:$L,Data!$A:$A,$B42,Data!$C:$C,Q$1)=0,"",SUMIFS(Data!$L:$L,Data!$A:$A,$B42,Data!$C:$C,Q$1))</f>
        <v>2.25</v>
      </c>
      <c r="R42" s="31">
        <f>SUM(C42:Q42)</f>
        <v>31.25</v>
      </c>
    </row>
    <row r="43" spans="1:18" x14ac:dyDescent="0.35">
      <c r="A43" s="79">
        <v>42</v>
      </c>
      <c r="B43" s="30" t="s">
        <v>357</v>
      </c>
      <c r="C43" s="31">
        <f>IF(SUMIFS(Data!$L:$L,Data!$A:$A,$B43,Data!$C:$C,C$1)=0,"",SUMIFS(Data!$L:$L,Data!$A:$A,$B43,Data!$C:$C,C$1))</f>
        <v>1.5</v>
      </c>
      <c r="D43" s="31">
        <f>IF(SUMIFS(Data!$L:$L,Data!$A:$A,$B43,Data!$C:$C,D$1)=0,"",SUMIFS(Data!$L:$L,Data!$A:$A,$B43,Data!$C:$C,D$1))</f>
        <v>2</v>
      </c>
      <c r="E43" s="31">
        <f>IF(SUMIFS(Data!$L:$L,Data!$A:$A,$B43,Data!$C:$C,E$1)=0,"",SUMIFS(Data!$L:$L,Data!$A:$A,$B43,Data!$C:$C,E$1))</f>
        <v>3.5</v>
      </c>
      <c r="F43" s="31">
        <f>IF(SUMIFS(Data!$L:$L,Data!$A:$A,$B43,Data!$C:$C,F$1)=0,"",SUMIFS(Data!$L:$L,Data!$A:$A,$B43,Data!$C:$C,F$1))</f>
        <v>2.75</v>
      </c>
      <c r="G43" s="31">
        <f>IF(SUMIFS(Data!$L:$L,Data!$A:$A,$B43,Data!$C:$C,G$1)=0,"",SUMIFS(Data!$L:$L,Data!$A:$A,$B43,Data!$C:$C,G$1))</f>
        <v>2</v>
      </c>
      <c r="H43" s="31">
        <f>IF(SUMIFS(Data!$L:$L,Data!$A:$A,$B43,Data!$C:$C,H$1)=0,"",SUMIFS(Data!$L:$L,Data!$A:$A,$B43,Data!$C:$C,H$1))</f>
        <v>2</v>
      </c>
      <c r="I43" s="31">
        <f>IF(SUMIFS(Data!$L:$L,Data!$A:$A,$B43,Data!$C:$C,I$1)=0,"",SUMIFS(Data!$L:$L,Data!$A:$A,$B43,Data!$C:$C,I$1))</f>
        <v>1</v>
      </c>
      <c r="J43" s="31">
        <f>IF(SUMIFS(Data!$L:$L,Data!$A:$A,$B43,Data!$C:$C,J$1)=0,"",SUMIFS(Data!$L:$L,Data!$A:$A,$B43,Data!$C:$C,J$1))</f>
        <v>1.5</v>
      </c>
      <c r="K43" s="31">
        <f>IF(SUMIFS(Data!$L:$L,Data!$A:$A,$B43,Data!$C:$C,K$1)=0,"",SUMIFS(Data!$L:$L,Data!$A:$A,$B43,Data!$C:$C,K$1))</f>
        <v>2.75</v>
      </c>
      <c r="L43" s="31">
        <f>IF(SUMIFS(Data!$L:$L,Data!$A:$A,$B43,Data!$C:$C,L$1)=0,"",SUMIFS(Data!$L:$L,Data!$A:$A,$B43,Data!$C:$C,L$1))</f>
        <v>1.5</v>
      </c>
      <c r="M43" s="31">
        <f>IF(SUMIFS(Data!$L:$L,Data!$A:$A,$B43,Data!$C:$C,M$1)=0,"",SUMIFS(Data!$L:$L,Data!$A:$A,$B43,Data!$C:$C,M$1))</f>
        <v>2</v>
      </c>
      <c r="N43" s="31">
        <f>IF(SUMIFS(Data!$L:$L,Data!$A:$A,$B43,Data!$C:$C,N$1)=0,"",SUMIFS(Data!$L:$L,Data!$A:$A,$B43,Data!$C:$C,N$1))</f>
        <v>1.5</v>
      </c>
      <c r="O43" s="31">
        <f>IF(SUMIFS(Data!$L:$L,Data!$A:$A,$B43,Data!$C:$C,O$1)=0,"",SUMIFS(Data!$L:$L,Data!$A:$A,$B43,Data!$C:$C,O$1))</f>
        <v>3</v>
      </c>
      <c r="P43" s="31">
        <f>IF(SUMIFS(Data!$L:$L,Data!$A:$A,$B43,Data!$C:$C,P$1)=0,"",SUMIFS(Data!$L:$L,Data!$A:$A,$B43,Data!$C:$C,P$1))</f>
        <v>3</v>
      </c>
      <c r="Q43" s="31">
        <f>IF(SUMIFS(Data!$L:$L,Data!$A:$A,$B43,Data!$C:$C,Q$1)=0,"",SUMIFS(Data!$L:$L,Data!$A:$A,$B43,Data!$C:$C,Q$1))</f>
        <v>1</v>
      </c>
      <c r="R43" s="31">
        <f>SUM(C43:Q43)</f>
        <v>31</v>
      </c>
    </row>
    <row r="44" spans="1:18" x14ac:dyDescent="0.35">
      <c r="A44" s="79">
        <v>43</v>
      </c>
      <c r="B44" s="30" t="s">
        <v>41</v>
      </c>
      <c r="C44" s="31">
        <f>IF(SUMIFS(Data!$L:$L,Data!$A:$A,$B44,Data!$C:$C,C$1)=0,"",SUMIFS(Data!$L:$L,Data!$A:$A,$B44,Data!$C:$C,C$1))</f>
        <v>2.5</v>
      </c>
      <c r="D44" s="31">
        <f>IF(SUMIFS(Data!$L:$L,Data!$A:$A,$B44,Data!$C:$C,D$1)=0,"",SUMIFS(Data!$L:$L,Data!$A:$A,$B44,Data!$C:$C,D$1))</f>
        <v>2</v>
      </c>
      <c r="E44" s="31">
        <f>IF(SUMIFS(Data!$L:$L,Data!$A:$A,$B44,Data!$C:$C,E$1)=0,"",SUMIFS(Data!$L:$L,Data!$A:$A,$B44,Data!$C:$C,E$1))</f>
        <v>1.5</v>
      </c>
      <c r="F44" s="31">
        <f>IF(SUMIFS(Data!$L:$L,Data!$A:$A,$B44,Data!$C:$C,F$1)=0,"",SUMIFS(Data!$L:$L,Data!$A:$A,$B44,Data!$C:$C,F$1))</f>
        <v>0.5</v>
      </c>
      <c r="G44" s="31">
        <f>IF(SUMIFS(Data!$L:$L,Data!$A:$A,$B44,Data!$C:$C,G$1)=0,"",SUMIFS(Data!$L:$L,Data!$A:$A,$B44,Data!$C:$C,G$1))</f>
        <v>1</v>
      </c>
      <c r="H44" s="31" t="str">
        <f>IF(SUMIFS(Data!$L:$L,Data!$A:$A,$B44,Data!$C:$C,H$1)=0,"",SUMIFS(Data!$L:$L,Data!$A:$A,$B44,Data!$C:$C,H$1))</f>
        <v/>
      </c>
      <c r="I44" s="31">
        <f>IF(SUMIFS(Data!$L:$L,Data!$A:$A,$B44,Data!$C:$C,I$1)=0,"",SUMIFS(Data!$L:$L,Data!$A:$A,$B44,Data!$C:$C,I$1))</f>
        <v>2.75</v>
      </c>
      <c r="J44" s="31">
        <f>IF(SUMIFS(Data!$L:$L,Data!$A:$A,$B44,Data!$C:$C,J$1)=0,"",SUMIFS(Data!$L:$L,Data!$A:$A,$B44,Data!$C:$C,J$1))</f>
        <v>2.25</v>
      </c>
      <c r="K44" s="31">
        <f>IF(SUMIFS(Data!$L:$L,Data!$A:$A,$B44,Data!$C:$C,K$1)=0,"",SUMIFS(Data!$L:$L,Data!$A:$A,$B44,Data!$C:$C,K$1))</f>
        <v>2.25</v>
      </c>
      <c r="L44" s="31">
        <f>IF(SUMIFS(Data!$L:$L,Data!$A:$A,$B44,Data!$C:$C,L$1)=0,"",SUMIFS(Data!$L:$L,Data!$A:$A,$B44,Data!$C:$C,L$1))</f>
        <v>2</v>
      </c>
      <c r="M44" s="31">
        <f>IF(SUMIFS(Data!$L:$L,Data!$A:$A,$B44,Data!$C:$C,M$1)=0,"",SUMIFS(Data!$L:$L,Data!$A:$A,$B44,Data!$C:$C,M$1))</f>
        <v>3.5</v>
      </c>
      <c r="N44" s="31">
        <f>IF(SUMIFS(Data!$L:$L,Data!$A:$A,$B44,Data!$C:$C,N$1)=0,"",SUMIFS(Data!$L:$L,Data!$A:$A,$B44,Data!$C:$C,N$1))</f>
        <v>2.75</v>
      </c>
      <c r="O44" s="31">
        <f>IF(SUMIFS(Data!$L:$L,Data!$A:$A,$B44,Data!$C:$C,O$1)=0,"",SUMIFS(Data!$L:$L,Data!$A:$A,$B44,Data!$C:$C,O$1))</f>
        <v>3.25</v>
      </c>
      <c r="P44" s="31">
        <f>IF(SUMIFS(Data!$L:$L,Data!$A:$A,$B44,Data!$C:$C,P$1)=0,"",SUMIFS(Data!$L:$L,Data!$A:$A,$B44,Data!$C:$C,P$1))</f>
        <v>1</v>
      </c>
      <c r="Q44" s="31">
        <f>IF(SUMIFS(Data!$L:$L,Data!$A:$A,$B44,Data!$C:$C,Q$1)=0,"",SUMIFS(Data!$L:$L,Data!$A:$A,$B44,Data!$C:$C,Q$1))</f>
        <v>3</v>
      </c>
      <c r="R44" s="31">
        <f>SUM(C44:Q44)</f>
        <v>30.25</v>
      </c>
    </row>
    <row r="45" spans="1:18" x14ac:dyDescent="0.35">
      <c r="A45" s="79">
        <v>44</v>
      </c>
      <c r="B45" s="30" t="s">
        <v>120</v>
      </c>
      <c r="C45" s="31">
        <f>IF(SUMIFS(Data!$L:$L,Data!$A:$A,$B45,Data!$C:$C,C$1)=0,"",SUMIFS(Data!$L:$L,Data!$A:$A,$B45,Data!$C:$C,C$1))</f>
        <v>3.75</v>
      </c>
      <c r="D45" s="31">
        <f>IF(SUMIFS(Data!$L:$L,Data!$A:$A,$B45,Data!$C:$C,D$1)=0,"",SUMIFS(Data!$L:$L,Data!$A:$A,$B45,Data!$C:$C,D$1))</f>
        <v>0.75</v>
      </c>
      <c r="E45" s="31">
        <f>IF(SUMIFS(Data!$L:$L,Data!$A:$A,$B45,Data!$C:$C,E$1)=0,"",SUMIFS(Data!$L:$L,Data!$A:$A,$B45,Data!$C:$C,E$1))</f>
        <v>1.75</v>
      </c>
      <c r="F45" s="31">
        <f>IF(SUMIFS(Data!$L:$L,Data!$A:$A,$B45,Data!$C:$C,F$1)=0,"",SUMIFS(Data!$L:$L,Data!$A:$A,$B45,Data!$C:$C,F$1))</f>
        <v>1.5</v>
      </c>
      <c r="G45" s="31">
        <f>IF(SUMIFS(Data!$L:$L,Data!$A:$A,$B45,Data!$C:$C,G$1)=0,"",SUMIFS(Data!$L:$L,Data!$A:$A,$B45,Data!$C:$C,G$1))</f>
        <v>1.25</v>
      </c>
      <c r="H45" s="31">
        <f>IF(SUMIFS(Data!$L:$L,Data!$A:$A,$B45,Data!$C:$C,H$1)=0,"",SUMIFS(Data!$L:$L,Data!$A:$A,$B45,Data!$C:$C,H$1))</f>
        <v>2.5</v>
      </c>
      <c r="I45" s="31">
        <f>IF(SUMIFS(Data!$L:$L,Data!$A:$A,$B45,Data!$C:$C,I$1)=0,"",SUMIFS(Data!$L:$L,Data!$A:$A,$B45,Data!$C:$C,I$1))</f>
        <v>1.75</v>
      </c>
      <c r="J45" s="31">
        <f>IF(SUMIFS(Data!$L:$L,Data!$A:$A,$B45,Data!$C:$C,J$1)=0,"",SUMIFS(Data!$L:$L,Data!$A:$A,$B45,Data!$C:$C,J$1))</f>
        <v>2</v>
      </c>
      <c r="K45" s="31">
        <f>IF(SUMIFS(Data!$L:$L,Data!$A:$A,$B45,Data!$C:$C,K$1)=0,"",SUMIFS(Data!$L:$L,Data!$A:$A,$B45,Data!$C:$C,K$1))</f>
        <v>2.5</v>
      </c>
      <c r="L45" s="31">
        <f>IF(SUMIFS(Data!$L:$L,Data!$A:$A,$B45,Data!$C:$C,L$1)=0,"",SUMIFS(Data!$L:$L,Data!$A:$A,$B45,Data!$C:$C,L$1))</f>
        <v>2</v>
      </c>
      <c r="M45" s="31">
        <f>IF(SUMIFS(Data!$L:$L,Data!$A:$A,$B45,Data!$C:$C,M$1)=0,"",SUMIFS(Data!$L:$L,Data!$A:$A,$B45,Data!$C:$C,M$1))</f>
        <v>3</v>
      </c>
      <c r="N45" s="31">
        <f>IF(SUMIFS(Data!$L:$L,Data!$A:$A,$B45,Data!$C:$C,N$1)=0,"",SUMIFS(Data!$L:$L,Data!$A:$A,$B45,Data!$C:$C,N$1))</f>
        <v>2</v>
      </c>
      <c r="O45" s="31">
        <f>IF(SUMIFS(Data!$L:$L,Data!$A:$A,$B45,Data!$C:$C,O$1)=0,"",SUMIFS(Data!$L:$L,Data!$A:$A,$B45,Data!$C:$C,O$1))</f>
        <v>0.75</v>
      </c>
      <c r="P45" s="31">
        <f>IF(SUMIFS(Data!$L:$L,Data!$A:$A,$B45,Data!$C:$C,P$1)=0,"",SUMIFS(Data!$L:$L,Data!$A:$A,$B45,Data!$C:$C,P$1))</f>
        <v>2</v>
      </c>
      <c r="Q45" s="31">
        <f>IF(SUMIFS(Data!$L:$L,Data!$A:$A,$B45,Data!$C:$C,Q$1)=0,"",SUMIFS(Data!$L:$L,Data!$A:$A,$B45,Data!$C:$C,Q$1))</f>
        <v>2.5</v>
      </c>
      <c r="R45" s="31">
        <f>SUM(C45:Q45)</f>
        <v>30</v>
      </c>
    </row>
    <row r="46" spans="1:18" x14ac:dyDescent="0.35">
      <c r="A46" s="79">
        <v>45</v>
      </c>
      <c r="B46" s="30" t="s">
        <v>345</v>
      </c>
      <c r="C46" s="31">
        <f>IF(SUMIFS(Data!$L:$L,Data!$A:$A,$B46,Data!$C:$C,C$1)=0,"",SUMIFS(Data!$L:$L,Data!$A:$A,$B46,Data!$C:$C,C$1))</f>
        <v>1.5</v>
      </c>
      <c r="D46" s="31">
        <f>IF(SUMIFS(Data!$L:$L,Data!$A:$A,$B46,Data!$C:$C,D$1)=0,"",SUMIFS(Data!$L:$L,Data!$A:$A,$B46,Data!$C:$C,D$1))</f>
        <v>2.5</v>
      </c>
      <c r="E46" s="31">
        <f>IF(SUMIFS(Data!$L:$L,Data!$A:$A,$B46,Data!$C:$C,E$1)=0,"",SUMIFS(Data!$L:$L,Data!$A:$A,$B46,Data!$C:$C,E$1))</f>
        <v>3</v>
      </c>
      <c r="F46" s="31">
        <f>IF(SUMIFS(Data!$L:$L,Data!$A:$A,$B46,Data!$C:$C,F$1)=0,"",SUMIFS(Data!$L:$L,Data!$A:$A,$B46,Data!$C:$C,F$1))</f>
        <v>2</v>
      </c>
      <c r="G46" s="31">
        <f>IF(SUMIFS(Data!$L:$L,Data!$A:$A,$B46,Data!$C:$C,G$1)=0,"",SUMIFS(Data!$L:$L,Data!$A:$A,$B46,Data!$C:$C,G$1))</f>
        <v>1.75</v>
      </c>
      <c r="H46" s="31">
        <f>IF(SUMIFS(Data!$L:$L,Data!$A:$A,$B46,Data!$C:$C,H$1)=0,"",SUMIFS(Data!$L:$L,Data!$A:$A,$B46,Data!$C:$C,H$1))</f>
        <v>2.75</v>
      </c>
      <c r="I46" s="31">
        <f>IF(SUMIFS(Data!$L:$L,Data!$A:$A,$B46,Data!$C:$C,I$1)=0,"",SUMIFS(Data!$L:$L,Data!$A:$A,$B46,Data!$C:$C,I$1))</f>
        <v>1.5</v>
      </c>
      <c r="J46" s="31">
        <f>IF(SUMIFS(Data!$L:$L,Data!$A:$A,$B46,Data!$C:$C,J$1)=0,"",SUMIFS(Data!$L:$L,Data!$A:$A,$B46,Data!$C:$C,J$1))</f>
        <v>2</v>
      </c>
      <c r="K46" s="31">
        <f>IF(SUMIFS(Data!$L:$L,Data!$A:$A,$B46,Data!$C:$C,K$1)=0,"",SUMIFS(Data!$L:$L,Data!$A:$A,$B46,Data!$C:$C,K$1))</f>
        <v>3</v>
      </c>
      <c r="L46" s="31" t="str">
        <f>IF(SUMIFS(Data!$L:$L,Data!$A:$A,$B46,Data!$C:$C,L$1)=0,"",SUMIFS(Data!$L:$L,Data!$A:$A,$B46,Data!$C:$C,L$1))</f>
        <v/>
      </c>
      <c r="M46" s="31">
        <f>IF(SUMIFS(Data!$L:$L,Data!$A:$A,$B46,Data!$C:$C,M$1)=0,"",SUMIFS(Data!$L:$L,Data!$A:$A,$B46,Data!$C:$C,M$1))</f>
        <v>2</v>
      </c>
      <c r="N46" s="31">
        <f>IF(SUMIFS(Data!$L:$L,Data!$A:$A,$B46,Data!$C:$C,N$1)=0,"",SUMIFS(Data!$L:$L,Data!$A:$A,$B46,Data!$C:$C,N$1))</f>
        <v>3</v>
      </c>
      <c r="O46" s="31">
        <f>IF(SUMIFS(Data!$L:$L,Data!$A:$A,$B46,Data!$C:$C,O$1)=0,"",SUMIFS(Data!$L:$L,Data!$A:$A,$B46,Data!$C:$C,O$1))</f>
        <v>2.25</v>
      </c>
      <c r="P46" s="31">
        <f>IF(SUMIFS(Data!$L:$L,Data!$A:$A,$B46,Data!$C:$C,P$1)=0,"",SUMIFS(Data!$L:$L,Data!$A:$A,$B46,Data!$C:$C,P$1))</f>
        <v>0.25</v>
      </c>
      <c r="Q46" s="31">
        <f>IF(SUMIFS(Data!$L:$L,Data!$A:$A,$B46,Data!$C:$C,Q$1)=0,"",SUMIFS(Data!$L:$L,Data!$A:$A,$B46,Data!$C:$C,Q$1))</f>
        <v>2</v>
      </c>
      <c r="R46" s="31">
        <f>SUM(C46:Q46)</f>
        <v>29.5</v>
      </c>
    </row>
    <row r="47" spans="1:18" x14ac:dyDescent="0.35">
      <c r="A47" s="79">
        <v>46</v>
      </c>
      <c r="B47" s="30" t="s">
        <v>387</v>
      </c>
      <c r="C47" s="31" t="str">
        <f>IF(SUMIFS(Data!$L:$L,Data!$A:$A,$B47,Data!$C:$C,C$1)=0,"",SUMIFS(Data!$L:$L,Data!$A:$A,$B47,Data!$C:$C,C$1))</f>
        <v/>
      </c>
      <c r="D47" s="31" t="str">
        <f>IF(SUMIFS(Data!$L:$L,Data!$A:$A,$B47,Data!$C:$C,D$1)=0,"",SUMIFS(Data!$L:$L,Data!$A:$A,$B47,Data!$C:$C,D$1))</f>
        <v/>
      </c>
      <c r="E47" s="31">
        <f>IF(SUMIFS(Data!$L:$L,Data!$A:$A,$B47,Data!$C:$C,E$1)=0,"",SUMIFS(Data!$L:$L,Data!$A:$A,$B47,Data!$C:$C,E$1))</f>
        <v>3.5</v>
      </c>
      <c r="F47" s="31">
        <f>IF(SUMIFS(Data!$L:$L,Data!$A:$A,$B47,Data!$C:$C,F$1)=0,"",SUMIFS(Data!$L:$L,Data!$A:$A,$B47,Data!$C:$C,F$1))</f>
        <v>1.25</v>
      </c>
      <c r="G47" s="31">
        <f>IF(SUMIFS(Data!$L:$L,Data!$A:$A,$B47,Data!$C:$C,G$1)=0,"",SUMIFS(Data!$L:$L,Data!$A:$A,$B47,Data!$C:$C,G$1))</f>
        <v>1.75</v>
      </c>
      <c r="H47" s="31">
        <f>IF(SUMIFS(Data!$L:$L,Data!$A:$A,$B47,Data!$C:$C,H$1)=0,"",SUMIFS(Data!$L:$L,Data!$A:$A,$B47,Data!$C:$C,H$1))</f>
        <v>3.5</v>
      </c>
      <c r="I47" s="31">
        <f>IF(SUMIFS(Data!$L:$L,Data!$A:$A,$B47,Data!$C:$C,I$1)=0,"",SUMIFS(Data!$L:$L,Data!$A:$A,$B47,Data!$C:$C,I$1))</f>
        <v>2.25</v>
      </c>
      <c r="J47" s="31">
        <f>IF(SUMIFS(Data!$L:$L,Data!$A:$A,$B47,Data!$C:$C,J$1)=0,"",SUMIFS(Data!$L:$L,Data!$A:$A,$B47,Data!$C:$C,J$1))</f>
        <v>1.5</v>
      </c>
      <c r="K47" s="31">
        <f>IF(SUMIFS(Data!$L:$L,Data!$A:$A,$B47,Data!$C:$C,K$1)=0,"",SUMIFS(Data!$L:$L,Data!$A:$A,$B47,Data!$C:$C,K$1))</f>
        <v>3.25</v>
      </c>
      <c r="L47" s="31">
        <f>IF(SUMIFS(Data!$L:$L,Data!$A:$A,$B47,Data!$C:$C,L$1)=0,"",SUMIFS(Data!$L:$L,Data!$A:$A,$B47,Data!$C:$C,L$1))</f>
        <v>1.25</v>
      </c>
      <c r="M47" s="31">
        <f>IF(SUMIFS(Data!$L:$L,Data!$A:$A,$B47,Data!$C:$C,M$1)=0,"",SUMIFS(Data!$L:$L,Data!$A:$A,$B47,Data!$C:$C,M$1))</f>
        <v>2.5</v>
      </c>
      <c r="N47" s="31">
        <f>IF(SUMIFS(Data!$L:$L,Data!$A:$A,$B47,Data!$C:$C,N$1)=0,"",SUMIFS(Data!$L:$L,Data!$A:$A,$B47,Data!$C:$C,N$1))</f>
        <v>3</v>
      </c>
      <c r="O47" s="31">
        <f>IF(SUMIFS(Data!$L:$L,Data!$A:$A,$B47,Data!$C:$C,O$1)=0,"",SUMIFS(Data!$L:$L,Data!$A:$A,$B47,Data!$C:$C,O$1))</f>
        <v>2.75</v>
      </c>
      <c r="P47" s="31" t="str">
        <f>IF(SUMIFS(Data!$L:$L,Data!$A:$A,$B47,Data!$C:$C,P$1)=0,"",SUMIFS(Data!$L:$L,Data!$A:$A,$B47,Data!$C:$C,P$1))</f>
        <v/>
      </c>
      <c r="Q47" s="31">
        <f>IF(SUMIFS(Data!$L:$L,Data!$A:$A,$B47,Data!$C:$C,Q$1)=0,"",SUMIFS(Data!$L:$L,Data!$A:$A,$B47,Data!$C:$C,Q$1))</f>
        <v>3</v>
      </c>
      <c r="R47" s="31">
        <f>SUM(C47:Q47)</f>
        <v>29.5</v>
      </c>
    </row>
    <row r="48" spans="1:18" x14ac:dyDescent="0.35">
      <c r="A48" s="79">
        <v>47</v>
      </c>
      <c r="B48" s="30" t="s">
        <v>241</v>
      </c>
      <c r="C48" s="31">
        <f>IF(SUMIFS(Data!$L:$L,Data!$A:$A,$B48,Data!$C:$C,C$1)=0,"",SUMIFS(Data!$L:$L,Data!$A:$A,$B48,Data!$C:$C,C$1))</f>
        <v>1.5</v>
      </c>
      <c r="D48" s="31">
        <f>IF(SUMIFS(Data!$L:$L,Data!$A:$A,$B48,Data!$C:$C,D$1)=0,"",SUMIFS(Data!$L:$L,Data!$A:$A,$B48,Data!$C:$C,D$1))</f>
        <v>2.75</v>
      </c>
      <c r="E48" s="31">
        <f>IF(SUMIFS(Data!$L:$L,Data!$A:$A,$B48,Data!$C:$C,E$1)=0,"",SUMIFS(Data!$L:$L,Data!$A:$A,$B48,Data!$C:$C,E$1))</f>
        <v>2.5</v>
      </c>
      <c r="F48" s="31">
        <f>IF(SUMIFS(Data!$L:$L,Data!$A:$A,$B48,Data!$C:$C,F$1)=0,"",SUMIFS(Data!$L:$L,Data!$A:$A,$B48,Data!$C:$C,F$1))</f>
        <v>3.5</v>
      </c>
      <c r="G48" s="31" t="str">
        <f>IF(SUMIFS(Data!$L:$L,Data!$A:$A,$B48,Data!$C:$C,G$1)=0,"",SUMIFS(Data!$L:$L,Data!$A:$A,$B48,Data!$C:$C,G$1))</f>
        <v/>
      </c>
      <c r="H48" s="31">
        <f>IF(SUMIFS(Data!$L:$L,Data!$A:$A,$B48,Data!$C:$C,H$1)=0,"",SUMIFS(Data!$L:$L,Data!$A:$A,$B48,Data!$C:$C,H$1))</f>
        <v>1.5</v>
      </c>
      <c r="I48" s="31" t="str">
        <f>IF(SUMIFS(Data!$L:$L,Data!$A:$A,$B48,Data!$C:$C,I$1)=0,"",SUMIFS(Data!$L:$L,Data!$A:$A,$B48,Data!$C:$C,I$1))</f>
        <v/>
      </c>
      <c r="J48" s="31" t="str">
        <f>IF(SUMIFS(Data!$L:$L,Data!$A:$A,$B48,Data!$C:$C,J$1)=0,"",SUMIFS(Data!$L:$L,Data!$A:$A,$B48,Data!$C:$C,J$1))</f>
        <v/>
      </c>
      <c r="K48" s="31">
        <f>IF(SUMIFS(Data!$L:$L,Data!$A:$A,$B48,Data!$C:$C,K$1)=0,"",SUMIFS(Data!$L:$L,Data!$A:$A,$B48,Data!$C:$C,K$1))</f>
        <v>3</v>
      </c>
      <c r="L48" s="31">
        <f>IF(SUMIFS(Data!$L:$L,Data!$A:$A,$B48,Data!$C:$C,L$1)=0,"",SUMIFS(Data!$L:$L,Data!$A:$A,$B48,Data!$C:$C,L$1))</f>
        <v>2.75</v>
      </c>
      <c r="M48" s="31">
        <f>IF(SUMIFS(Data!$L:$L,Data!$A:$A,$B48,Data!$C:$C,M$1)=0,"",SUMIFS(Data!$L:$L,Data!$A:$A,$B48,Data!$C:$C,M$1))</f>
        <v>2</v>
      </c>
      <c r="N48" s="31">
        <f>IF(SUMIFS(Data!$L:$L,Data!$A:$A,$B48,Data!$C:$C,N$1)=0,"",SUMIFS(Data!$L:$L,Data!$A:$A,$B48,Data!$C:$C,N$1))</f>
        <v>2.75</v>
      </c>
      <c r="O48" s="31">
        <f>IF(SUMIFS(Data!$L:$L,Data!$A:$A,$B48,Data!$C:$C,O$1)=0,"",SUMIFS(Data!$L:$L,Data!$A:$A,$B48,Data!$C:$C,O$1))</f>
        <v>3.5</v>
      </c>
      <c r="P48" s="31">
        <f>IF(SUMIFS(Data!$L:$L,Data!$A:$A,$B48,Data!$C:$C,P$1)=0,"",SUMIFS(Data!$L:$L,Data!$A:$A,$B48,Data!$C:$C,P$1))</f>
        <v>1</v>
      </c>
      <c r="Q48" s="31">
        <f>IF(SUMIFS(Data!$L:$L,Data!$A:$A,$B48,Data!$C:$C,Q$1)=0,"",SUMIFS(Data!$L:$L,Data!$A:$A,$B48,Data!$C:$C,Q$1))</f>
        <v>2.75</v>
      </c>
      <c r="R48" s="31">
        <f>SUM(C48:Q48)</f>
        <v>29.5</v>
      </c>
    </row>
    <row r="49" spans="1:18" x14ac:dyDescent="0.35">
      <c r="A49" s="79">
        <v>48</v>
      </c>
      <c r="B49" s="30" t="s">
        <v>396</v>
      </c>
      <c r="C49" s="31" t="str">
        <f>IF(SUMIFS(Data!$L:$L,Data!$A:$A,$B49,Data!$C:$C,C$1)=0,"",SUMIFS(Data!$L:$L,Data!$A:$A,$B49,Data!$C:$C,C$1))</f>
        <v/>
      </c>
      <c r="D49" s="31" t="str">
        <f>IF(SUMIFS(Data!$L:$L,Data!$A:$A,$B49,Data!$C:$C,D$1)=0,"",SUMIFS(Data!$L:$L,Data!$A:$A,$B49,Data!$C:$C,D$1))</f>
        <v/>
      </c>
      <c r="E49" s="31" t="str">
        <f>IF(SUMIFS(Data!$L:$L,Data!$A:$A,$B49,Data!$C:$C,E$1)=0,"",SUMIFS(Data!$L:$L,Data!$A:$A,$B49,Data!$C:$C,E$1))</f>
        <v/>
      </c>
      <c r="F49" s="31">
        <f>IF(SUMIFS(Data!$L:$L,Data!$A:$A,$B49,Data!$C:$C,F$1)=0,"",SUMIFS(Data!$L:$L,Data!$A:$A,$B49,Data!$C:$C,F$1))</f>
        <v>3</v>
      </c>
      <c r="G49" s="31">
        <f>IF(SUMIFS(Data!$L:$L,Data!$A:$A,$B49,Data!$C:$C,G$1)=0,"",SUMIFS(Data!$L:$L,Data!$A:$A,$B49,Data!$C:$C,G$1))</f>
        <v>2.5</v>
      </c>
      <c r="H49" s="31">
        <f>IF(SUMIFS(Data!$L:$L,Data!$A:$A,$B49,Data!$C:$C,H$1)=0,"",SUMIFS(Data!$L:$L,Data!$A:$A,$B49,Data!$C:$C,H$1))</f>
        <v>4</v>
      </c>
      <c r="I49" s="31">
        <f>IF(SUMIFS(Data!$L:$L,Data!$A:$A,$B49,Data!$C:$C,I$1)=0,"",SUMIFS(Data!$L:$L,Data!$A:$A,$B49,Data!$C:$C,I$1))</f>
        <v>2.5</v>
      </c>
      <c r="J49" s="31">
        <f>IF(SUMIFS(Data!$L:$L,Data!$A:$A,$B49,Data!$C:$C,J$1)=0,"",SUMIFS(Data!$L:$L,Data!$A:$A,$B49,Data!$C:$C,J$1))</f>
        <v>1.75</v>
      </c>
      <c r="K49" s="31">
        <f>IF(SUMIFS(Data!$L:$L,Data!$A:$A,$B49,Data!$C:$C,K$1)=0,"",SUMIFS(Data!$L:$L,Data!$A:$A,$B49,Data!$C:$C,K$1))</f>
        <v>3.25</v>
      </c>
      <c r="L49" s="31">
        <f>IF(SUMIFS(Data!$L:$L,Data!$A:$A,$B49,Data!$C:$C,L$1)=0,"",SUMIFS(Data!$L:$L,Data!$A:$A,$B49,Data!$C:$C,L$1))</f>
        <v>2.25</v>
      </c>
      <c r="M49" s="31">
        <f>IF(SUMIFS(Data!$L:$L,Data!$A:$A,$B49,Data!$C:$C,M$1)=0,"",SUMIFS(Data!$L:$L,Data!$A:$A,$B49,Data!$C:$C,M$1))</f>
        <v>1.75</v>
      </c>
      <c r="N49" s="31">
        <f>IF(SUMIFS(Data!$L:$L,Data!$A:$A,$B49,Data!$C:$C,N$1)=0,"",SUMIFS(Data!$L:$L,Data!$A:$A,$B49,Data!$C:$C,N$1))</f>
        <v>3</v>
      </c>
      <c r="O49" s="31" t="str">
        <f>IF(SUMIFS(Data!$L:$L,Data!$A:$A,$B49,Data!$C:$C,O$1)=0,"",SUMIFS(Data!$L:$L,Data!$A:$A,$B49,Data!$C:$C,O$1))</f>
        <v/>
      </c>
      <c r="P49" s="31">
        <f>IF(SUMIFS(Data!$L:$L,Data!$A:$A,$B49,Data!$C:$C,P$1)=0,"",SUMIFS(Data!$L:$L,Data!$A:$A,$B49,Data!$C:$C,P$1))</f>
        <v>3</v>
      </c>
      <c r="Q49" s="31">
        <f>IF(SUMIFS(Data!$L:$L,Data!$A:$A,$B49,Data!$C:$C,Q$1)=0,"",SUMIFS(Data!$L:$L,Data!$A:$A,$B49,Data!$C:$C,Q$1))</f>
        <v>2.5</v>
      </c>
      <c r="R49" s="31">
        <f>SUM(C49:Q49)</f>
        <v>29.5</v>
      </c>
    </row>
    <row r="50" spans="1:18" x14ac:dyDescent="0.35">
      <c r="A50" s="79">
        <v>49</v>
      </c>
      <c r="B50" s="30" t="s">
        <v>279</v>
      </c>
      <c r="C50" s="31">
        <f>IF(SUMIFS(Data!$L:$L,Data!$A:$A,$B50,Data!$C:$C,C$1)=0,"",SUMIFS(Data!$L:$L,Data!$A:$A,$B50,Data!$C:$C,C$1))</f>
        <v>1.5</v>
      </c>
      <c r="D50" s="31">
        <f>IF(SUMIFS(Data!$L:$L,Data!$A:$A,$B50,Data!$C:$C,D$1)=0,"",SUMIFS(Data!$L:$L,Data!$A:$A,$B50,Data!$C:$C,D$1))</f>
        <v>2.25</v>
      </c>
      <c r="E50" s="31">
        <f>IF(SUMIFS(Data!$L:$L,Data!$A:$A,$B50,Data!$C:$C,E$1)=0,"",SUMIFS(Data!$L:$L,Data!$A:$A,$B50,Data!$C:$C,E$1))</f>
        <v>1.5</v>
      </c>
      <c r="F50" s="31">
        <f>IF(SUMIFS(Data!$L:$L,Data!$A:$A,$B50,Data!$C:$C,F$1)=0,"",SUMIFS(Data!$L:$L,Data!$A:$A,$B50,Data!$C:$C,F$1))</f>
        <v>2</v>
      </c>
      <c r="G50" s="31">
        <f>IF(SUMIFS(Data!$L:$L,Data!$A:$A,$B50,Data!$C:$C,G$1)=0,"",SUMIFS(Data!$L:$L,Data!$A:$A,$B50,Data!$C:$C,G$1))</f>
        <v>2.5</v>
      </c>
      <c r="H50" s="31">
        <f>IF(SUMIFS(Data!$L:$L,Data!$A:$A,$B50,Data!$C:$C,H$1)=0,"",SUMIFS(Data!$L:$L,Data!$A:$A,$B50,Data!$C:$C,H$1))</f>
        <v>2.25</v>
      </c>
      <c r="I50" s="31">
        <f>IF(SUMIFS(Data!$L:$L,Data!$A:$A,$B50,Data!$C:$C,I$1)=0,"",SUMIFS(Data!$L:$L,Data!$A:$A,$B50,Data!$C:$C,I$1))</f>
        <v>1.25</v>
      </c>
      <c r="J50" s="31">
        <f>IF(SUMIFS(Data!$L:$L,Data!$A:$A,$B50,Data!$C:$C,J$1)=0,"",SUMIFS(Data!$L:$L,Data!$A:$A,$B50,Data!$C:$C,J$1))</f>
        <v>1.75</v>
      </c>
      <c r="K50" s="31">
        <f>IF(SUMIFS(Data!$L:$L,Data!$A:$A,$B50,Data!$C:$C,K$1)=0,"",SUMIFS(Data!$L:$L,Data!$A:$A,$B50,Data!$C:$C,K$1))</f>
        <v>3</v>
      </c>
      <c r="L50" s="31">
        <f>IF(SUMIFS(Data!$L:$L,Data!$A:$A,$B50,Data!$C:$C,L$1)=0,"",SUMIFS(Data!$L:$L,Data!$A:$A,$B50,Data!$C:$C,L$1))</f>
        <v>4.5</v>
      </c>
      <c r="M50" s="31">
        <f>IF(SUMIFS(Data!$L:$L,Data!$A:$A,$B50,Data!$C:$C,M$1)=0,"",SUMIFS(Data!$L:$L,Data!$A:$A,$B50,Data!$C:$C,M$1))</f>
        <v>3</v>
      </c>
      <c r="N50" s="31">
        <f>IF(SUMIFS(Data!$L:$L,Data!$A:$A,$B50,Data!$C:$C,N$1)=0,"",SUMIFS(Data!$L:$L,Data!$A:$A,$B50,Data!$C:$C,N$1))</f>
        <v>2.75</v>
      </c>
      <c r="O50" s="31" t="str">
        <f>IF(SUMIFS(Data!$L:$L,Data!$A:$A,$B50,Data!$C:$C,O$1)=0,"",SUMIFS(Data!$L:$L,Data!$A:$A,$B50,Data!$C:$C,O$1))</f>
        <v/>
      </c>
      <c r="P50" s="31">
        <f>IF(SUMIFS(Data!$L:$L,Data!$A:$A,$B50,Data!$C:$C,P$1)=0,"",SUMIFS(Data!$L:$L,Data!$A:$A,$B50,Data!$C:$C,P$1))</f>
        <v>1</v>
      </c>
      <c r="Q50" s="31" t="str">
        <f>IF(SUMIFS(Data!$L:$L,Data!$A:$A,$B50,Data!$C:$C,Q$1)=0,"",SUMIFS(Data!$L:$L,Data!$A:$A,$B50,Data!$C:$C,Q$1))</f>
        <v/>
      </c>
      <c r="R50" s="31">
        <f>SUM(C50:Q50)</f>
        <v>29.25</v>
      </c>
    </row>
    <row r="51" spans="1:18" x14ac:dyDescent="0.35">
      <c r="A51" s="79">
        <v>50</v>
      </c>
      <c r="B51" s="30" t="s">
        <v>369</v>
      </c>
      <c r="C51" s="31">
        <f>IF(SUMIFS(Data!$L:$L,Data!$A:$A,$B51,Data!$C:$C,C$1)=0,"",SUMIFS(Data!$L:$L,Data!$A:$A,$B51,Data!$C:$C,C$1))</f>
        <v>2.75</v>
      </c>
      <c r="D51" s="31">
        <f>IF(SUMIFS(Data!$L:$L,Data!$A:$A,$B51,Data!$C:$C,D$1)=0,"",SUMIFS(Data!$L:$L,Data!$A:$A,$B51,Data!$C:$C,D$1))</f>
        <v>2.75</v>
      </c>
      <c r="E51" s="31">
        <f>IF(SUMIFS(Data!$L:$L,Data!$A:$A,$B51,Data!$C:$C,E$1)=0,"",SUMIFS(Data!$L:$L,Data!$A:$A,$B51,Data!$C:$C,E$1))</f>
        <v>3</v>
      </c>
      <c r="F51" s="31" t="str">
        <f>IF(SUMIFS(Data!$L:$L,Data!$A:$A,$B51,Data!$C:$C,F$1)=0,"",SUMIFS(Data!$L:$L,Data!$A:$A,$B51,Data!$C:$C,F$1))</f>
        <v/>
      </c>
      <c r="G51" s="31" t="str">
        <f>IF(SUMIFS(Data!$L:$L,Data!$A:$A,$B51,Data!$C:$C,G$1)=0,"",SUMIFS(Data!$L:$L,Data!$A:$A,$B51,Data!$C:$C,G$1))</f>
        <v/>
      </c>
      <c r="H51" s="31">
        <f>IF(SUMIFS(Data!$L:$L,Data!$A:$A,$B51,Data!$C:$C,H$1)=0,"",SUMIFS(Data!$L:$L,Data!$A:$A,$B51,Data!$C:$C,H$1))</f>
        <v>3.75</v>
      </c>
      <c r="I51" s="31">
        <f>IF(SUMIFS(Data!$L:$L,Data!$A:$A,$B51,Data!$C:$C,I$1)=0,"",SUMIFS(Data!$L:$L,Data!$A:$A,$B51,Data!$C:$C,I$1))</f>
        <v>2.5</v>
      </c>
      <c r="J51" s="31">
        <f>IF(SUMIFS(Data!$L:$L,Data!$A:$A,$B51,Data!$C:$C,J$1)=0,"",SUMIFS(Data!$L:$L,Data!$A:$A,$B51,Data!$C:$C,J$1))</f>
        <v>3</v>
      </c>
      <c r="K51" s="31">
        <f>IF(SUMIFS(Data!$L:$L,Data!$A:$A,$B51,Data!$C:$C,K$1)=0,"",SUMIFS(Data!$L:$L,Data!$A:$A,$B51,Data!$C:$C,K$1))</f>
        <v>3</v>
      </c>
      <c r="L51" s="31">
        <f>IF(SUMIFS(Data!$L:$L,Data!$A:$A,$B51,Data!$C:$C,L$1)=0,"",SUMIFS(Data!$L:$L,Data!$A:$A,$B51,Data!$C:$C,L$1))</f>
        <v>1.5</v>
      </c>
      <c r="M51" s="31">
        <f>IF(SUMIFS(Data!$L:$L,Data!$A:$A,$B51,Data!$C:$C,M$1)=0,"",SUMIFS(Data!$L:$L,Data!$A:$A,$B51,Data!$C:$C,M$1))</f>
        <v>1.5</v>
      </c>
      <c r="N51" s="31">
        <f>IF(SUMIFS(Data!$L:$L,Data!$A:$A,$B51,Data!$C:$C,N$1)=0,"",SUMIFS(Data!$L:$L,Data!$A:$A,$B51,Data!$C:$C,N$1))</f>
        <v>2.75</v>
      </c>
      <c r="O51" s="31" t="str">
        <f>IF(SUMIFS(Data!$L:$L,Data!$A:$A,$B51,Data!$C:$C,O$1)=0,"",SUMIFS(Data!$L:$L,Data!$A:$A,$B51,Data!$C:$C,O$1))</f>
        <v/>
      </c>
      <c r="P51" s="31" t="str">
        <f>IF(SUMIFS(Data!$L:$L,Data!$A:$A,$B51,Data!$C:$C,P$1)=0,"",SUMIFS(Data!$L:$L,Data!$A:$A,$B51,Data!$C:$C,P$1))</f>
        <v/>
      </c>
      <c r="Q51" s="31">
        <f>IF(SUMIFS(Data!$L:$L,Data!$A:$A,$B51,Data!$C:$C,Q$1)=0,"",SUMIFS(Data!$L:$L,Data!$A:$A,$B51,Data!$C:$C,Q$1))</f>
        <v>2.75</v>
      </c>
      <c r="R51" s="31">
        <f>SUM(C51:Q51)</f>
        <v>29.25</v>
      </c>
    </row>
    <row r="52" spans="1:18" x14ac:dyDescent="0.35">
      <c r="A52" s="79">
        <v>51</v>
      </c>
      <c r="B52" s="30" t="s">
        <v>333</v>
      </c>
      <c r="C52" s="31">
        <f>IF(SUMIFS(Data!$L:$L,Data!$A:$A,$B52,Data!$C:$C,C$1)=0,"",SUMIFS(Data!$L:$L,Data!$A:$A,$B52,Data!$C:$C,C$1))</f>
        <v>2</v>
      </c>
      <c r="D52" s="31">
        <f>IF(SUMIFS(Data!$L:$L,Data!$A:$A,$B52,Data!$C:$C,D$1)=0,"",SUMIFS(Data!$L:$L,Data!$A:$A,$B52,Data!$C:$C,D$1))</f>
        <v>2</v>
      </c>
      <c r="E52" s="31">
        <f>IF(SUMIFS(Data!$L:$L,Data!$A:$A,$B52,Data!$C:$C,E$1)=0,"",SUMIFS(Data!$L:$L,Data!$A:$A,$B52,Data!$C:$C,E$1))</f>
        <v>2</v>
      </c>
      <c r="F52" s="31">
        <f>IF(SUMIFS(Data!$L:$L,Data!$A:$A,$B52,Data!$C:$C,F$1)=0,"",SUMIFS(Data!$L:$L,Data!$A:$A,$B52,Data!$C:$C,F$1))</f>
        <v>2.25</v>
      </c>
      <c r="G52" s="31">
        <f>IF(SUMIFS(Data!$L:$L,Data!$A:$A,$B52,Data!$C:$C,G$1)=0,"",SUMIFS(Data!$L:$L,Data!$A:$A,$B52,Data!$C:$C,G$1))</f>
        <v>1.25</v>
      </c>
      <c r="H52" s="31">
        <f>IF(SUMIFS(Data!$L:$L,Data!$A:$A,$B52,Data!$C:$C,H$1)=0,"",SUMIFS(Data!$L:$L,Data!$A:$A,$B52,Data!$C:$C,H$1))</f>
        <v>3</v>
      </c>
      <c r="I52" s="31">
        <f>IF(SUMIFS(Data!$L:$L,Data!$A:$A,$B52,Data!$C:$C,I$1)=0,"",SUMIFS(Data!$L:$L,Data!$A:$A,$B52,Data!$C:$C,I$1))</f>
        <v>2</v>
      </c>
      <c r="J52" s="31">
        <f>IF(SUMIFS(Data!$L:$L,Data!$A:$A,$B52,Data!$C:$C,J$1)=0,"",SUMIFS(Data!$L:$L,Data!$A:$A,$B52,Data!$C:$C,J$1))</f>
        <v>2</v>
      </c>
      <c r="K52" s="31">
        <f>IF(SUMIFS(Data!$L:$L,Data!$A:$A,$B52,Data!$C:$C,K$1)=0,"",SUMIFS(Data!$L:$L,Data!$A:$A,$B52,Data!$C:$C,K$1))</f>
        <v>2.5</v>
      </c>
      <c r="L52" s="31">
        <f>IF(SUMIFS(Data!$L:$L,Data!$A:$A,$B52,Data!$C:$C,L$1)=0,"",SUMIFS(Data!$L:$L,Data!$A:$A,$B52,Data!$C:$C,L$1))</f>
        <v>0.75</v>
      </c>
      <c r="M52" s="31">
        <f>IF(SUMIFS(Data!$L:$L,Data!$A:$A,$B52,Data!$C:$C,M$1)=0,"",SUMIFS(Data!$L:$L,Data!$A:$A,$B52,Data!$C:$C,M$1))</f>
        <v>2.25</v>
      </c>
      <c r="N52" s="31">
        <f>IF(SUMIFS(Data!$L:$L,Data!$A:$A,$B52,Data!$C:$C,N$1)=0,"",SUMIFS(Data!$L:$L,Data!$A:$A,$B52,Data!$C:$C,N$1))</f>
        <v>2.25</v>
      </c>
      <c r="O52" s="31">
        <f>IF(SUMIFS(Data!$L:$L,Data!$A:$A,$B52,Data!$C:$C,O$1)=0,"",SUMIFS(Data!$L:$L,Data!$A:$A,$B52,Data!$C:$C,O$1))</f>
        <v>2</v>
      </c>
      <c r="P52" s="31" t="str">
        <f>IF(SUMIFS(Data!$L:$L,Data!$A:$A,$B52,Data!$C:$C,P$1)=0,"",SUMIFS(Data!$L:$L,Data!$A:$A,$B52,Data!$C:$C,P$1))</f>
        <v/>
      </c>
      <c r="Q52" s="31">
        <f>IF(SUMIFS(Data!$L:$L,Data!$A:$A,$B52,Data!$C:$C,Q$1)=0,"",SUMIFS(Data!$L:$L,Data!$A:$A,$B52,Data!$C:$C,Q$1))</f>
        <v>3</v>
      </c>
      <c r="R52" s="31">
        <f>SUM(C52:Q52)</f>
        <v>29.25</v>
      </c>
    </row>
    <row r="53" spans="1:18" x14ac:dyDescent="0.35">
      <c r="A53" s="79">
        <v>52</v>
      </c>
      <c r="B53" s="30" t="s">
        <v>288</v>
      </c>
      <c r="C53" s="31">
        <f>IF(SUMIFS(Data!$L:$L,Data!$A:$A,$B53,Data!$C:$C,C$1)=0,"",SUMIFS(Data!$L:$L,Data!$A:$A,$B53,Data!$C:$C,C$1))</f>
        <v>3</v>
      </c>
      <c r="D53" s="31">
        <f>IF(SUMIFS(Data!$L:$L,Data!$A:$A,$B53,Data!$C:$C,D$1)=0,"",SUMIFS(Data!$L:$L,Data!$A:$A,$B53,Data!$C:$C,D$1))</f>
        <v>2.75</v>
      </c>
      <c r="E53" s="31">
        <f>IF(SUMIFS(Data!$L:$L,Data!$A:$A,$B53,Data!$C:$C,E$1)=0,"",SUMIFS(Data!$L:$L,Data!$A:$A,$B53,Data!$C:$C,E$1))</f>
        <v>1.5</v>
      </c>
      <c r="F53" s="31" t="str">
        <f>IF(SUMIFS(Data!$L:$L,Data!$A:$A,$B53,Data!$C:$C,F$1)=0,"",SUMIFS(Data!$L:$L,Data!$A:$A,$B53,Data!$C:$C,F$1))</f>
        <v/>
      </c>
      <c r="G53" s="31">
        <f>IF(SUMIFS(Data!$L:$L,Data!$A:$A,$B53,Data!$C:$C,G$1)=0,"",SUMIFS(Data!$L:$L,Data!$A:$A,$B53,Data!$C:$C,G$1))</f>
        <v>2</v>
      </c>
      <c r="H53" s="31">
        <f>IF(SUMIFS(Data!$L:$L,Data!$A:$A,$B53,Data!$C:$C,H$1)=0,"",SUMIFS(Data!$L:$L,Data!$A:$A,$B53,Data!$C:$C,H$1))</f>
        <v>1.75</v>
      </c>
      <c r="I53" s="31">
        <f>IF(SUMIFS(Data!$L:$L,Data!$A:$A,$B53,Data!$C:$C,I$1)=0,"",SUMIFS(Data!$L:$L,Data!$A:$A,$B53,Data!$C:$C,I$1))</f>
        <v>2.25</v>
      </c>
      <c r="J53" s="31">
        <f>IF(SUMIFS(Data!$L:$L,Data!$A:$A,$B53,Data!$C:$C,J$1)=0,"",SUMIFS(Data!$L:$L,Data!$A:$A,$B53,Data!$C:$C,J$1))</f>
        <v>1</v>
      </c>
      <c r="K53" s="31">
        <f>IF(SUMIFS(Data!$L:$L,Data!$A:$A,$B53,Data!$C:$C,K$1)=0,"",SUMIFS(Data!$L:$L,Data!$A:$A,$B53,Data!$C:$C,K$1))</f>
        <v>2.25</v>
      </c>
      <c r="L53" s="31">
        <f>IF(SUMIFS(Data!$L:$L,Data!$A:$A,$B53,Data!$C:$C,L$1)=0,"",SUMIFS(Data!$L:$L,Data!$A:$A,$B53,Data!$C:$C,L$1))</f>
        <v>1.5</v>
      </c>
      <c r="M53" s="31">
        <f>IF(SUMIFS(Data!$L:$L,Data!$A:$A,$B53,Data!$C:$C,M$1)=0,"",SUMIFS(Data!$L:$L,Data!$A:$A,$B53,Data!$C:$C,M$1))</f>
        <v>2.25</v>
      </c>
      <c r="N53" s="31">
        <f>IF(SUMIFS(Data!$L:$L,Data!$A:$A,$B53,Data!$C:$C,N$1)=0,"",SUMIFS(Data!$L:$L,Data!$A:$A,$B53,Data!$C:$C,N$1))</f>
        <v>3.25</v>
      </c>
      <c r="O53" s="31">
        <f>IF(SUMIFS(Data!$L:$L,Data!$A:$A,$B53,Data!$C:$C,O$1)=0,"",SUMIFS(Data!$L:$L,Data!$A:$A,$B53,Data!$C:$C,O$1))</f>
        <v>2</v>
      </c>
      <c r="P53" s="31" t="str">
        <f>IF(SUMIFS(Data!$L:$L,Data!$A:$A,$B53,Data!$C:$C,P$1)=0,"",SUMIFS(Data!$L:$L,Data!$A:$A,$B53,Data!$C:$C,P$1))</f>
        <v/>
      </c>
      <c r="Q53" s="31">
        <f>IF(SUMIFS(Data!$L:$L,Data!$A:$A,$B53,Data!$C:$C,Q$1)=0,"",SUMIFS(Data!$L:$L,Data!$A:$A,$B53,Data!$C:$C,Q$1))</f>
        <v>2.25</v>
      </c>
      <c r="R53" s="31">
        <f>SUM(C53:Q53)</f>
        <v>27.75</v>
      </c>
    </row>
    <row r="54" spans="1:18" x14ac:dyDescent="0.35">
      <c r="A54" s="79">
        <v>53</v>
      </c>
      <c r="B54" s="30" t="s">
        <v>346</v>
      </c>
      <c r="C54" s="31">
        <f>IF(SUMIFS(Data!$L:$L,Data!$A:$A,$B54,Data!$C:$C,C$1)=0,"",SUMIFS(Data!$L:$L,Data!$A:$A,$B54,Data!$C:$C,C$1))</f>
        <v>0.25</v>
      </c>
      <c r="D54" s="31">
        <f>IF(SUMIFS(Data!$L:$L,Data!$A:$A,$B54,Data!$C:$C,D$1)=0,"",SUMIFS(Data!$L:$L,Data!$A:$A,$B54,Data!$C:$C,D$1))</f>
        <v>0.5</v>
      </c>
      <c r="E54" s="31">
        <f>IF(SUMIFS(Data!$L:$L,Data!$A:$A,$B54,Data!$C:$C,E$1)=0,"",SUMIFS(Data!$L:$L,Data!$A:$A,$B54,Data!$C:$C,E$1))</f>
        <v>1.5</v>
      </c>
      <c r="F54" s="31">
        <f>IF(SUMIFS(Data!$L:$L,Data!$A:$A,$B54,Data!$C:$C,F$1)=0,"",SUMIFS(Data!$L:$L,Data!$A:$A,$B54,Data!$C:$C,F$1))</f>
        <v>1</v>
      </c>
      <c r="G54" s="31">
        <f>IF(SUMIFS(Data!$L:$L,Data!$A:$A,$B54,Data!$C:$C,G$1)=0,"",SUMIFS(Data!$L:$L,Data!$A:$A,$B54,Data!$C:$C,G$1))</f>
        <v>3.25</v>
      </c>
      <c r="H54" s="31">
        <f>IF(SUMIFS(Data!$L:$L,Data!$A:$A,$B54,Data!$C:$C,H$1)=0,"",SUMIFS(Data!$L:$L,Data!$A:$A,$B54,Data!$C:$C,H$1))</f>
        <v>3</v>
      </c>
      <c r="I54" s="31">
        <f>IF(SUMIFS(Data!$L:$L,Data!$A:$A,$B54,Data!$C:$C,I$1)=0,"",SUMIFS(Data!$L:$L,Data!$A:$A,$B54,Data!$C:$C,I$1))</f>
        <v>2.5</v>
      </c>
      <c r="J54" s="31">
        <f>IF(SUMIFS(Data!$L:$L,Data!$A:$A,$B54,Data!$C:$C,J$1)=0,"",SUMIFS(Data!$L:$L,Data!$A:$A,$B54,Data!$C:$C,J$1))</f>
        <v>2</v>
      </c>
      <c r="K54" s="31">
        <f>IF(SUMIFS(Data!$L:$L,Data!$A:$A,$B54,Data!$C:$C,K$1)=0,"",SUMIFS(Data!$L:$L,Data!$A:$A,$B54,Data!$C:$C,K$1))</f>
        <v>2.5</v>
      </c>
      <c r="L54" s="31">
        <f>IF(SUMIFS(Data!$L:$L,Data!$A:$A,$B54,Data!$C:$C,L$1)=0,"",SUMIFS(Data!$L:$L,Data!$A:$A,$B54,Data!$C:$C,L$1))</f>
        <v>1.75</v>
      </c>
      <c r="M54" s="31">
        <f>IF(SUMIFS(Data!$L:$L,Data!$A:$A,$B54,Data!$C:$C,M$1)=0,"",SUMIFS(Data!$L:$L,Data!$A:$A,$B54,Data!$C:$C,M$1))</f>
        <v>2.5</v>
      </c>
      <c r="N54" s="31">
        <f>IF(SUMIFS(Data!$L:$L,Data!$A:$A,$B54,Data!$C:$C,N$1)=0,"",SUMIFS(Data!$L:$L,Data!$A:$A,$B54,Data!$C:$C,N$1))</f>
        <v>1.75</v>
      </c>
      <c r="O54" s="31">
        <f>IF(SUMIFS(Data!$L:$L,Data!$A:$A,$B54,Data!$C:$C,O$1)=0,"",SUMIFS(Data!$L:$L,Data!$A:$A,$B54,Data!$C:$C,O$1))</f>
        <v>3</v>
      </c>
      <c r="P54" s="31" t="str">
        <f>IF(SUMIFS(Data!$L:$L,Data!$A:$A,$B54,Data!$C:$C,P$1)=0,"",SUMIFS(Data!$L:$L,Data!$A:$A,$B54,Data!$C:$C,P$1))</f>
        <v/>
      </c>
      <c r="Q54" s="31">
        <f>IF(SUMIFS(Data!$L:$L,Data!$A:$A,$B54,Data!$C:$C,Q$1)=0,"",SUMIFS(Data!$L:$L,Data!$A:$A,$B54,Data!$C:$C,Q$1))</f>
        <v>2</v>
      </c>
      <c r="R54" s="31">
        <f>SUM(C54:Q54)</f>
        <v>27.5</v>
      </c>
    </row>
    <row r="55" spans="1:18" x14ac:dyDescent="0.35">
      <c r="A55" s="79">
        <v>54</v>
      </c>
      <c r="B55" s="30" t="s">
        <v>284</v>
      </c>
      <c r="C55" s="31">
        <f>IF(SUMIFS(Data!$L:$L,Data!$A:$A,$B55,Data!$C:$C,C$1)=0,"",SUMIFS(Data!$L:$L,Data!$A:$A,$B55,Data!$C:$C,C$1))</f>
        <v>4.75</v>
      </c>
      <c r="D55" s="31">
        <f>IF(SUMIFS(Data!$L:$L,Data!$A:$A,$B55,Data!$C:$C,D$1)=0,"",SUMIFS(Data!$L:$L,Data!$A:$A,$B55,Data!$C:$C,D$1))</f>
        <v>3.25</v>
      </c>
      <c r="E55" s="31">
        <f>IF(SUMIFS(Data!$L:$L,Data!$A:$A,$B55,Data!$C:$C,E$1)=0,"",SUMIFS(Data!$L:$L,Data!$A:$A,$B55,Data!$C:$C,E$1))</f>
        <v>4.75</v>
      </c>
      <c r="F55" s="31">
        <f>IF(SUMIFS(Data!$L:$L,Data!$A:$A,$B55,Data!$C:$C,F$1)=0,"",SUMIFS(Data!$L:$L,Data!$A:$A,$B55,Data!$C:$C,F$1))</f>
        <v>3.75</v>
      </c>
      <c r="G55" s="31">
        <f>IF(SUMIFS(Data!$L:$L,Data!$A:$A,$B55,Data!$C:$C,G$1)=0,"",SUMIFS(Data!$L:$L,Data!$A:$A,$B55,Data!$C:$C,G$1))</f>
        <v>1.5</v>
      </c>
      <c r="H55" s="31" t="str">
        <f>IF(SUMIFS(Data!$L:$L,Data!$A:$A,$B55,Data!$C:$C,H$1)=0,"",SUMIFS(Data!$L:$L,Data!$A:$A,$B55,Data!$C:$C,H$1))</f>
        <v/>
      </c>
      <c r="I55" s="31">
        <f>IF(SUMIFS(Data!$L:$L,Data!$A:$A,$B55,Data!$C:$C,I$1)=0,"",SUMIFS(Data!$L:$L,Data!$A:$A,$B55,Data!$C:$C,I$1))</f>
        <v>2</v>
      </c>
      <c r="J55" s="31">
        <f>IF(SUMIFS(Data!$L:$L,Data!$A:$A,$B55,Data!$C:$C,J$1)=0,"",SUMIFS(Data!$L:$L,Data!$A:$A,$B55,Data!$C:$C,J$1))</f>
        <v>3.25</v>
      </c>
      <c r="K55" s="31">
        <f>IF(SUMIFS(Data!$L:$L,Data!$A:$A,$B55,Data!$C:$C,K$1)=0,"",SUMIFS(Data!$L:$L,Data!$A:$A,$B55,Data!$C:$C,K$1))</f>
        <v>1.5</v>
      </c>
      <c r="L55" s="31">
        <f>IF(SUMIFS(Data!$L:$L,Data!$A:$A,$B55,Data!$C:$C,L$1)=0,"",SUMIFS(Data!$L:$L,Data!$A:$A,$B55,Data!$C:$C,L$1))</f>
        <v>1.25</v>
      </c>
      <c r="M55" s="31" t="str">
        <f>IF(SUMIFS(Data!$L:$L,Data!$A:$A,$B55,Data!$C:$C,M$1)=0,"",SUMIFS(Data!$L:$L,Data!$A:$A,$B55,Data!$C:$C,M$1))</f>
        <v/>
      </c>
      <c r="N55" s="31" t="str">
        <f>IF(SUMIFS(Data!$L:$L,Data!$A:$A,$B55,Data!$C:$C,N$1)=0,"",SUMIFS(Data!$L:$L,Data!$A:$A,$B55,Data!$C:$C,N$1))</f>
        <v/>
      </c>
      <c r="O55" s="31">
        <f>IF(SUMIFS(Data!$L:$L,Data!$A:$A,$B55,Data!$C:$C,O$1)=0,"",SUMIFS(Data!$L:$L,Data!$A:$A,$B55,Data!$C:$C,O$1))</f>
        <v>1.25</v>
      </c>
      <c r="P55" s="31" t="str">
        <f>IF(SUMIFS(Data!$L:$L,Data!$A:$A,$B55,Data!$C:$C,P$1)=0,"",SUMIFS(Data!$L:$L,Data!$A:$A,$B55,Data!$C:$C,P$1))</f>
        <v/>
      </c>
      <c r="Q55" s="31" t="str">
        <f>IF(SUMIFS(Data!$L:$L,Data!$A:$A,$B55,Data!$C:$C,Q$1)=0,"",SUMIFS(Data!$L:$L,Data!$A:$A,$B55,Data!$C:$C,Q$1))</f>
        <v/>
      </c>
      <c r="R55" s="31">
        <f>SUM(C55:Q55)</f>
        <v>27.25</v>
      </c>
    </row>
    <row r="56" spans="1:18" x14ac:dyDescent="0.35">
      <c r="A56" s="79">
        <v>55</v>
      </c>
      <c r="B56" s="30" t="s">
        <v>170</v>
      </c>
      <c r="C56" s="31">
        <f>IF(SUMIFS(Data!$L:$L,Data!$A:$A,$B56,Data!$C:$C,C$1)=0,"",SUMIFS(Data!$L:$L,Data!$A:$A,$B56,Data!$C:$C,C$1))</f>
        <v>2</v>
      </c>
      <c r="D56" s="31">
        <f>IF(SUMIFS(Data!$L:$L,Data!$A:$A,$B56,Data!$C:$C,D$1)=0,"",SUMIFS(Data!$L:$L,Data!$A:$A,$B56,Data!$C:$C,D$1))</f>
        <v>1.25</v>
      </c>
      <c r="E56" s="31">
        <f>IF(SUMIFS(Data!$L:$L,Data!$A:$A,$B56,Data!$C:$C,E$1)=0,"",SUMIFS(Data!$L:$L,Data!$A:$A,$B56,Data!$C:$C,E$1))</f>
        <v>1.75</v>
      </c>
      <c r="F56" s="31">
        <f>IF(SUMIFS(Data!$L:$L,Data!$A:$A,$B56,Data!$C:$C,F$1)=0,"",SUMIFS(Data!$L:$L,Data!$A:$A,$B56,Data!$C:$C,F$1))</f>
        <v>2</v>
      </c>
      <c r="G56" s="31">
        <f>IF(SUMIFS(Data!$L:$L,Data!$A:$A,$B56,Data!$C:$C,G$1)=0,"",SUMIFS(Data!$L:$L,Data!$A:$A,$B56,Data!$C:$C,G$1))</f>
        <v>1.25</v>
      </c>
      <c r="H56" s="31" t="str">
        <f>IF(SUMIFS(Data!$L:$L,Data!$A:$A,$B56,Data!$C:$C,H$1)=0,"",SUMIFS(Data!$L:$L,Data!$A:$A,$B56,Data!$C:$C,H$1))</f>
        <v/>
      </c>
      <c r="I56" s="31">
        <f>IF(SUMIFS(Data!$L:$L,Data!$A:$A,$B56,Data!$C:$C,I$1)=0,"",SUMIFS(Data!$L:$L,Data!$A:$A,$B56,Data!$C:$C,I$1))</f>
        <v>1.25</v>
      </c>
      <c r="J56" s="31">
        <f>IF(SUMIFS(Data!$L:$L,Data!$A:$A,$B56,Data!$C:$C,J$1)=0,"",SUMIFS(Data!$L:$L,Data!$A:$A,$B56,Data!$C:$C,J$1))</f>
        <v>2</v>
      </c>
      <c r="K56" s="31" t="str">
        <f>IF(SUMIFS(Data!$L:$L,Data!$A:$A,$B56,Data!$C:$C,K$1)=0,"",SUMIFS(Data!$L:$L,Data!$A:$A,$B56,Data!$C:$C,K$1))</f>
        <v/>
      </c>
      <c r="L56" s="31">
        <f>IF(SUMIFS(Data!$L:$L,Data!$A:$A,$B56,Data!$C:$C,L$1)=0,"",SUMIFS(Data!$L:$L,Data!$A:$A,$B56,Data!$C:$C,L$1))</f>
        <v>4</v>
      </c>
      <c r="M56" s="31" t="str">
        <f>IF(SUMIFS(Data!$L:$L,Data!$A:$A,$B56,Data!$C:$C,M$1)=0,"",SUMIFS(Data!$L:$L,Data!$A:$A,$B56,Data!$C:$C,M$1))</f>
        <v/>
      </c>
      <c r="N56" s="31">
        <f>IF(SUMIFS(Data!$L:$L,Data!$A:$A,$B56,Data!$C:$C,N$1)=0,"",SUMIFS(Data!$L:$L,Data!$A:$A,$B56,Data!$C:$C,N$1))</f>
        <v>3</v>
      </c>
      <c r="O56" s="31">
        <f>IF(SUMIFS(Data!$L:$L,Data!$A:$A,$B56,Data!$C:$C,O$1)=0,"",SUMIFS(Data!$L:$L,Data!$A:$A,$B56,Data!$C:$C,O$1))</f>
        <v>4</v>
      </c>
      <c r="P56" s="31">
        <f>IF(SUMIFS(Data!$L:$L,Data!$A:$A,$B56,Data!$C:$C,P$1)=0,"",SUMIFS(Data!$L:$L,Data!$A:$A,$B56,Data!$C:$C,P$1))</f>
        <v>1.5</v>
      </c>
      <c r="Q56" s="31">
        <f>IF(SUMIFS(Data!$L:$L,Data!$A:$A,$B56,Data!$C:$C,Q$1)=0,"",SUMIFS(Data!$L:$L,Data!$A:$A,$B56,Data!$C:$C,Q$1))</f>
        <v>2.75</v>
      </c>
      <c r="R56" s="31">
        <f>SUM(C56:Q56)</f>
        <v>26.75</v>
      </c>
    </row>
    <row r="57" spans="1:18" x14ac:dyDescent="0.35">
      <c r="A57" s="79">
        <v>56</v>
      </c>
      <c r="B57" s="30" t="s">
        <v>390</v>
      </c>
      <c r="C57" s="31" t="str">
        <f>IF(SUMIFS(Data!$L:$L,Data!$A:$A,$B57,Data!$C:$C,C$1)=0,"",SUMIFS(Data!$L:$L,Data!$A:$A,$B57,Data!$C:$C,C$1))</f>
        <v/>
      </c>
      <c r="D57" s="31" t="str">
        <f>IF(SUMIFS(Data!$L:$L,Data!$A:$A,$B57,Data!$C:$C,D$1)=0,"",SUMIFS(Data!$L:$L,Data!$A:$A,$B57,Data!$C:$C,D$1))</f>
        <v/>
      </c>
      <c r="E57" s="31">
        <f>IF(SUMIFS(Data!$L:$L,Data!$A:$A,$B57,Data!$C:$C,E$1)=0,"",SUMIFS(Data!$L:$L,Data!$A:$A,$B57,Data!$C:$C,E$1))</f>
        <v>3.5</v>
      </c>
      <c r="F57" s="31">
        <f>IF(SUMIFS(Data!$L:$L,Data!$A:$A,$B57,Data!$C:$C,F$1)=0,"",SUMIFS(Data!$L:$L,Data!$A:$A,$B57,Data!$C:$C,F$1))</f>
        <v>2.5</v>
      </c>
      <c r="G57" s="31">
        <f>IF(SUMIFS(Data!$L:$L,Data!$A:$A,$B57,Data!$C:$C,G$1)=0,"",SUMIFS(Data!$L:$L,Data!$A:$A,$B57,Data!$C:$C,G$1))</f>
        <v>3</v>
      </c>
      <c r="H57" s="31" t="str">
        <f>IF(SUMIFS(Data!$L:$L,Data!$A:$A,$B57,Data!$C:$C,H$1)=0,"",SUMIFS(Data!$L:$L,Data!$A:$A,$B57,Data!$C:$C,H$1))</f>
        <v/>
      </c>
      <c r="I57" s="31">
        <f>IF(SUMIFS(Data!$L:$L,Data!$A:$A,$B57,Data!$C:$C,I$1)=0,"",SUMIFS(Data!$L:$L,Data!$A:$A,$B57,Data!$C:$C,I$1))</f>
        <v>2.25</v>
      </c>
      <c r="J57" s="31">
        <f>IF(SUMIFS(Data!$L:$L,Data!$A:$A,$B57,Data!$C:$C,J$1)=0,"",SUMIFS(Data!$L:$L,Data!$A:$A,$B57,Data!$C:$C,J$1))</f>
        <v>2.75</v>
      </c>
      <c r="K57" s="31" t="str">
        <f>IF(SUMIFS(Data!$L:$L,Data!$A:$A,$B57,Data!$C:$C,K$1)=0,"",SUMIFS(Data!$L:$L,Data!$A:$A,$B57,Data!$C:$C,K$1))</f>
        <v/>
      </c>
      <c r="L57" s="31" t="str">
        <f>IF(SUMIFS(Data!$L:$L,Data!$A:$A,$B57,Data!$C:$C,L$1)=0,"",SUMIFS(Data!$L:$L,Data!$A:$A,$B57,Data!$C:$C,L$1))</f>
        <v/>
      </c>
      <c r="M57" s="31">
        <f>IF(SUMIFS(Data!$L:$L,Data!$A:$A,$B57,Data!$C:$C,M$1)=0,"",SUMIFS(Data!$L:$L,Data!$A:$A,$B57,Data!$C:$C,M$1))</f>
        <v>2.5</v>
      </c>
      <c r="N57" s="31" t="str">
        <f>IF(SUMIFS(Data!$L:$L,Data!$A:$A,$B57,Data!$C:$C,N$1)=0,"",SUMIFS(Data!$L:$L,Data!$A:$A,$B57,Data!$C:$C,N$1))</f>
        <v/>
      </c>
      <c r="O57" s="31">
        <f>IF(SUMIFS(Data!$L:$L,Data!$A:$A,$B57,Data!$C:$C,O$1)=0,"",SUMIFS(Data!$L:$L,Data!$A:$A,$B57,Data!$C:$C,O$1))</f>
        <v>3.25</v>
      </c>
      <c r="P57" s="31">
        <f>IF(SUMIFS(Data!$L:$L,Data!$A:$A,$B57,Data!$C:$C,P$1)=0,"",SUMIFS(Data!$L:$L,Data!$A:$A,$B57,Data!$C:$C,P$1))</f>
        <v>4.5</v>
      </c>
      <c r="Q57" s="31">
        <f>IF(SUMIFS(Data!$L:$L,Data!$A:$A,$B57,Data!$C:$C,Q$1)=0,"",SUMIFS(Data!$L:$L,Data!$A:$A,$B57,Data!$C:$C,Q$1))</f>
        <v>2.25</v>
      </c>
      <c r="R57" s="31">
        <f>SUM(C57:Q57)</f>
        <v>26.5</v>
      </c>
    </row>
    <row r="58" spans="1:18" x14ac:dyDescent="0.35">
      <c r="A58" s="79">
        <v>57</v>
      </c>
      <c r="B58" s="30" t="s">
        <v>375</v>
      </c>
      <c r="C58" s="31">
        <f>IF(SUMIFS(Data!$L:$L,Data!$A:$A,$B58,Data!$C:$C,C$1)=0,"",SUMIFS(Data!$L:$L,Data!$A:$A,$B58,Data!$C:$C,C$1))</f>
        <v>2.75</v>
      </c>
      <c r="D58" s="31">
        <f>IF(SUMIFS(Data!$L:$L,Data!$A:$A,$B58,Data!$C:$C,D$1)=0,"",SUMIFS(Data!$L:$L,Data!$A:$A,$B58,Data!$C:$C,D$1))</f>
        <v>0.5</v>
      </c>
      <c r="E58" s="31">
        <f>IF(SUMIFS(Data!$L:$L,Data!$A:$A,$B58,Data!$C:$C,E$1)=0,"",SUMIFS(Data!$L:$L,Data!$A:$A,$B58,Data!$C:$C,E$1))</f>
        <v>1.5</v>
      </c>
      <c r="F58" s="31">
        <f>IF(SUMIFS(Data!$L:$L,Data!$A:$A,$B58,Data!$C:$C,F$1)=0,"",SUMIFS(Data!$L:$L,Data!$A:$A,$B58,Data!$C:$C,F$1))</f>
        <v>1.5</v>
      </c>
      <c r="G58" s="31">
        <f>IF(SUMIFS(Data!$L:$L,Data!$A:$A,$B58,Data!$C:$C,G$1)=0,"",SUMIFS(Data!$L:$L,Data!$A:$A,$B58,Data!$C:$C,G$1))</f>
        <v>2</v>
      </c>
      <c r="H58" s="31">
        <f>IF(SUMIFS(Data!$L:$L,Data!$A:$A,$B58,Data!$C:$C,H$1)=0,"",SUMIFS(Data!$L:$L,Data!$A:$A,$B58,Data!$C:$C,H$1))</f>
        <v>3</v>
      </c>
      <c r="I58" s="31">
        <f>IF(SUMIFS(Data!$L:$L,Data!$A:$A,$B58,Data!$C:$C,I$1)=0,"",SUMIFS(Data!$L:$L,Data!$A:$A,$B58,Data!$C:$C,I$1))</f>
        <v>1.5</v>
      </c>
      <c r="J58" s="31">
        <f>IF(SUMIFS(Data!$L:$L,Data!$A:$A,$B58,Data!$C:$C,J$1)=0,"",SUMIFS(Data!$L:$L,Data!$A:$A,$B58,Data!$C:$C,J$1))</f>
        <v>2</v>
      </c>
      <c r="K58" s="31">
        <f>IF(SUMIFS(Data!$L:$L,Data!$A:$A,$B58,Data!$C:$C,K$1)=0,"",SUMIFS(Data!$L:$L,Data!$A:$A,$B58,Data!$C:$C,K$1))</f>
        <v>2.5</v>
      </c>
      <c r="L58" s="31">
        <f>IF(SUMIFS(Data!$L:$L,Data!$A:$A,$B58,Data!$C:$C,L$1)=0,"",SUMIFS(Data!$L:$L,Data!$A:$A,$B58,Data!$C:$C,L$1))</f>
        <v>0.75</v>
      </c>
      <c r="M58" s="31">
        <f>IF(SUMIFS(Data!$L:$L,Data!$A:$A,$B58,Data!$C:$C,M$1)=0,"",SUMIFS(Data!$L:$L,Data!$A:$A,$B58,Data!$C:$C,M$1))</f>
        <v>2</v>
      </c>
      <c r="N58" s="31">
        <f>IF(SUMIFS(Data!$L:$L,Data!$A:$A,$B58,Data!$C:$C,N$1)=0,"",SUMIFS(Data!$L:$L,Data!$A:$A,$B58,Data!$C:$C,N$1))</f>
        <v>2.25</v>
      </c>
      <c r="O58" s="31">
        <f>IF(SUMIFS(Data!$L:$L,Data!$A:$A,$B58,Data!$C:$C,O$1)=0,"",SUMIFS(Data!$L:$L,Data!$A:$A,$B58,Data!$C:$C,O$1))</f>
        <v>2.25</v>
      </c>
      <c r="P58" s="31" t="str">
        <f>IF(SUMIFS(Data!$L:$L,Data!$A:$A,$B58,Data!$C:$C,P$1)=0,"",SUMIFS(Data!$L:$L,Data!$A:$A,$B58,Data!$C:$C,P$1))</f>
        <v/>
      </c>
      <c r="Q58" s="31">
        <f>IF(SUMIFS(Data!$L:$L,Data!$A:$A,$B58,Data!$C:$C,Q$1)=0,"",SUMIFS(Data!$L:$L,Data!$A:$A,$B58,Data!$C:$C,Q$1))</f>
        <v>2</v>
      </c>
      <c r="R58" s="31">
        <f>SUM(C58:Q58)</f>
        <v>26.5</v>
      </c>
    </row>
    <row r="59" spans="1:18" x14ac:dyDescent="0.35">
      <c r="A59" s="79">
        <v>58</v>
      </c>
      <c r="B59" s="30" t="s">
        <v>204</v>
      </c>
      <c r="C59" s="31">
        <f>IF(SUMIFS(Data!$L:$L,Data!$A:$A,$B59,Data!$C:$C,C$1)=0,"",SUMIFS(Data!$L:$L,Data!$A:$A,$B59,Data!$C:$C,C$1))</f>
        <v>0.75</v>
      </c>
      <c r="D59" s="31">
        <f>IF(SUMIFS(Data!$L:$L,Data!$A:$A,$B59,Data!$C:$C,D$1)=0,"",SUMIFS(Data!$L:$L,Data!$A:$A,$B59,Data!$C:$C,D$1))</f>
        <v>1.25</v>
      </c>
      <c r="E59" s="31">
        <f>IF(SUMIFS(Data!$L:$L,Data!$A:$A,$B59,Data!$C:$C,E$1)=0,"",SUMIFS(Data!$L:$L,Data!$A:$A,$B59,Data!$C:$C,E$1))</f>
        <v>2</v>
      </c>
      <c r="F59" s="31">
        <f>IF(SUMIFS(Data!$L:$L,Data!$A:$A,$B59,Data!$C:$C,F$1)=0,"",SUMIFS(Data!$L:$L,Data!$A:$A,$B59,Data!$C:$C,F$1))</f>
        <v>1.5</v>
      </c>
      <c r="G59" s="31">
        <f>IF(SUMIFS(Data!$L:$L,Data!$A:$A,$B59,Data!$C:$C,G$1)=0,"",SUMIFS(Data!$L:$L,Data!$A:$A,$B59,Data!$C:$C,G$1))</f>
        <v>2.5</v>
      </c>
      <c r="H59" s="31">
        <f>IF(SUMIFS(Data!$L:$L,Data!$A:$A,$B59,Data!$C:$C,H$1)=0,"",SUMIFS(Data!$L:$L,Data!$A:$A,$B59,Data!$C:$C,H$1))</f>
        <v>1.5</v>
      </c>
      <c r="I59" s="31">
        <f>IF(SUMIFS(Data!$L:$L,Data!$A:$A,$B59,Data!$C:$C,I$1)=0,"",SUMIFS(Data!$L:$L,Data!$A:$A,$B59,Data!$C:$C,I$1))</f>
        <v>1.5</v>
      </c>
      <c r="J59" s="31">
        <f>IF(SUMIFS(Data!$L:$L,Data!$A:$A,$B59,Data!$C:$C,J$1)=0,"",SUMIFS(Data!$L:$L,Data!$A:$A,$B59,Data!$C:$C,J$1))</f>
        <v>2.25</v>
      </c>
      <c r="K59" s="31">
        <f>IF(SUMIFS(Data!$L:$L,Data!$A:$A,$B59,Data!$C:$C,K$1)=0,"",SUMIFS(Data!$L:$L,Data!$A:$A,$B59,Data!$C:$C,K$1))</f>
        <v>2</v>
      </c>
      <c r="L59" s="31">
        <f>IF(SUMIFS(Data!$L:$L,Data!$A:$A,$B59,Data!$C:$C,L$1)=0,"",SUMIFS(Data!$L:$L,Data!$A:$A,$B59,Data!$C:$C,L$1))</f>
        <v>2</v>
      </c>
      <c r="M59" s="31">
        <f>IF(SUMIFS(Data!$L:$L,Data!$A:$A,$B59,Data!$C:$C,M$1)=0,"",SUMIFS(Data!$L:$L,Data!$A:$A,$B59,Data!$C:$C,M$1))</f>
        <v>2.25</v>
      </c>
      <c r="N59" s="31">
        <f>IF(SUMIFS(Data!$L:$L,Data!$A:$A,$B59,Data!$C:$C,N$1)=0,"",SUMIFS(Data!$L:$L,Data!$A:$A,$B59,Data!$C:$C,N$1))</f>
        <v>2.25</v>
      </c>
      <c r="O59" s="31">
        <f>IF(SUMIFS(Data!$L:$L,Data!$A:$A,$B59,Data!$C:$C,O$1)=0,"",SUMIFS(Data!$L:$L,Data!$A:$A,$B59,Data!$C:$C,O$1))</f>
        <v>2.5</v>
      </c>
      <c r="P59" s="31">
        <f>IF(SUMIFS(Data!$L:$L,Data!$A:$A,$B59,Data!$C:$C,P$1)=0,"",SUMIFS(Data!$L:$L,Data!$A:$A,$B59,Data!$C:$C,P$1))</f>
        <v>0.25</v>
      </c>
      <c r="Q59" s="31">
        <f>IF(SUMIFS(Data!$L:$L,Data!$A:$A,$B59,Data!$C:$C,Q$1)=0,"",SUMIFS(Data!$L:$L,Data!$A:$A,$B59,Data!$C:$C,Q$1))</f>
        <v>1.75</v>
      </c>
      <c r="R59" s="31">
        <f>SUM(C59:Q59)</f>
        <v>26.25</v>
      </c>
    </row>
    <row r="60" spans="1:18" x14ac:dyDescent="0.35">
      <c r="A60" s="79">
        <v>59</v>
      </c>
      <c r="B60" s="30" t="s">
        <v>370</v>
      </c>
      <c r="C60" s="31">
        <f>IF(SUMIFS(Data!$L:$L,Data!$A:$A,$B60,Data!$C:$C,C$1)=0,"",SUMIFS(Data!$L:$L,Data!$A:$A,$B60,Data!$C:$C,C$1))</f>
        <v>2.5</v>
      </c>
      <c r="D60" s="31">
        <f>IF(SUMIFS(Data!$L:$L,Data!$A:$A,$B60,Data!$C:$C,D$1)=0,"",SUMIFS(Data!$L:$L,Data!$A:$A,$B60,Data!$C:$C,D$1))</f>
        <v>3</v>
      </c>
      <c r="E60" s="31">
        <f>IF(SUMIFS(Data!$L:$L,Data!$A:$A,$B60,Data!$C:$C,E$1)=0,"",SUMIFS(Data!$L:$L,Data!$A:$A,$B60,Data!$C:$C,E$1))</f>
        <v>2</v>
      </c>
      <c r="F60" s="31" t="str">
        <f>IF(SUMIFS(Data!$L:$L,Data!$A:$A,$B60,Data!$C:$C,F$1)=0,"",SUMIFS(Data!$L:$L,Data!$A:$A,$B60,Data!$C:$C,F$1))</f>
        <v/>
      </c>
      <c r="G60" s="31" t="str">
        <f>IF(SUMIFS(Data!$L:$L,Data!$A:$A,$B60,Data!$C:$C,G$1)=0,"",SUMIFS(Data!$L:$L,Data!$A:$A,$B60,Data!$C:$C,G$1))</f>
        <v/>
      </c>
      <c r="H60" s="31">
        <f>IF(SUMIFS(Data!$L:$L,Data!$A:$A,$B60,Data!$C:$C,H$1)=0,"",SUMIFS(Data!$L:$L,Data!$A:$A,$B60,Data!$C:$C,H$1))</f>
        <v>4</v>
      </c>
      <c r="I60" s="31">
        <f>IF(SUMIFS(Data!$L:$L,Data!$A:$A,$B60,Data!$C:$C,I$1)=0,"",SUMIFS(Data!$L:$L,Data!$A:$A,$B60,Data!$C:$C,I$1))</f>
        <v>1.75</v>
      </c>
      <c r="J60" s="31" t="str">
        <f>IF(SUMIFS(Data!$L:$L,Data!$A:$A,$B60,Data!$C:$C,J$1)=0,"",SUMIFS(Data!$L:$L,Data!$A:$A,$B60,Data!$C:$C,J$1))</f>
        <v/>
      </c>
      <c r="K60" s="31">
        <f>IF(SUMIFS(Data!$L:$L,Data!$A:$A,$B60,Data!$C:$C,K$1)=0,"",SUMIFS(Data!$L:$L,Data!$A:$A,$B60,Data!$C:$C,K$1))</f>
        <v>3.5</v>
      </c>
      <c r="L60" s="31">
        <f>IF(SUMIFS(Data!$L:$L,Data!$A:$A,$B60,Data!$C:$C,L$1)=0,"",SUMIFS(Data!$L:$L,Data!$A:$A,$B60,Data!$C:$C,L$1))</f>
        <v>1.5</v>
      </c>
      <c r="M60" s="31">
        <f>IF(SUMIFS(Data!$L:$L,Data!$A:$A,$B60,Data!$C:$C,M$1)=0,"",SUMIFS(Data!$L:$L,Data!$A:$A,$B60,Data!$C:$C,M$1))</f>
        <v>1.5</v>
      </c>
      <c r="N60" s="31">
        <f>IF(SUMIFS(Data!$L:$L,Data!$A:$A,$B60,Data!$C:$C,N$1)=0,"",SUMIFS(Data!$L:$L,Data!$A:$A,$B60,Data!$C:$C,N$1))</f>
        <v>3.25</v>
      </c>
      <c r="O60" s="31">
        <f>IF(SUMIFS(Data!$L:$L,Data!$A:$A,$B60,Data!$C:$C,O$1)=0,"",SUMIFS(Data!$L:$L,Data!$A:$A,$B60,Data!$C:$C,O$1))</f>
        <v>3</v>
      </c>
      <c r="P60" s="31" t="str">
        <f>IF(SUMIFS(Data!$L:$L,Data!$A:$A,$B60,Data!$C:$C,P$1)=0,"",SUMIFS(Data!$L:$L,Data!$A:$A,$B60,Data!$C:$C,P$1))</f>
        <v/>
      </c>
      <c r="Q60" s="31" t="str">
        <f>IF(SUMIFS(Data!$L:$L,Data!$A:$A,$B60,Data!$C:$C,Q$1)=0,"",SUMIFS(Data!$L:$L,Data!$A:$A,$B60,Data!$C:$C,Q$1))</f>
        <v/>
      </c>
      <c r="R60" s="31">
        <f>SUM(C60:Q60)</f>
        <v>26</v>
      </c>
    </row>
    <row r="61" spans="1:18" x14ac:dyDescent="0.35">
      <c r="A61" s="79">
        <v>60</v>
      </c>
      <c r="B61" s="30" t="s">
        <v>361</v>
      </c>
      <c r="C61" s="31">
        <f>IF(SUMIFS(Data!$L:$L,Data!$A:$A,$B61,Data!$C:$C,C$1)=0,"",SUMIFS(Data!$L:$L,Data!$A:$A,$B61,Data!$C:$C,C$1))</f>
        <v>2</v>
      </c>
      <c r="D61" s="31">
        <f>IF(SUMIFS(Data!$L:$L,Data!$A:$A,$B61,Data!$C:$C,D$1)=0,"",SUMIFS(Data!$L:$L,Data!$A:$A,$B61,Data!$C:$C,D$1))</f>
        <v>2.5</v>
      </c>
      <c r="E61" s="31">
        <f>IF(SUMIFS(Data!$L:$L,Data!$A:$A,$B61,Data!$C:$C,E$1)=0,"",SUMIFS(Data!$L:$L,Data!$A:$A,$B61,Data!$C:$C,E$1))</f>
        <v>1.25</v>
      </c>
      <c r="F61" s="31">
        <f>IF(SUMIFS(Data!$L:$L,Data!$A:$A,$B61,Data!$C:$C,F$1)=0,"",SUMIFS(Data!$L:$L,Data!$A:$A,$B61,Data!$C:$C,F$1))</f>
        <v>1</v>
      </c>
      <c r="G61" s="31">
        <f>IF(SUMIFS(Data!$L:$L,Data!$A:$A,$B61,Data!$C:$C,G$1)=0,"",SUMIFS(Data!$L:$L,Data!$A:$A,$B61,Data!$C:$C,G$1))</f>
        <v>1.5</v>
      </c>
      <c r="H61" s="31">
        <f>IF(SUMIFS(Data!$L:$L,Data!$A:$A,$B61,Data!$C:$C,H$1)=0,"",SUMIFS(Data!$L:$L,Data!$A:$A,$B61,Data!$C:$C,H$1))</f>
        <v>1.25</v>
      </c>
      <c r="I61" s="31">
        <f>IF(SUMIFS(Data!$L:$L,Data!$A:$A,$B61,Data!$C:$C,I$1)=0,"",SUMIFS(Data!$L:$L,Data!$A:$A,$B61,Data!$C:$C,I$1))</f>
        <v>2.5</v>
      </c>
      <c r="J61" s="31">
        <f>IF(SUMIFS(Data!$L:$L,Data!$A:$A,$B61,Data!$C:$C,J$1)=0,"",SUMIFS(Data!$L:$L,Data!$A:$A,$B61,Data!$C:$C,J$1))</f>
        <v>1.5</v>
      </c>
      <c r="K61" s="31">
        <f>IF(SUMIFS(Data!$L:$L,Data!$A:$A,$B61,Data!$C:$C,K$1)=0,"",SUMIFS(Data!$L:$L,Data!$A:$A,$B61,Data!$C:$C,K$1))</f>
        <v>2.5</v>
      </c>
      <c r="L61" s="31">
        <f>IF(SUMIFS(Data!$L:$L,Data!$A:$A,$B61,Data!$C:$C,L$1)=0,"",SUMIFS(Data!$L:$L,Data!$A:$A,$B61,Data!$C:$C,L$1))</f>
        <v>1.5</v>
      </c>
      <c r="M61" s="31" t="str">
        <f>IF(SUMIFS(Data!$L:$L,Data!$A:$A,$B61,Data!$C:$C,M$1)=0,"",SUMIFS(Data!$L:$L,Data!$A:$A,$B61,Data!$C:$C,M$1))</f>
        <v/>
      </c>
      <c r="N61" s="31">
        <f>IF(SUMIFS(Data!$L:$L,Data!$A:$A,$B61,Data!$C:$C,N$1)=0,"",SUMIFS(Data!$L:$L,Data!$A:$A,$B61,Data!$C:$C,N$1))</f>
        <v>4.5</v>
      </c>
      <c r="O61" s="31">
        <f>IF(SUMIFS(Data!$L:$L,Data!$A:$A,$B61,Data!$C:$C,O$1)=0,"",SUMIFS(Data!$L:$L,Data!$A:$A,$B61,Data!$C:$C,O$1))</f>
        <v>2.5</v>
      </c>
      <c r="P61" s="31">
        <f>IF(SUMIFS(Data!$L:$L,Data!$A:$A,$B61,Data!$C:$C,P$1)=0,"",SUMIFS(Data!$L:$L,Data!$A:$A,$B61,Data!$C:$C,P$1))</f>
        <v>0.25</v>
      </c>
      <c r="Q61" s="31">
        <f>IF(SUMIFS(Data!$L:$L,Data!$A:$A,$B61,Data!$C:$C,Q$1)=0,"",SUMIFS(Data!$L:$L,Data!$A:$A,$B61,Data!$C:$C,Q$1))</f>
        <v>1.25</v>
      </c>
      <c r="R61" s="31">
        <f>SUM(C61:Q61)</f>
        <v>26</v>
      </c>
    </row>
    <row r="62" spans="1:18" x14ac:dyDescent="0.35">
      <c r="A62" s="79">
        <v>61</v>
      </c>
      <c r="B62" s="30" t="s">
        <v>128</v>
      </c>
      <c r="C62" s="31">
        <f>IF(SUMIFS(Data!$L:$L,Data!$A:$A,$B62,Data!$C:$C,C$1)=0,"",SUMIFS(Data!$L:$L,Data!$A:$A,$B62,Data!$C:$C,C$1))</f>
        <v>1</v>
      </c>
      <c r="D62" s="31">
        <f>IF(SUMIFS(Data!$L:$L,Data!$A:$A,$B62,Data!$C:$C,D$1)=0,"",SUMIFS(Data!$L:$L,Data!$A:$A,$B62,Data!$C:$C,D$1))</f>
        <v>4</v>
      </c>
      <c r="E62" s="31">
        <f>IF(SUMIFS(Data!$L:$L,Data!$A:$A,$B62,Data!$C:$C,E$1)=0,"",SUMIFS(Data!$L:$L,Data!$A:$A,$B62,Data!$C:$C,E$1))</f>
        <v>1.5</v>
      </c>
      <c r="F62" s="31">
        <f>IF(SUMIFS(Data!$L:$L,Data!$A:$A,$B62,Data!$C:$C,F$1)=0,"",SUMIFS(Data!$L:$L,Data!$A:$A,$B62,Data!$C:$C,F$1))</f>
        <v>2</v>
      </c>
      <c r="G62" s="31">
        <f>IF(SUMIFS(Data!$L:$L,Data!$A:$A,$B62,Data!$C:$C,G$1)=0,"",SUMIFS(Data!$L:$L,Data!$A:$A,$B62,Data!$C:$C,G$1))</f>
        <v>1.5</v>
      </c>
      <c r="H62" s="31">
        <f>IF(SUMIFS(Data!$L:$L,Data!$A:$A,$B62,Data!$C:$C,H$1)=0,"",SUMIFS(Data!$L:$L,Data!$A:$A,$B62,Data!$C:$C,H$1))</f>
        <v>3.25</v>
      </c>
      <c r="I62" s="31">
        <f>IF(SUMIFS(Data!$L:$L,Data!$A:$A,$B62,Data!$C:$C,I$1)=0,"",SUMIFS(Data!$L:$L,Data!$A:$A,$B62,Data!$C:$C,I$1))</f>
        <v>1</v>
      </c>
      <c r="J62" s="31">
        <f>IF(SUMIFS(Data!$L:$L,Data!$A:$A,$B62,Data!$C:$C,J$1)=0,"",SUMIFS(Data!$L:$L,Data!$A:$A,$B62,Data!$C:$C,J$1))</f>
        <v>2</v>
      </c>
      <c r="K62" s="31">
        <f>IF(SUMIFS(Data!$L:$L,Data!$A:$A,$B62,Data!$C:$C,K$1)=0,"",SUMIFS(Data!$L:$L,Data!$A:$A,$B62,Data!$C:$C,K$1))</f>
        <v>1</v>
      </c>
      <c r="L62" s="31">
        <f>IF(SUMIFS(Data!$L:$L,Data!$A:$A,$B62,Data!$C:$C,L$1)=0,"",SUMIFS(Data!$L:$L,Data!$A:$A,$B62,Data!$C:$C,L$1))</f>
        <v>2</v>
      </c>
      <c r="M62" s="31">
        <f>IF(SUMIFS(Data!$L:$L,Data!$A:$A,$B62,Data!$C:$C,M$1)=0,"",SUMIFS(Data!$L:$L,Data!$A:$A,$B62,Data!$C:$C,M$1))</f>
        <v>2</v>
      </c>
      <c r="N62" s="31">
        <f>IF(SUMIFS(Data!$L:$L,Data!$A:$A,$B62,Data!$C:$C,N$1)=0,"",SUMIFS(Data!$L:$L,Data!$A:$A,$B62,Data!$C:$C,N$1))</f>
        <v>1.5</v>
      </c>
      <c r="O62" s="31">
        <f>IF(SUMIFS(Data!$L:$L,Data!$A:$A,$B62,Data!$C:$C,O$1)=0,"",SUMIFS(Data!$L:$L,Data!$A:$A,$B62,Data!$C:$C,O$1))</f>
        <v>1</v>
      </c>
      <c r="P62" s="31">
        <f>IF(SUMIFS(Data!$L:$L,Data!$A:$A,$B62,Data!$C:$C,P$1)=0,"",SUMIFS(Data!$L:$L,Data!$A:$A,$B62,Data!$C:$C,P$1))</f>
        <v>1</v>
      </c>
      <c r="Q62" s="31">
        <f>IF(SUMIFS(Data!$L:$L,Data!$A:$A,$B62,Data!$C:$C,Q$1)=0,"",SUMIFS(Data!$L:$L,Data!$A:$A,$B62,Data!$C:$C,Q$1))</f>
        <v>1.25</v>
      </c>
      <c r="R62" s="31">
        <f>SUM(C62:Q62)</f>
        <v>26</v>
      </c>
    </row>
    <row r="63" spans="1:18" x14ac:dyDescent="0.35">
      <c r="A63" s="79">
        <v>62</v>
      </c>
      <c r="B63" s="30" t="s">
        <v>247</v>
      </c>
      <c r="C63" s="31">
        <f>IF(SUMIFS(Data!$L:$L,Data!$A:$A,$B63,Data!$C:$C,C$1)=0,"",SUMIFS(Data!$L:$L,Data!$A:$A,$B63,Data!$C:$C,C$1))</f>
        <v>1</v>
      </c>
      <c r="D63" s="31">
        <f>IF(SUMIFS(Data!$L:$L,Data!$A:$A,$B63,Data!$C:$C,D$1)=0,"",SUMIFS(Data!$L:$L,Data!$A:$A,$B63,Data!$C:$C,D$1))</f>
        <v>1.25</v>
      </c>
      <c r="E63" s="31">
        <f>IF(SUMIFS(Data!$L:$L,Data!$A:$A,$B63,Data!$C:$C,E$1)=0,"",SUMIFS(Data!$L:$L,Data!$A:$A,$B63,Data!$C:$C,E$1))</f>
        <v>2.75</v>
      </c>
      <c r="F63" s="31">
        <f>IF(SUMIFS(Data!$L:$L,Data!$A:$A,$B63,Data!$C:$C,F$1)=0,"",SUMIFS(Data!$L:$L,Data!$A:$A,$B63,Data!$C:$C,F$1))</f>
        <v>1.25</v>
      </c>
      <c r="G63" s="31">
        <f>IF(SUMIFS(Data!$L:$L,Data!$A:$A,$B63,Data!$C:$C,G$1)=0,"",SUMIFS(Data!$L:$L,Data!$A:$A,$B63,Data!$C:$C,G$1))</f>
        <v>1.5</v>
      </c>
      <c r="H63" s="31">
        <f>IF(SUMIFS(Data!$L:$L,Data!$A:$A,$B63,Data!$C:$C,H$1)=0,"",SUMIFS(Data!$L:$L,Data!$A:$A,$B63,Data!$C:$C,H$1))</f>
        <v>1.5</v>
      </c>
      <c r="I63" s="31">
        <f>IF(SUMIFS(Data!$L:$L,Data!$A:$A,$B63,Data!$C:$C,I$1)=0,"",SUMIFS(Data!$L:$L,Data!$A:$A,$B63,Data!$C:$C,I$1))</f>
        <v>1</v>
      </c>
      <c r="J63" s="31">
        <f>IF(SUMIFS(Data!$L:$L,Data!$A:$A,$B63,Data!$C:$C,J$1)=0,"",SUMIFS(Data!$L:$L,Data!$A:$A,$B63,Data!$C:$C,J$1))</f>
        <v>2</v>
      </c>
      <c r="K63" s="31">
        <f>IF(SUMIFS(Data!$L:$L,Data!$A:$A,$B63,Data!$C:$C,K$1)=0,"",SUMIFS(Data!$L:$L,Data!$A:$A,$B63,Data!$C:$C,K$1))</f>
        <v>2.5</v>
      </c>
      <c r="L63" s="31">
        <f>IF(SUMIFS(Data!$L:$L,Data!$A:$A,$B63,Data!$C:$C,L$1)=0,"",SUMIFS(Data!$L:$L,Data!$A:$A,$B63,Data!$C:$C,L$1))</f>
        <v>2.5</v>
      </c>
      <c r="M63" s="31">
        <f>IF(SUMIFS(Data!$L:$L,Data!$A:$A,$B63,Data!$C:$C,M$1)=0,"",SUMIFS(Data!$L:$L,Data!$A:$A,$B63,Data!$C:$C,M$1))</f>
        <v>3</v>
      </c>
      <c r="N63" s="31">
        <f>IF(SUMIFS(Data!$L:$L,Data!$A:$A,$B63,Data!$C:$C,N$1)=0,"",SUMIFS(Data!$L:$L,Data!$A:$A,$B63,Data!$C:$C,N$1))</f>
        <v>1.25</v>
      </c>
      <c r="O63" s="31">
        <f>IF(SUMIFS(Data!$L:$L,Data!$A:$A,$B63,Data!$C:$C,O$1)=0,"",SUMIFS(Data!$L:$L,Data!$A:$A,$B63,Data!$C:$C,O$1))</f>
        <v>2.5</v>
      </c>
      <c r="P63" s="31">
        <f>IF(SUMIFS(Data!$L:$L,Data!$A:$A,$B63,Data!$C:$C,P$1)=0,"",SUMIFS(Data!$L:$L,Data!$A:$A,$B63,Data!$C:$C,P$1))</f>
        <v>0.25</v>
      </c>
      <c r="Q63" s="31">
        <f>IF(SUMIFS(Data!$L:$L,Data!$A:$A,$B63,Data!$C:$C,Q$1)=0,"",SUMIFS(Data!$L:$L,Data!$A:$A,$B63,Data!$C:$C,Q$1))</f>
        <v>1.5</v>
      </c>
      <c r="R63" s="31">
        <f>SUM(C63:Q63)</f>
        <v>25.75</v>
      </c>
    </row>
    <row r="64" spans="1:18" x14ac:dyDescent="0.35">
      <c r="A64" s="79">
        <v>63</v>
      </c>
      <c r="B64" s="30" t="s">
        <v>100</v>
      </c>
      <c r="C64" s="31">
        <f>IF(SUMIFS(Data!$L:$L,Data!$A:$A,$B64,Data!$C:$C,C$1)=0,"",SUMIFS(Data!$L:$L,Data!$A:$A,$B64,Data!$C:$C,C$1))</f>
        <v>2</v>
      </c>
      <c r="D64" s="31" t="str">
        <f>IF(SUMIFS(Data!$L:$L,Data!$A:$A,$B64,Data!$C:$C,D$1)=0,"",SUMIFS(Data!$L:$L,Data!$A:$A,$B64,Data!$C:$C,D$1))</f>
        <v/>
      </c>
      <c r="E64" s="31">
        <f>IF(SUMIFS(Data!$L:$L,Data!$A:$A,$B64,Data!$C:$C,E$1)=0,"",SUMIFS(Data!$L:$L,Data!$A:$A,$B64,Data!$C:$C,E$1))</f>
        <v>0.5</v>
      </c>
      <c r="F64" s="31" t="str">
        <f>IF(SUMIFS(Data!$L:$L,Data!$A:$A,$B64,Data!$C:$C,F$1)=0,"",SUMIFS(Data!$L:$L,Data!$A:$A,$B64,Data!$C:$C,F$1))</f>
        <v/>
      </c>
      <c r="G64" s="31">
        <f>IF(SUMIFS(Data!$L:$L,Data!$A:$A,$B64,Data!$C:$C,G$1)=0,"",SUMIFS(Data!$L:$L,Data!$A:$A,$B64,Data!$C:$C,G$1))</f>
        <v>2.25</v>
      </c>
      <c r="H64" s="31">
        <f>IF(SUMIFS(Data!$L:$L,Data!$A:$A,$B64,Data!$C:$C,H$1)=0,"",SUMIFS(Data!$L:$L,Data!$A:$A,$B64,Data!$C:$C,H$1))</f>
        <v>1.5</v>
      </c>
      <c r="I64" s="31">
        <f>IF(SUMIFS(Data!$L:$L,Data!$A:$A,$B64,Data!$C:$C,I$1)=0,"",SUMIFS(Data!$L:$L,Data!$A:$A,$B64,Data!$C:$C,I$1))</f>
        <v>3.25</v>
      </c>
      <c r="J64" s="31">
        <f>IF(SUMIFS(Data!$L:$L,Data!$A:$A,$B64,Data!$C:$C,J$1)=0,"",SUMIFS(Data!$L:$L,Data!$A:$A,$B64,Data!$C:$C,J$1))</f>
        <v>2.5</v>
      </c>
      <c r="K64" s="31">
        <f>IF(SUMIFS(Data!$L:$L,Data!$A:$A,$B64,Data!$C:$C,K$1)=0,"",SUMIFS(Data!$L:$L,Data!$A:$A,$B64,Data!$C:$C,K$1))</f>
        <v>3</v>
      </c>
      <c r="L64" s="31">
        <f>IF(SUMIFS(Data!$L:$L,Data!$A:$A,$B64,Data!$C:$C,L$1)=0,"",SUMIFS(Data!$L:$L,Data!$A:$A,$B64,Data!$C:$C,L$1))</f>
        <v>3</v>
      </c>
      <c r="M64" s="31">
        <f>IF(SUMIFS(Data!$L:$L,Data!$A:$A,$B64,Data!$C:$C,M$1)=0,"",SUMIFS(Data!$L:$L,Data!$A:$A,$B64,Data!$C:$C,M$1))</f>
        <v>2.5</v>
      </c>
      <c r="N64" s="31">
        <f>IF(SUMIFS(Data!$L:$L,Data!$A:$A,$B64,Data!$C:$C,N$1)=0,"",SUMIFS(Data!$L:$L,Data!$A:$A,$B64,Data!$C:$C,N$1))</f>
        <v>2.25</v>
      </c>
      <c r="O64" s="31" t="str">
        <f>IF(SUMIFS(Data!$L:$L,Data!$A:$A,$B64,Data!$C:$C,O$1)=0,"",SUMIFS(Data!$L:$L,Data!$A:$A,$B64,Data!$C:$C,O$1))</f>
        <v/>
      </c>
      <c r="P64" s="31">
        <f>IF(SUMIFS(Data!$L:$L,Data!$A:$A,$B64,Data!$C:$C,P$1)=0,"",SUMIFS(Data!$L:$L,Data!$A:$A,$B64,Data!$C:$C,P$1))</f>
        <v>0.5</v>
      </c>
      <c r="Q64" s="31">
        <f>IF(SUMIFS(Data!$L:$L,Data!$A:$A,$B64,Data!$C:$C,Q$1)=0,"",SUMIFS(Data!$L:$L,Data!$A:$A,$B64,Data!$C:$C,Q$1))</f>
        <v>1.5</v>
      </c>
      <c r="R64" s="31">
        <f>SUM(C64:Q64)</f>
        <v>24.75</v>
      </c>
    </row>
    <row r="65" spans="1:18" x14ac:dyDescent="0.35">
      <c r="A65" s="79">
        <v>64</v>
      </c>
      <c r="B65" s="30" t="s">
        <v>303</v>
      </c>
      <c r="C65" s="31">
        <f>IF(SUMIFS(Data!$L:$L,Data!$A:$A,$B65,Data!$C:$C,C$1)=0,"",SUMIFS(Data!$L:$L,Data!$A:$A,$B65,Data!$C:$C,C$1))</f>
        <v>1</v>
      </c>
      <c r="D65" s="31">
        <f>IF(SUMIFS(Data!$L:$L,Data!$A:$A,$B65,Data!$C:$C,D$1)=0,"",SUMIFS(Data!$L:$L,Data!$A:$A,$B65,Data!$C:$C,D$1))</f>
        <v>1</v>
      </c>
      <c r="E65" s="31">
        <f>IF(SUMIFS(Data!$L:$L,Data!$A:$A,$B65,Data!$C:$C,E$1)=0,"",SUMIFS(Data!$L:$L,Data!$A:$A,$B65,Data!$C:$C,E$1))</f>
        <v>2</v>
      </c>
      <c r="F65" s="31">
        <f>IF(SUMIFS(Data!$L:$L,Data!$A:$A,$B65,Data!$C:$C,F$1)=0,"",SUMIFS(Data!$L:$L,Data!$A:$A,$B65,Data!$C:$C,F$1))</f>
        <v>1.25</v>
      </c>
      <c r="G65" s="31">
        <f>IF(SUMIFS(Data!$L:$L,Data!$A:$A,$B65,Data!$C:$C,G$1)=0,"",SUMIFS(Data!$L:$L,Data!$A:$A,$B65,Data!$C:$C,G$1))</f>
        <v>2.25</v>
      </c>
      <c r="H65" s="31">
        <f>IF(SUMIFS(Data!$L:$L,Data!$A:$A,$B65,Data!$C:$C,H$1)=0,"",SUMIFS(Data!$L:$L,Data!$A:$A,$B65,Data!$C:$C,H$1))</f>
        <v>1.5</v>
      </c>
      <c r="I65" s="31">
        <f>IF(SUMIFS(Data!$L:$L,Data!$A:$A,$B65,Data!$C:$C,I$1)=0,"",SUMIFS(Data!$L:$L,Data!$A:$A,$B65,Data!$C:$C,I$1))</f>
        <v>1.75</v>
      </c>
      <c r="J65" s="31">
        <f>IF(SUMIFS(Data!$L:$L,Data!$A:$A,$B65,Data!$C:$C,J$1)=0,"",SUMIFS(Data!$L:$L,Data!$A:$A,$B65,Data!$C:$C,J$1))</f>
        <v>2</v>
      </c>
      <c r="K65" s="31">
        <f>IF(SUMIFS(Data!$L:$L,Data!$A:$A,$B65,Data!$C:$C,K$1)=0,"",SUMIFS(Data!$L:$L,Data!$A:$A,$B65,Data!$C:$C,K$1))</f>
        <v>2.25</v>
      </c>
      <c r="L65" s="31">
        <f>IF(SUMIFS(Data!$L:$L,Data!$A:$A,$B65,Data!$C:$C,L$1)=0,"",SUMIFS(Data!$L:$L,Data!$A:$A,$B65,Data!$C:$C,L$1))</f>
        <v>2</v>
      </c>
      <c r="M65" s="31">
        <f>IF(SUMIFS(Data!$L:$L,Data!$A:$A,$B65,Data!$C:$C,M$1)=0,"",SUMIFS(Data!$L:$L,Data!$A:$A,$B65,Data!$C:$C,M$1))</f>
        <v>1.75</v>
      </c>
      <c r="N65" s="31">
        <f>IF(SUMIFS(Data!$L:$L,Data!$A:$A,$B65,Data!$C:$C,N$1)=0,"",SUMIFS(Data!$L:$L,Data!$A:$A,$B65,Data!$C:$C,N$1))</f>
        <v>1.5</v>
      </c>
      <c r="O65" s="31">
        <f>IF(SUMIFS(Data!$L:$L,Data!$A:$A,$B65,Data!$C:$C,O$1)=0,"",SUMIFS(Data!$L:$L,Data!$A:$A,$B65,Data!$C:$C,O$1))</f>
        <v>2.5</v>
      </c>
      <c r="P65" s="31">
        <f>IF(SUMIFS(Data!$L:$L,Data!$A:$A,$B65,Data!$C:$C,P$1)=0,"",SUMIFS(Data!$L:$L,Data!$A:$A,$B65,Data!$C:$C,P$1))</f>
        <v>0.25</v>
      </c>
      <c r="Q65" s="31">
        <f>IF(SUMIFS(Data!$L:$L,Data!$A:$A,$B65,Data!$C:$C,Q$1)=0,"",SUMIFS(Data!$L:$L,Data!$A:$A,$B65,Data!$C:$C,Q$1))</f>
        <v>1.5</v>
      </c>
      <c r="R65" s="31">
        <f>SUM(C65:Q65)</f>
        <v>24.5</v>
      </c>
    </row>
    <row r="66" spans="1:18" x14ac:dyDescent="0.35">
      <c r="A66" s="79">
        <v>65</v>
      </c>
      <c r="B66" s="30" t="s">
        <v>383</v>
      </c>
      <c r="C66" s="31" t="str">
        <f>IF(SUMIFS(Data!$L:$L,Data!$A:$A,$B66,Data!$C:$C,C$1)=0,"",SUMIFS(Data!$L:$L,Data!$A:$A,$B66,Data!$C:$C,C$1))</f>
        <v/>
      </c>
      <c r="D66" s="31">
        <f>IF(SUMIFS(Data!$L:$L,Data!$A:$A,$B66,Data!$C:$C,D$1)=0,"",SUMIFS(Data!$L:$L,Data!$A:$A,$B66,Data!$C:$C,D$1))</f>
        <v>3.5</v>
      </c>
      <c r="E66" s="31">
        <f>IF(SUMIFS(Data!$L:$L,Data!$A:$A,$B66,Data!$C:$C,E$1)=0,"",SUMIFS(Data!$L:$L,Data!$A:$A,$B66,Data!$C:$C,E$1))</f>
        <v>2.75</v>
      </c>
      <c r="F66" s="31">
        <f>IF(SUMIFS(Data!$L:$L,Data!$A:$A,$B66,Data!$C:$C,F$1)=0,"",SUMIFS(Data!$L:$L,Data!$A:$A,$B66,Data!$C:$C,F$1))</f>
        <v>1.25</v>
      </c>
      <c r="G66" s="31">
        <f>IF(SUMIFS(Data!$L:$L,Data!$A:$A,$B66,Data!$C:$C,G$1)=0,"",SUMIFS(Data!$L:$L,Data!$A:$A,$B66,Data!$C:$C,G$1))</f>
        <v>1.5</v>
      </c>
      <c r="H66" s="31">
        <f>IF(SUMIFS(Data!$L:$L,Data!$A:$A,$B66,Data!$C:$C,H$1)=0,"",SUMIFS(Data!$L:$L,Data!$A:$A,$B66,Data!$C:$C,H$1))</f>
        <v>2</v>
      </c>
      <c r="I66" s="31">
        <f>IF(SUMIFS(Data!$L:$L,Data!$A:$A,$B66,Data!$C:$C,I$1)=0,"",SUMIFS(Data!$L:$L,Data!$A:$A,$B66,Data!$C:$C,I$1))</f>
        <v>1.75</v>
      </c>
      <c r="J66" s="31">
        <f>IF(SUMIFS(Data!$L:$L,Data!$A:$A,$B66,Data!$C:$C,J$1)=0,"",SUMIFS(Data!$L:$L,Data!$A:$A,$B66,Data!$C:$C,J$1))</f>
        <v>1.75</v>
      </c>
      <c r="K66" s="31">
        <f>IF(SUMIFS(Data!$L:$L,Data!$A:$A,$B66,Data!$C:$C,K$1)=0,"",SUMIFS(Data!$L:$L,Data!$A:$A,$B66,Data!$C:$C,K$1))</f>
        <v>2</v>
      </c>
      <c r="L66" s="31">
        <f>IF(SUMIFS(Data!$L:$L,Data!$A:$A,$B66,Data!$C:$C,L$1)=0,"",SUMIFS(Data!$L:$L,Data!$A:$A,$B66,Data!$C:$C,L$1))</f>
        <v>2.25</v>
      </c>
      <c r="M66" s="31">
        <f>IF(SUMIFS(Data!$L:$L,Data!$A:$A,$B66,Data!$C:$C,M$1)=0,"",SUMIFS(Data!$L:$L,Data!$A:$A,$B66,Data!$C:$C,M$1))</f>
        <v>3</v>
      </c>
      <c r="N66" s="31" t="str">
        <f>IF(SUMIFS(Data!$L:$L,Data!$A:$A,$B66,Data!$C:$C,N$1)=0,"",SUMIFS(Data!$L:$L,Data!$A:$A,$B66,Data!$C:$C,N$1))</f>
        <v/>
      </c>
      <c r="O66" s="31" t="str">
        <f>IF(SUMIFS(Data!$L:$L,Data!$A:$A,$B66,Data!$C:$C,O$1)=0,"",SUMIFS(Data!$L:$L,Data!$A:$A,$B66,Data!$C:$C,O$1))</f>
        <v/>
      </c>
      <c r="P66" s="31">
        <f>IF(SUMIFS(Data!$L:$L,Data!$A:$A,$B66,Data!$C:$C,P$1)=0,"",SUMIFS(Data!$L:$L,Data!$A:$A,$B66,Data!$C:$C,P$1))</f>
        <v>0.25</v>
      </c>
      <c r="Q66" s="31">
        <f>IF(SUMIFS(Data!$L:$L,Data!$A:$A,$B66,Data!$C:$C,Q$1)=0,"",SUMIFS(Data!$L:$L,Data!$A:$A,$B66,Data!$C:$C,Q$1))</f>
        <v>1.25</v>
      </c>
      <c r="R66" s="31">
        <f>SUM(C66:Q66)</f>
        <v>23.25</v>
      </c>
    </row>
    <row r="67" spans="1:18" x14ac:dyDescent="0.35">
      <c r="A67" s="79">
        <v>66</v>
      </c>
      <c r="B67" s="30" t="s">
        <v>300</v>
      </c>
      <c r="C67" s="31">
        <f>IF(SUMIFS(Data!$L:$L,Data!$A:$A,$B67,Data!$C:$C,C$1)=0,"",SUMIFS(Data!$L:$L,Data!$A:$A,$B67,Data!$C:$C,C$1))</f>
        <v>1.25</v>
      </c>
      <c r="D67" s="31" t="str">
        <f>IF(SUMIFS(Data!$L:$L,Data!$A:$A,$B67,Data!$C:$C,D$1)=0,"",SUMIFS(Data!$L:$L,Data!$A:$A,$B67,Data!$C:$C,D$1))</f>
        <v/>
      </c>
      <c r="E67" s="31">
        <f>IF(SUMIFS(Data!$L:$L,Data!$A:$A,$B67,Data!$C:$C,E$1)=0,"",SUMIFS(Data!$L:$L,Data!$A:$A,$B67,Data!$C:$C,E$1))</f>
        <v>2</v>
      </c>
      <c r="F67" s="31">
        <f>IF(SUMIFS(Data!$L:$L,Data!$A:$A,$B67,Data!$C:$C,F$1)=0,"",SUMIFS(Data!$L:$L,Data!$A:$A,$B67,Data!$C:$C,F$1))</f>
        <v>1.75</v>
      </c>
      <c r="G67" s="31" t="str">
        <f>IF(SUMIFS(Data!$L:$L,Data!$A:$A,$B67,Data!$C:$C,G$1)=0,"",SUMIFS(Data!$L:$L,Data!$A:$A,$B67,Data!$C:$C,G$1))</f>
        <v/>
      </c>
      <c r="H67" s="31" t="str">
        <f>IF(SUMIFS(Data!$L:$L,Data!$A:$A,$B67,Data!$C:$C,H$1)=0,"",SUMIFS(Data!$L:$L,Data!$A:$A,$B67,Data!$C:$C,H$1))</f>
        <v/>
      </c>
      <c r="I67" s="31" t="str">
        <f>IF(SUMIFS(Data!$L:$L,Data!$A:$A,$B67,Data!$C:$C,I$1)=0,"",SUMIFS(Data!$L:$L,Data!$A:$A,$B67,Data!$C:$C,I$1))</f>
        <v/>
      </c>
      <c r="J67" s="31">
        <f>IF(SUMIFS(Data!$L:$L,Data!$A:$A,$B67,Data!$C:$C,J$1)=0,"",SUMIFS(Data!$L:$L,Data!$A:$A,$B67,Data!$C:$C,J$1))</f>
        <v>1.5</v>
      </c>
      <c r="K67" s="31">
        <f>IF(SUMIFS(Data!$L:$L,Data!$A:$A,$B67,Data!$C:$C,K$1)=0,"",SUMIFS(Data!$L:$L,Data!$A:$A,$B67,Data!$C:$C,K$1))</f>
        <v>2.5</v>
      </c>
      <c r="L67" s="31">
        <f>IF(SUMIFS(Data!$L:$L,Data!$A:$A,$B67,Data!$C:$C,L$1)=0,"",SUMIFS(Data!$L:$L,Data!$A:$A,$B67,Data!$C:$C,L$1))</f>
        <v>2.75</v>
      </c>
      <c r="M67" s="31">
        <f>IF(SUMIFS(Data!$L:$L,Data!$A:$A,$B67,Data!$C:$C,M$1)=0,"",SUMIFS(Data!$L:$L,Data!$A:$A,$B67,Data!$C:$C,M$1))</f>
        <v>3</v>
      </c>
      <c r="N67" s="31">
        <f>IF(SUMIFS(Data!$L:$L,Data!$A:$A,$B67,Data!$C:$C,N$1)=0,"",SUMIFS(Data!$L:$L,Data!$A:$A,$B67,Data!$C:$C,N$1))</f>
        <v>0.75</v>
      </c>
      <c r="O67" s="31">
        <f>IF(SUMIFS(Data!$L:$L,Data!$A:$A,$B67,Data!$C:$C,O$1)=0,"",SUMIFS(Data!$L:$L,Data!$A:$A,$B67,Data!$C:$C,O$1))</f>
        <v>3</v>
      </c>
      <c r="P67" s="31">
        <f>IF(SUMIFS(Data!$L:$L,Data!$A:$A,$B67,Data!$C:$C,P$1)=0,"",SUMIFS(Data!$L:$L,Data!$A:$A,$B67,Data!$C:$C,P$1))</f>
        <v>2.5</v>
      </c>
      <c r="Q67" s="31">
        <f>IF(SUMIFS(Data!$L:$L,Data!$A:$A,$B67,Data!$C:$C,Q$1)=0,"",SUMIFS(Data!$L:$L,Data!$A:$A,$B67,Data!$C:$C,Q$1))</f>
        <v>2</v>
      </c>
      <c r="R67" s="31">
        <f>SUM(C67:Q67)</f>
        <v>23</v>
      </c>
    </row>
    <row r="68" spans="1:18" x14ac:dyDescent="0.35">
      <c r="A68" s="79">
        <v>67</v>
      </c>
      <c r="B68" s="30" t="s">
        <v>335</v>
      </c>
      <c r="C68" s="31">
        <f>IF(SUMIFS(Data!$L:$L,Data!$A:$A,$B68,Data!$C:$C,C$1)=0,"",SUMIFS(Data!$L:$L,Data!$A:$A,$B68,Data!$C:$C,C$1))</f>
        <v>0.5</v>
      </c>
      <c r="D68" s="31">
        <f>IF(SUMIFS(Data!$L:$L,Data!$A:$A,$B68,Data!$C:$C,D$1)=0,"",SUMIFS(Data!$L:$L,Data!$A:$A,$B68,Data!$C:$C,D$1))</f>
        <v>0.5</v>
      </c>
      <c r="E68" s="31">
        <f>IF(SUMIFS(Data!$L:$L,Data!$A:$A,$B68,Data!$C:$C,E$1)=0,"",SUMIFS(Data!$L:$L,Data!$A:$A,$B68,Data!$C:$C,E$1))</f>
        <v>0.5</v>
      </c>
      <c r="F68" s="31">
        <f>IF(SUMIFS(Data!$L:$L,Data!$A:$A,$B68,Data!$C:$C,F$1)=0,"",SUMIFS(Data!$L:$L,Data!$A:$A,$B68,Data!$C:$C,F$1))</f>
        <v>0.5</v>
      </c>
      <c r="G68" s="31">
        <f>IF(SUMIFS(Data!$L:$L,Data!$A:$A,$B68,Data!$C:$C,G$1)=0,"",SUMIFS(Data!$L:$L,Data!$A:$A,$B68,Data!$C:$C,G$1))</f>
        <v>0.5</v>
      </c>
      <c r="H68" s="31">
        <f>IF(SUMIFS(Data!$L:$L,Data!$A:$A,$B68,Data!$C:$C,H$1)=0,"",SUMIFS(Data!$L:$L,Data!$A:$A,$B68,Data!$C:$C,H$1))</f>
        <v>2.5</v>
      </c>
      <c r="I68" s="31">
        <f>IF(SUMIFS(Data!$L:$L,Data!$A:$A,$B68,Data!$C:$C,I$1)=0,"",SUMIFS(Data!$L:$L,Data!$A:$A,$B68,Data!$C:$C,I$1))</f>
        <v>1.5</v>
      </c>
      <c r="J68" s="31">
        <f>IF(SUMIFS(Data!$L:$L,Data!$A:$A,$B68,Data!$C:$C,J$1)=0,"",SUMIFS(Data!$L:$L,Data!$A:$A,$B68,Data!$C:$C,J$1))</f>
        <v>3</v>
      </c>
      <c r="K68" s="31">
        <f>IF(SUMIFS(Data!$L:$L,Data!$A:$A,$B68,Data!$C:$C,K$1)=0,"",SUMIFS(Data!$L:$L,Data!$A:$A,$B68,Data!$C:$C,K$1))</f>
        <v>2.75</v>
      </c>
      <c r="L68" s="31">
        <f>IF(SUMIFS(Data!$L:$L,Data!$A:$A,$B68,Data!$C:$C,L$1)=0,"",SUMIFS(Data!$L:$L,Data!$A:$A,$B68,Data!$C:$C,L$1))</f>
        <v>1.5</v>
      </c>
      <c r="M68" s="31">
        <f>IF(SUMIFS(Data!$L:$L,Data!$A:$A,$B68,Data!$C:$C,M$1)=0,"",SUMIFS(Data!$L:$L,Data!$A:$A,$B68,Data!$C:$C,M$1))</f>
        <v>1</v>
      </c>
      <c r="N68" s="31">
        <f>IF(SUMIFS(Data!$L:$L,Data!$A:$A,$B68,Data!$C:$C,N$1)=0,"",SUMIFS(Data!$L:$L,Data!$A:$A,$B68,Data!$C:$C,N$1))</f>
        <v>3</v>
      </c>
      <c r="O68" s="31">
        <f>IF(SUMIFS(Data!$L:$L,Data!$A:$A,$B68,Data!$C:$C,O$1)=0,"",SUMIFS(Data!$L:$L,Data!$A:$A,$B68,Data!$C:$C,O$1))</f>
        <v>2</v>
      </c>
      <c r="P68" s="31" t="str">
        <f>IF(SUMIFS(Data!$L:$L,Data!$A:$A,$B68,Data!$C:$C,P$1)=0,"",SUMIFS(Data!$L:$L,Data!$A:$A,$B68,Data!$C:$C,P$1))</f>
        <v/>
      </c>
      <c r="Q68" s="31">
        <f>IF(SUMIFS(Data!$L:$L,Data!$A:$A,$B68,Data!$C:$C,Q$1)=0,"",SUMIFS(Data!$L:$L,Data!$A:$A,$B68,Data!$C:$C,Q$1))</f>
        <v>3</v>
      </c>
      <c r="R68" s="31">
        <f>SUM(C68:Q68)</f>
        <v>22.75</v>
      </c>
    </row>
    <row r="69" spans="1:18" x14ac:dyDescent="0.35">
      <c r="A69" s="79">
        <v>68</v>
      </c>
      <c r="B69" s="30" t="s">
        <v>343</v>
      </c>
      <c r="C69" s="31">
        <f>IF(SUMIFS(Data!$L:$L,Data!$A:$A,$B69,Data!$C:$C,C$1)=0,"",SUMIFS(Data!$L:$L,Data!$A:$A,$B69,Data!$C:$C,C$1))</f>
        <v>0.75</v>
      </c>
      <c r="D69" s="31">
        <f>IF(SUMIFS(Data!$L:$L,Data!$A:$A,$B69,Data!$C:$C,D$1)=0,"",SUMIFS(Data!$L:$L,Data!$A:$A,$B69,Data!$C:$C,D$1))</f>
        <v>2.5</v>
      </c>
      <c r="E69" s="31">
        <f>IF(SUMIFS(Data!$L:$L,Data!$A:$A,$B69,Data!$C:$C,E$1)=0,"",SUMIFS(Data!$L:$L,Data!$A:$A,$B69,Data!$C:$C,E$1))</f>
        <v>3</v>
      </c>
      <c r="F69" s="31">
        <f>IF(SUMIFS(Data!$L:$L,Data!$A:$A,$B69,Data!$C:$C,F$1)=0,"",SUMIFS(Data!$L:$L,Data!$A:$A,$B69,Data!$C:$C,F$1))</f>
        <v>2.75</v>
      </c>
      <c r="G69" s="31">
        <f>IF(SUMIFS(Data!$L:$L,Data!$A:$A,$B69,Data!$C:$C,G$1)=0,"",SUMIFS(Data!$L:$L,Data!$A:$A,$B69,Data!$C:$C,G$1))</f>
        <v>3.25</v>
      </c>
      <c r="H69" s="31">
        <f>IF(SUMIFS(Data!$L:$L,Data!$A:$A,$B69,Data!$C:$C,H$1)=0,"",SUMIFS(Data!$L:$L,Data!$A:$A,$B69,Data!$C:$C,H$1))</f>
        <v>2.5</v>
      </c>
      <c r="I69" s="31">
        <f>IF(SUMIFS(Data!$L:$L,Data!$A:$A,$B69,Data!$C:$C,I$1)=0,"",SUMIFS(Data!$L:$L,Data!$A:$A,$B69,Data!$C:$C,I$1))</f>
        <v>2.75</v>
      </c>
      <c r="J69" s="31">
        <f>IF(SUMIFS(Data!$L:$L,Data!$A:$A,$B69,Data!$C:$C,J$1)=0,"",SUMIFS(Data!$L:$L,Data!$A:$A,$B69,Data!$C:$C,J$1))</f>
        <v>2.5</v>
      </c>
      <c r="K69" s="31">
        <f>IF(SUMIFS(Data!$L:$L,Data!$A:$A,$B69,Data!$C:$C,K$1)=0,"",SUMIFS(Data!$L:$L,Data!$A:$A,$B69,Data!$C:$C,K$1))</f>
        <v>2.5</v>
      </c>
      <c r="L69" s="31" t="str">
        <f>IF(SUMIFS(Data!$L:$L,Data!$A:$A,$B69,Data!$C:$C,L$1)=0,"",SUMIFS(Data!$L:$L,Data!$A:$A,$B69,Data!$C:$C,L$1))</f>
        <v/>
      </c>
      <c r="M69" s="31" t="str">
        <f>IF(SUMIFS(Data!$L:$L,Data!$A:$A,$B69,Data!$C:$C,M$1)=0,"",SUMIFS(Data!$L:$L,Data!$A:$A,$B69,Data!$C:$C,M$1))</f>
        <v/>
      </c>
      <c r="N69" s="31" t="str">
        <f>IF(SUMIFS(Data!$L:$L,Data!$A:$A,$B69,Data!$C:$C,N$1)=0,"",SUMIFS(Data!$L:$L,Data!$A:$A,$B69,Data!$C:$C,N$1))</f>
        <v/>
      </c>
      <c r="O69" s="31" t="str">
        <f>IF(SUMIFS(Data!$L:$L,Data!$A:$A,$B69,Data!$C:$C,O$1)=0,"",SUMIFS(Data!$L:$L,Data!$A:$A,$B69,Data!$C:$C,O$1))</f>
        <v/>
      </c>
      <c r="P69" s="31" t="str">
        <f>IF(SUMIFS(Data!$L:$L,Data!$A:$A,$B69,Data!$C:$C,P$1)=0,"",SUMIFS(Data!$L:$L,Data!$A:$A,$B69,Data!$C:$C,P$1))</f>
        <v/>
      </c>
      <c r="Q69" s="31" t="str">
        <f>IF(SUMIFS(Data!$L:$L,Data!$A:$A,$B69,Data!$C:$C,Q$1)=0,"",SUMIFS(Data!$L:$L,Data!$A:$A,$B69,Data!$C:$C,Q$1))</f>
        <v/>
      </c>
      <c r="R69" s="31">
        <f>SUM(C69:Q69)</f>
        <v>22.5</v>
      </c>
    </row>
    <row r="70" spans="1:18" x14ac:dyDescent="0.35">
      <c r="A70" s="79">
        <v>69</v>
      </c>
      <c r="B70" s="30" t="s">
        <v>275</v>
      </c>
      <c r="C70" s="31">
        <f>IF(SUMIFS(Data!$L:$L,Data!$A:$A,$B70,Data!$C:$C,C$1)=0,"",SUMIFS(Data!$L:$L,Data!$A:$A,$B70,Data!$C:$C,C$1))</f>
        <v>1.5</v>
      </c>
      <c r="D70" s="31">
        <f>IF(SUMIFS(Data!$L:$L,Data!$A:$A,$B70,Data!$C:$C,D$1)=0,"",SUMIFS(Data!$L:$L,Data!$A:$A,$B70,Data!$C:$C,D$1))</f>
        <v>1</v>
      </c>
      <c r="E70" s="31">
        <f>IF(SUMIFS(Data!$L:$L,Data!$A:$A,$B70,Data!$C:$C,E$1)=0,"",SUMIFS(Data!$L:$L,Data!$A:$A,$B70,Data!$C:$C,E$1))</f>
        <v>1.5</v>
      </c>
      <c r="F70" s="31">
        <f>IF(SUMIFS(Data!$L:$L,Data!$A:$A,$B70,Data!$C:$C,F$1)=0,"",SUMIFS(Data!$L:$L,Data!$A:$A,$B70,Data!$C:$C,F$1))</f>
        <v>2</v>
      </c>
      <c r="G70" s="31">
        <f>IF(SUMIFS(Data!$L:$L,Data!$A:$A,$B70,Data!$C:$C,G$1)=0,"",SUMIFS(Data!$L:$L,Data!$A:$A,$B70,Data!$C:$C,G$1))</f>
        <v>2.25</v>
      </c>
      <c r="H70" s="31">
        <f>IF(SUMIFS(Data!$L:$L,Data!$A:$A,$B70,Data!$C:$C,H$1)=0,"",SUMIFS(Data!$L:$L,Data!$A:$A,$B70,Data!$C:$C,H$1))</f>
        <v>2</v>
      </c>
      <c r="I70" s="31">
        <f>IF(SUMIFS(Data!$L:$L,Data!$A:$A,$B70,Data!$C:$C,I$1)=0,"",SUMIFS(Data!$L:$L,Data!$A:$A,$B70,Data!$C:$C,I$1))</f>
        <v>1</v>
      </c>
      <c r="J70" s="31">
        <f>IF(SUMIFS(Data!$L:$L,Data!$A:$A,$B70,Data!$C:$C,J$1)=0,"",SUMIFS(Data!$L:$L,Data!$A:$A,$B70,Data!$C:$C,J$1))</f>
        <v>2.5</v>
      </c>
      <c r="K70" s="31" t="str">
        <f>IF(SUMIFS(Data!$L:$L,Data!$A:$A,$B70,Data!$C:$C,K$1)=0,"",SUMIFS(Data!$L:$L,Data!$A:$A,$B70,Data!$C:$C,K$1))</f>
        <v/>
      </c>
      <c r="L70" s="31">
        <f>IF(SUMIFS(Data!$L:$L,Data!$A:$A,$B70,Data!$C:$C,L$1)=0,"",SUMIFS(Data!$L:$L,Data!$A:$A,$B70,Data!$C:$C,L$1))</f>
        <v>1</v>
      </c>
      <c r="M70" s="31">
        <f>IF(SUMIFS(Data!$L:$L,Data!$A:$A,$B70,Data!$C:$C,M$1)=0,"",SUMIFS(Data!$L:$L,Data!$A:$A,$B70,Data!$C:$C,M$1))</f>
        <v>2.5</v>
      </c>
      <c r="N70" s="31">
        <f>IF(SUMIFS(Data!$L:$L,Data!$A:$A,$B70,Data!$C:$C,N$1)=0,"",SUMIFS(Data!$L:$L,Data!$A:$A,$B70,Data!$C:$C,N$1))</f>
        <v>1.5</v>
      </c>
      <c r="O70" s="31" t="str">
        <f>IF(SUMIFS(Data!$L:$L,Data!$A:$A,$B70,Data!$C:$C,O$1)=0,"",SUMIFS(Data!$L:$L,Data!$A:$A,$B70,Data!$C:$C,O$1))</f>
        <v/>
      </c>
      <c r="P70" s="31">
        <f>IF(SUMIFS(Data!$L:$L,Data!$A:$A,$B70,Data!$C:$C,P$1)=0,"",SUMIFS(Data!$L:$L,Data!$A:$A,$B70,Data!$C:$C,P$1))</f>
        <v>0.25</v>
      </c>
      <c r="Q70" s="31">
        <f>IF(SUMIFS(Data!$L:$L,Data!$A:$A,$B70,Data!$C:$C,Q$1)=0,"",SUMIFS(Data!$L:$L,Data!$A:$A,$B70,Data!$C:$C,Q$1))</f>
        <v>2.75</v>
      </c>
      <c r="R70" s="31">
        <f>SUM(C70:Q70)</f>
        <v>21.75</v>
      </c>
    </row>
    <row r="71" spans="1:18" x14ac:dyDescent="0.35">
      <c r="A71" s="79">
        <v>70</v>
      </c>
      <c r="B71" s="30" t="s">
        <v>351</v>
      </c>
      <c r="C71" s="31">
        <f>IF(SUMIFS(Data!$L:$L,Data!$A:$A,$B71,Data!$C:$C,C$1)=0,"",SUMIFS(Data!$L:$L,Data!$A:$A,$B71,Data!$C:$C,C$1))</f>
        <v>1.25</v>
      </c>
      <c r="D71" s="31" t="str">
        <f>IF(SUMIFS(Data!$L:$L,Data!$A:$A,$B71,Data!$C:$C,D$1)=0,"",SUMIFS(Data!$L:$L,Data!$A:$A,$B71,Data!$C:$C,D$1))</f>
        <v/>
      </c>
      <c r="E71" s="31">
        <f>IF(SUMIFS(Data!$L:$L,Data!$A:$A,$B71,Data!$C:$C,E$1)=0,"",SUMIFS(Data!$L:$L,Data!$A:$A,$B71,Data!$C:$C,E$1))</f>
        <v>1.25</v>
      </c>
      <c r="F71" s="31">
        <f>IF(SUMIFS(Data!$L:$L,Data!$A:$A,$B71,Data!$C:$C,F$1)=0,"",SUMIFS(Data!$L:$L,Data!$A:$A,$B71,Data!$C:$C,F$1))</f>
        <v>1</v>
      </c>
      <c r="G71" s="31">
        <f>IF(SUMIFS(Data!$L:$L,Data!$A:$A,$B71,Data!$C:$C,G$1)=0,"",SUMIFS(Data!$L:$L,Data!$A:$A,$B71,Data!$C:$C,G$1))</f>
        <v>1.5</v>
      </c>
      <c r="H71" s="31">
        <f>IF(SUMIFS(Data!$L:$L,Data!$A:$A,$B71,Data!$C:$C,H$1)=0,"",SUMIFS(Data!$L:$L,Data!$A:$A,$B71,Data!$C:$C,H$1))</f>
        <v>1.75</v>
      </c>
      <c r="I71" s="31">
        <f>IF(SUMIFS(Data!$L:$L,Data!$A:$A,$B71,Data!$C:$C,I$1)=0,"",SUMIFS(Data!$L:$L,Data!$A:$A,$B71,Data!$C:$C,I$1))</f>
        <v>1</v>
      </c>
      <c r="J71" s="31">
        <f>IF(SUMIFS(Data!$L:$L,Data!$A:$A,$B71,Data!$C:$C,J$1)=0,"",SUMIFS(Data!$L:$L,Data!$A:$A,$B71,Data!$C:$C,J$1))</f>
        <v>1.5</v>
      </c>
      <c r="K71" s="31">
        <f>IF(SUMIFS(Data!$L:$L,Data!$A:$A,$B71,Data!$C:$C,K$1)=0,"",SUMIFS(Data!$L:$L,Data!$A:$A,$B71,Data!$C:$C,K$1))</f>
        <v>2</v>
      </c>
      <c r="L71" s="31">
        <f>IF(SUMIFS(Data!$L:$L,Data!$A:$A,$B71,Data!$C:$C,L$1)=0,"",SUMIFS(Data!$L:$L,Data!$A:$A,$B71,Data!$C:$C,L$1))</f>
        <v>2</v>
      </c>
      <c r="M71" s="31">
        <f>IF(SUMIFS(Data!$L:$L,Data!$A:$A,$B71,Data!$C:$C,M$1)=0,"",SUMIFS(Data!$L:$L,Data!$A:$A,$B71,Data!$C:$C,M$1))</f>
        <v>2</v>
      </c>
      <c r="N71" s="31">
        <f>IF(SUMIFS(Data!$L:$L,Data!$A:$A,$B71,Data!$C:$C,N$1)=0,"",SUMIFS(Data!$L:$L,Data!$A:$A,$B71,Data!$C:$C,N$1))</f>
        <v>1.5</v>
      </c>
      <c r="O71" s="31">
        <f>IF(SUMIFS(Data!$L:$L,Data!$A:$A,$B71,Data!$C:$C,O$1)=0,"",SUMIFS(Data!$L:$L,Data!$A:$A,$B71,Data!$C:$C,O$1))</f>
        <v>2.75</v>
      </c>
      <c r="P71" s="31">
        <f>IF(SUMIFS(Data!$L:$L,Data!$A:$A,$B71,Data!$C:$C,P$1)=0,"",SUMIFS(Data!$L:$L,Data!$A:$A,$B71,Data!$C:$C,P$1))</f>
        <v>0.5</v>
      </c>
      <c r="Q71" s="31">
        <f>IF(SUMIFS(Data!$L:$L,Data!$A:$A,$B71,Data!$C:$C,Q$1)=0,"",SUMIFS(Data!$L:$L,Data!$A:$A,$B71,Data!$C:$C,Q$1))</f>
        <v>1.5</v>
      </c>
      <c r="R71" s="31">
        <f>SUM(C71:Q71)</f>
        <v>21.5</v>
      </c>
    </row>
    <row r="72" spans="1:18" x14ac:dyDescent="0.35">
      <c r="A72" s="79">
        <v>71</v>
      </c>
      <c r="B72" s="30" t="s">
        <v>359</v>
      </c>
      <c r="C72" s="31">
        <f>IF(SUMIFS(Data!$L:$L,Data!$A:$A,$B72,Data!$C:$C,C$1)=0,"",SUMIFS(Data!$L:$L,Data!$A:$A,$B72,Data!$C:$C,C$1))</f>
        <v>0.5</v>
      </c>
      <c r="D72" s="31">
        <f>IF(SUMIFS(Data!$L:$L,Data!$A:$A,$B72,Data!$C:$C,D$1)=0,"",SUMIFS(Data!$L:$L,Data!$A:$A,$B72,Data!$C:$C,D$1))</f>
        <v>0.25</v>
      </c>
      <c r="E72" s="31">
        <f>IF(SUMIFS(Data!$L:$L,Data!$A:$A,$B72,Data!$C:$C,E$1)=0,"",SUMIFS(Data!$L:$L,Data!$A:$A,$B72,Data!$C:$C,E$1))</f>
        <v>1.75</v>
      </c>
      <c r="F72" s="31">
        <f>IF(SUMIFS(Data!$L:$L,Data!$A:$A,$B72,Data!$C:$C,F$1)=0,"",SUMIFS(Data!$L:$L,Data!$A:$A,$B72,Data!$C:$C,F$1))</f>
        <v>0.75</v>
      </c>
      <c r="G72" s="31">
        <f>IF(SUMIFS(Data!$L:$L,Data!$A:$A,$B72,Data!$C:$C,G$1)=0,"",SUMIFS(Data!$L:$L,Data!$A:$A,$B72,Data!$C:$C,G$1))</f>
        <v>1.25</v>
      </c>
      <c r="H72" s="31">
        <f>IF(SUMIFS(Data!$L:$L,Data!$A:$A,$B72,Data!$C:$C,H$1)=0,"",SUMIFS(Data!$L:$L,Data!$A:$A,$B72,Data!$C:$C,H$1))</f>
        <v>1.25</v>
      </c>
      <c r="I72" s="31">
        <f>IF(SUMIFS(Data!$L:$L,Data!$A:$A,$B72,Data!$C:$C,I$1)=0,"",SUMIFS(Data!$L:$L,Data!$A:$A,$B72,Data!$C:$C,I$1))</f>
        <v>2</v>
      </c>
      <c r="J72" s="31">
        <f>IF(SUMIFS(Data!$L:$L,Data!$A:$A,$B72,Data!$C:$C,J$1)=0,"",SUMIFS(Data!$L:$L,Data!$A:$A,$B72,Data!$C:$C,J$1))</f>
        <v>1</v>
      </c>
      <c r="K72" s="31">
        <f>IF(SUMIFS(Data!$L:$L,Data!$A:$A,$B72,Data!$C:$C,K$1)=0,"",SUMIFS(Data!$L:$L,Data!$A:$A,$B72,Data!$C:$C,K$1))</f>
        <v>2.75</v>
      </c>
      <c r="L72" s="31">
        <f>IF(SUMIFS(Data!$L:$L,Data!$A:$A,$B72,Data!$C:$C,L$1)=0,"",SUMIFS(Data!$L:$L,Data!$A:$A,$B72,Data!$C:$C,L$1))</f>
        <v>3</v>
      </c>
      <c r="M72" s="31" t="str">
        <f>IF(SUMIFS(Data!$L:$L,Data!$A:$A,$B72,Data!$C:$C,M$1)=0,"",SUMIFS(Data!$L:$L,Data!$A:$A,$B72,Data!$C:$C,M$1))</f>
        <v/>
      </c>
      <c r="N72" s="31">
        <f>IF(SUMIFS(Data!$L:$L,Data!$A:$A,$B72,Data!$C:$C,N$1)=0,"",SUMIFS(Data!$L:$L,Data!$A:$A,$B72,Data!$C:$C,N$1))</f>
        <v>1.25</v>
      </c>
      <c r="O72" s="31">
        <f>IF(SUMIFS(Data!$L:$L,Data!$A:$A,$B72,Data!$C:$C,O$1)=0,"",SUMIFS(Data!$L:$L,Data!$A:$A,$B72,Data!$C:$C,O$1))</f>
        <v>2.75</v>
      </c>
      <c r="P72" s="31">
        <f>IF(SUMIFS(Data!$L:$L,Data!$A:$A,$B72,Data!$C:$C,P$1)=0,"",SUMIFS(Data!$L:$L,Data!$A:$A,$B72,Data!$C:$C,P$1))</f>
        <v>0.25</v>
      </c>
      <c r="Q72" s="31">
        <f>IF(SUMIFS(Data!$L:$L,Data!$A:$A,$B72,Data!$C:$C,Q$1)=0,"",SUMIFS(Data!$L:$L,Data!$A:$A,$B72,Data!$C:$C,Q$1))</f>
        <v>2</v>
      </c>
      <c r="R72" s="31">
        <f>SUM(C72:Q72)</f>
        <v>20.75</v>
      </c>
    </row>
    <row r="73" spans="1:18" x14ac:dyDescent="0.35">
      <c r="A73" s="79">
        <v>72</v>
      </c>
      <c r="B73" s="30" t="s">
        <v>354</v>
      </c>
      <c r="C73" s="31">
        <f>IF(SUMIFS(Data!$L:$L,Data!$A:$A,$B73,Data!$C:$C,C$1)=0,"",SUMIFS(Data!$L:$L,Data!$A:$A,$B73,Data!$C:$C,C$1))</f>
        <v>2.25</v>
      </c>
      <c r="D73" s="31">
        <f>IF(SUMIFS(Data!$L:$L,Data!$A:$A,$B73,Data!$C:$C,D$1)=0,"",SUMIFS(Data!$L:$L,Data!$A:$A,$B73,Data!$C:$C,D$1))</f>
        <v>2</v>
      </c>
      <c r="E73" s="31">
        <f>IF(SUMIFS(Data!$L:$L,Data!$A:$A,$B73,Data!$C:$C,E$1)=0,"",SUMIFS(Data!$L:$L,Data!$A:$A,$B73,Data!$C:$C,E$1))</f>
        <v>2.25</v>
      </c>
      <c r="F73" s="31">
        <f>IF(SUMIFS(Data!$L:$L,Data!$A:$A,$B73,Data!$C:$C,F$1)=0,"",SUMIFS(Data!$L:$L,Data!$A:$A,$B73,Data!$C:$C,F$1))</f>
        <v>1</v>
      </c>
      <c r="G73" s="31">
        <f>IF(SUMIFS(Data!$L:$L,Data!$A:$A,$B73,Data!$C:$C,G$1)=0,"",SUMIFS(Data!$L:$L,Data!$A:$A,$B73,Data!$C:$C,G$1))</f>
        <v>2</v>
      </c>
      <c r="H73" s="31">
        <f>IF(SUMIFS(Data!$L:$L,Data!$A:$A,$B73,Data!$C:$C,H$1)=0,"",SUMIFS(Data!$L:$L,Data!$A:$A,$B73,Data!$C:$C,H$1))</f>
        <v>2.25</v>
      </c>
      <c r="I73" s="31">
        <f>IF(SUMIFS(Data!$L:$L,Data!$A:$A,$B73,Data!$C:$C,I$1)=0,"",SUMIFS(Data!$L:$L,Data!$A:$A,$B73,Data!$C:$C,I$1))</f>
        <v>2</v>
      </c>
      <c r="J73" s="31">
        <f>IF(SUMIFS(Data!$L:$L,Data!$A:$A,$B73,Data!$C:$C,J$1)=0,"",SUMIFS(Data!$L:$L,Data!$A:$A,$B73,Data!$C:$C,J$1))</f>
        <v>1.75</v>
      </c>
      <c r="K73" s="31">
        <f>IF(SUMIFS(Data!$L:$L,Data!$A:$A,$B73,Data!$C:$C,K$1)=0,"",SUMIFS(Data!$L:$L,Data!$A:$A,$B73,Data!$C:$C,K$1))</f>
        <v>2</v>
      </c>
      <c r="L73" s="31" t="str">
        <f>IF(SUMIFS(Data!$L:$L,Data!$A:$A,$B73,Data!$C:$C,L$1)=0,"",SUMIFS(Data!$L:$L,Data!$A:$A,$B73,Data!$C:$C,L$1))</f>
        <v/>
      </c>
      <c r="M73" s="31">
        <f>IF(SUMIFS(Data!$L:$L,Data!$A:$A,$B73,Data!$C:$C,M$1)=0,"",SUMIFS(Data!$L:$L,Data!$A:$A,$B73,Data!$C:$C,M$1))</f>
        <v>3</v>
      </c>
      <c r="N73" s="31" t="str">
        <f>IF(SUMIFS(Data!$L:$L,Data!$A:$A,$B73,Data!$C:$C,N$1)=0,"",SUMIFS(Data!$L:$L,Data!$A:$A,$B73,Data!$C:$C,N$1))</f>
        <v/>
      </c>
      <c r="O73" s="31" t="str">
        <f>IF(SUMIFS(Data!$L:$L,Data!$A:$A,$B73,Data!$C:$C,O$1)=0,"",SUMIFS(Data!$L:$L,Data!$A:$A,$B73,Data!$C:$C,O$1))</f>
        <v/>
      </c>
      <c r="P73" s="31" t="str">
        <f>IF(SUMIFS(Data!$L:$L,Data!$A:$A,$B73,Data!$C:$C,P$1)=0,"",SUMIFS(Data!$L:$L,Data!$A:$A,$B73,Data!$C:$C,P$1))</f>
        <v/>
      </c>
      <c r="Q73" s="31" t="str">
        <f>IF(SUMIFS(Data!$L:$L,Data!$A:$A,$B73,Data!$C:$C,Q$1)=0,"",SUMIFS(Data!$L:$L,Data!$A:$A,$B73,Data!$C:$C,Q$1))</f>
        <v/>
      </c>
      <c r="R73" s="31">
        <f>SUM(C73:Q73)</f>
        <v>20.5</v>
      </c>
    </row>
    <row r="74" spans="1:18" x14ac:dyDescent="0.35">
      <c r="A74" s="79">
        <v>73</v>
      </c>
      <c r="B74" s="30" t="s">
        <v>368</v>
      </c>
      <c r="C74" s="31">
        <f>IF(SUMIFS(Data!$L:$L,Data!$A:$A,$B74,Data!$C:$C,C$1)=0,"",SUMIFS(Data!$L:$L,Data!$A:$A,$B74,Data!$C:$C,C$1))</f>
        <v>0.5</v>
      </c>
      <c r="D74" s="31">
        <f>IF(SUMIFS(Data!$L:$L,Data!$A:$A,$B74,Data!$C:$C,D$1)=0,"",SUMIFS(Data!$L:$L,Data!$A:$A,$B74,Data!$C:$C,D$1))</f>
        <v>0.5</v>
      </c>
      <c r="E74" s="31">
        <f>IF(SUMIFS(Data!$L:$L,Data!$A:$A,$B74,Data!$C:$C,E$1)=0,"",SUMIFS(Data!$L:$L,Data!$A:$A,$B74,Data!$C:$C,E$1))</f>
        <v>0.25</v>
      </c>
      <c r="F74" s="31">
        <f>IF(SUMIFS(Data!$L:$L,Data!$A:$A,$B74,Data!$C:$C,F$1)=0,"",SUMIFS(Data!$L:$L,Data!$A:$A,$B74,Data!$C:$C,F$1))</f>
        <v>0.25</v>
      </c>
      <c r="G74" s="31">
        <f>IF(SUMIFS(Data!$L:$L,Data!$A:$A,$B74,Data!$C:$C,G$1)=0,"",SUMIFS(Data!$L:$L,Data!$A:$A,$B74,Data!$C:$C,G$1))</f>
        <v>2</v>
      </c>
      <c r="H74" s="31">
        <f>IF(SUMIFS(Data!$L:$L,Data!$A:$A,$B74,Data!$C:$C,H$1)=0,"",SUMIFS(Data!$L:$L,Data!$A:$A,$B74,Data!$C:$C,H$1))</f>
        <v>2</v>
      </c>
      <c r="I74" s="31" t="str">
        <f>IF(SUMIFS(Data!$L:$L,Data!$A:$A,$B74,Data!$C:$C,I$1)=0,"",SUMIFS(Data!$L:$L,Data!$A:$A,$B74,Data!$C:$C,I$1))</f>
        <v/>
      </c>
      <c r="J74" s="31">
        <f>IF(SUMIFS(Data!$L:$L,Data!$A:$A,$B74,Data!$C:$C,J$1)=0,"",SUMIFS(Data!$L:$L,Data!$A:$A,$B74,Data!$C:$C,J$1))</f>
        <v>1.5</v>
      </c>
      <c r="K74" s="31">
        <f>IF(SUMIFS(Data!$L:$L,Data!$A:$A,$B74,Data!$C:$C,K$1)=0,"",SUMIFS(Data!$L:$L,Data!$A:$A,$B74,Data!$C:$C,K$1))</f>
        <v>2.25</v>
      </c>
      <c r="L74" s="31">
        <f>IF(SUMIFS(Data!$L:$L,Data!$A:$A,$B74,Data!$C:$C,L$1)=0,"",SUMIFS(Data!$L:$L,Data!$A:$A,$B74,Data!$C:$C,L$1))</f>
        <v>2.5</v>
      </c>
      <c r="M74" s="31">
        <f>IF(SUMIFS(Data!$L:$L,Data!$A:$A,$B74,Data!$C:$C,M$1)=0,"",SUMIFS(Data!$L:$L,Data!$A:$A,$B74,Data!$C:$C,M$1))</f>
        <v>2</v>
      </c>
      <c r="N74" s="31">
        <f>IF(SUMIFS(Data!$L:$L,Data!$A:$A,$B74,Data!$C:$C,N$1)=0,"",SUMIFS(Data!$L:$L,Data!$A:$A,$B74,Data!$C:$C,N$1))</f>
        <v>3</v>
      </c>
      <c r="O74" s="31">
        <f>IF(SUMIFS(Data!$L:$L,Data!$A:$A,$B74,Data!$C:$C,O$1)=0,"",SUMIFS(Data!$L:$L,Data!$A:$A,$B74,Data!$C:$C,O$1))</f>
        <v>1.5</v>
      </c>
      <c r="P74" s="31">
        <f>IF(SUMIFS(Data!$L:$L,Data!$A:$A,$B74,Data!$C:$C,P$1)=0,"",SUMIFS(Data!$L:$L,Data!$A:$A,$B74,Data!$C:$C,P$1))</f>
        <v>0.25</v>
      </c>
      <c r="Q74" s="31">
        <f>IF(SUMIFS(Data!$L:$L,Data!$A:$A,$B74,Data!$C:$C,Q$1)=0,"",SUMIFS(Data!$L:$L,Data!$A:$A,$B74,Data!$C:$C,Q$1))</f>
        <v>2</v>
      </c>
      <c r="R74" s="31">
        <f>SUM(C74:Q74)</f>
        <v>20.5</v>
      </c>
    </row>
    <row r="75" spans="1:18" x14ac:dyDescent="0.35">
      <c r="A75" s="79">
        <v>74</v>
      </c>
      <c r="B75" s="30" t="s">
        <v>406</v>
      </c>
      <c r="C75" s="31" t="str">
        <f>IF(SUMIFS(Data!$L:$L,Data!$A:$A,$B75,Data!$C:$C,C$1)=0,"",SUMIFS(Data!$L:$L,Data!$A:$A,$B75,Data!$C:$C,C$1))</f>
        <v/>
      </c>
      <c r="D75" s="31" t="str">
        <f>IF(SUMIFS(Data!$L:$L,Data!$A:$A,$B75,Data!$C:$C,D$1)=0,"",SUMIFS(Data!$L:$L,Data!$A:$A,$B75,Data!$C:$C,D$1))</f>
        <v/>
      </c>
      <c r="E75" s="31" t="str">
        <f>IF(SUMIFS(Data!$L:$L,Data!$A:$A,$B75,Data!$C:$C,E$1)=0,"",SUMIFS(Data!$L:$L,Data!$A:$A,$B75,Data!$C:$C,E$1))</f>
        <v/>
      </c>
      <c r="F75" s="31">
        <f>IF(SUMIFS(Data!$L:$L,Data!$A:$A,$B75,Data!$C:$C,F$1)=0,"",SUMIFS(Data!$L:$L,Data!$A:$A,$B75,Data!$C:$C,F$1))</f>
        <v>3</v>
      </c>
      <c r="G75" s="31">
        <f>IF(SUMIFS(Data!$L:$L,Data!$A:$A,$B75,Data!$C:$C,G$1)=0,"",SUMIFS(Data!$L:$L,Data!$A:$A,$B75,Data!$C:$C,G$1))</f>
        <v>3</v>
      </c>
      <c r="H75" s="31">
        <f>IF(SUMIFS(Data!$L:$L,Data!$A:$A,$B75,Data!$C:$C,H$1)=0,"",SUMIFS(Data!$L:$L,Data!$A:$A,$B75,Data!$C:$C,H$1))</f>
        <v>3</v>
      </c>
      <c r="I75" s="31">
        <f>IF(SUMIFS(Data!$L:$L,Data!$A:$A,$B75,Data!$C:$C,I$1)=0,"",SUMIFS(Data!$L:$L,Data!$A:$A,$B75,Data!$C:$C,I$1))</f>
        <v>2.5</v>
      </c>
      <c r="J75" s="31">
        <f>IF(SUMIFS(Data!$L:$L,Data!$A:$A,$B75,Data!$C:$C,J$1)=0,"",SUMIFS(Data!$L:$L,Data!$A:$A,$B75,Data!$C:$C,J$1))</f>
        <v>2.75</v>
      </c>
      <c r="K75" s="31" t="str">
        <f>IF(SUMIFS(Data!$L:$L,Data!$A:$A,$B75,Data!$C:$C,K$1)=0,"",SUMIFS(Data!$L:$L,Data!$A:$A,$B75,Data!$C:$C,K$1))</f>
        <v/>
      </c>
      <c r="L75" s="31">
        <f>IF(SUMIFS(Data!$L:$L,Data!$A:$A,$B75,Data!$C:$C,L$1)=0,"",SUMIFS(Data!$L:$L,Data!$A:$A,$B75,Data!$C:$C,L$1))</f>
        <v>3</v>
      </c>
      <c r="M75" s="31" t="str">
        <f>IF(SUMIFS(Data!$L:$L,Data!$A:$A,$B75,Data!$C:$C,M$1)=0,"",SUMIFS(Data!$L:$L,Data!$A:$A,$B75,Data!$C:$C,M$1))</f>
        <v/>
      </c>
      <c r="N75" s="31" t="str">
        <f>IF(SUMIFS(Data!$L:$L,Data!$A:$A,$B75,Data!$C:$C,N$1)=0,"",SUMIFS(Data!$L:$L,Data!$A:$A,$B75,Data!$C:$C,N$1))</f>
        <v/>
      </c>
      <c r="O75" s="31">
        <f>IF(SUMIFS(Data!$L:$L,Data!$A:$A,$B75,Data!$C:$C,O$1)=0,"",SUMIFS(Data!$L:$L,Data!$A:$A,$B75,Data!$C:$C,O$1))</f>
        <v>2.75</v>
      </c>
      <c r="P75" s="31" t="str">
        <f>IF(SUMIFS(Data!$L:$L,Data!$A:$A,$B75,Data!$C:$C,P$1)=0,"",SUMIFS(Data!$L:$L,Data!$A:$A,$B75,Data!$C:$C,P$1))</f>
        <v/>
      </c>
      <c r="Q75" s="31" t="str">
        <f>IF(SUMIFS(Data!$L:$L,Data!$A:$A,$B75,Data!$C:$C,Q$1)=0,"",SUMIFS(Data!$L:$L,Data!$A:$A,$B75,Data!$C:$C,Q$1))</f>
        <v/>
      </c>
      <c r="R75" s="31">
        <f>SUM(C75:Q75)</f>
        <v>20</v>
      </c>
    </row>
    <row r="76" spans="1:18" x14ac:dyDescent="0.35">
      <c r="A76" s="79">
        <v>75</v>
      </c>
      <c r="B76" s="30" t="s">
        <v>245</v>
      </c>
      <c r="C76" s="31">
        <f>IF(SUMIFS(Data!$L:$L,Data!$A:$A,$B76,Data!$C:$C,C$1)=0,"",SUMIFS(Data!$L:$L,Data!$A:$A,$B76,Data!$C:$C,C$1))</f>
        <v>2</v>
      </c>
      <c r="D76" s="31">
        <f>IF(SUMIFS(Data!$L:$L,Data!$A:$A,$B76,Data!$C:$C,D$1)=0,"",SUMIFS(Data!$L:$L,Data!$A:$A,$B76,Data!$C:$C,D$1))</f>
        <v>3</v>
      </c>
      <c r="E76" s="31" t="str">
        <f>IF(SUMIFS(Data!$L:$L,Data!$A:$A,$B76,Data!$C:$C,E$1)=0,"",SUMIFS(Data!$L:$L,Data!$A:$A,$B76,Data!$C:$C,E$1))</f>
        <v/>
      </c>
      <c r="F76" s="31">
        <f>IF(SUMIFS(Data!$L:$L,Data!$A:$A,$B76,Data!$C:$C,F$1)=0,"",SUMIFS(Data!$L:$L,Data!$A:$A,$B76,Data!$C:$C,F$1))</f>
        <v>2.5</v>
      </c>
      <c r="G76" s="31" t="str">
        <f>IF(SUMIFS(Data!$L:$L,Data!$A:$A,$B76,Data!$C:$C,G$1)=0,"",SUMIFS(Data!$L:$L,Data!$A:$A,$B76,Data!$C:$C,G$1))</f>
        <v/>
      </c>
      <c r="H76" s="31">
        <f>IF(SUMIFS(Data!$L:$L,Data!$A:$A,$B76,Data!$C:$C,H$1)=0,"",SUMIFS(Data!$L:$L,Data!$A:$A,$B76,Data!$C:$C,H$1))</f>
        <v>2.75</v>
      </c>
      <c r="I76" s="31">
        <f>IF(SUMIFS(Data!$L:$L,Data!$A:$A,$B76,Data!$C:$C,I$1)=0,"",SUMIFS(Data!$L:$L,Data!$A:$A,$B76,Data!$C:$C,I$1))</f>
        <v>4</v>
      </c>
      <c r="J76" s="31">
        <f>IF(SUMIFS(Data!$L:$L,Data!$A:$A,$B76,Data!$C:$C,J$1)=0,"",SUMIFS(Data!$L:$L,Data!$A:$A,$B76,Data!$C:$C,J$1))</f>
        <v>2.5</v>
      </c>
      <c r="K76" s="31" t="str">
        <f>IF(SUMIFS(Data!$L:$L,Data!$A:$A,$B76,Data!$C:$C,K$1)=0,"",SUMIFS(Data!$L:$L,Data!$A:$A,$B76,Data!$C:$C,K$1))</f>
        <v/>
      </c>
      <c r="L76" s="31" t="str">
        <f>IF(SUMIFS(Data!$L:$L,Data!$A:$A,$B76,Data!$C:$C,L$1)=0,"",SUMIFS(Data!$L:$L,Data!$A:$A,$B76,Data!$C:$C,L$1))</f>
        <v/>
      </c>
      <c r="M76" s="31" t="str">
        <f>IF(SUMIFS(Data!$L:$L,Data!$A:$A,$B76,Data!$C:$C,M$1)=0,"",SUMIFS(Data!$L:$L,Data!$A:$A,$B76,Data!$C:$C,M$1))</f>
        <v/>
      </c>
      <c r="N76" s="31" t="str">
        <f>IF(SUMIFS(Data!$L:$L,Data!$A:$A,$B76,Data!$C:$C,N$1)=0,"",SUMIFS(Data!$L:$L,Data!$A:$A,$B76,Data!$C:$C,N$1))</f>
        <v/>
      </c>
      <c r="O76" s="31" t="str">
        <f>IF(SUMIFS(Data!$L:$L,Data!$A:$A,$B76,Data!$C:$C,O$1)=0,"",SUMIFS(Data!$L:$L,Data!$A:$A,$B76,Data!$C:$C,O$1))</f>
        <v/>
      </c>
      <c r="P76" s="31" t="str">
        <f>IF(SUMIFS(Data!$L:$L,Data!$A:$A,$B76,Data!$C:$C,P$1)=0,"",SUMIFS(Data!$L:$L,Data!$A:$A,$B76,Data!$C:$C,P$1))</f>
        <v/>
      </c>
      <c r="Q76" s="31" t="str">
        <f>IF(SUMIFS(Data!$L:$L,Data!$A:$A,$B76,Data!$C:$C,Q$1)=0,"",SUMIFS(Data!$L:$L,Data!$A:$A,$B76,Data!$C:$C,Q$1))</f>
        <v/>
      </c>
      <c r="R76" s="31">
        <f>SUM(C76:Q76)</f>
        <v>16.75</v>
      </c>
    </row>
    <row r="77" spans="1:18" x14ac:dyDescent="0.35">
      <c r="A77" s="79">
        <v>76</v>
      </c>
      <c r="B77" s="30" t="s">
        <v>362</v>
      </c>
      <c r="C77" s="31">
        <f>IF(SUMIFS(Data!$L:$L,Data!$A:$A,$B77,Data!$C:$C,C$1)=0,"",SUMIFS(Data!$L:$L,Data!$A:$A,$B77,Data!$C:$C,C$1))</f>
        <v>1.25</v>
      </c>
      <c r="D77" s="31">
        <f>IF(SUMIFS(Data!$L:$L,Data!$A:$A,$B77,Data!$C:$C,D$1)=0,"",SUMIFS(Data!$L:$L,Data!$A:$A,$B77,Data!$C:$C,D$1))</f>
        <v>2</v>
      </c>
      <c r="E77" s="31" t="str">
        <f>IF(SUMIFS(Data!$L:$L,Data!$A:$A,$B77,Data!$C:$C,E$1)=0,"",SUMIFS(Data!$L:$L,Data!$A:$A,$B77,Data!$C:$C,E$1))</f>
        <v/>
      </c>
      <c r="F77" s="31">
        <f>IF(SUMIFS(Data!$L:$L,Data!$A:$A,$B77,Data!$C:$C,F$1)=0,"",SUMIFS(Data!$L:$L,Data!$A:$A,$B77,Data!$C:$C,F$1))</f>
        <v>2.5</v>
      </c>
      <c r="G77" s="31">
        <f>IF(SUMIFS(Data!$L:$L,Data!$A:$A,$B77,Data!$C:$C,G$1)=0,"",SUMIFS(Data!$L:$L,Data!$A:$A,$B77,Data!$C:$C,G$1))</f>
        <v>2.5</v>
      </c>
      <c r="H77" s="31">
        <f>IF(SUMIFS(Data!$L:$L,Data!$A:$A,$B77,Data!$C:$C,H$1)=0,"",SUMIFS(Data!$L:$L,Data!$A:$A,$B77,Data!$C:$C,H$1))</f>
        <v>1.75</v>
      </c>
      <c r="I77" s="31">
        <f>IF(SUMIFS(Data!$L:$L,Data!$A:$A,$B77,Data!$C:$C,I$1)=0,"",SUMIFS(Data!$L:$L,Data!$A:$A,$B77,Data!$C:$C,I$1))</f>
        <v>2</v>
      </c>
      <c r="J77" s="31">
        <f>IF(SUMIFS(Data!$L:$L,Data!$A:$A,$B77,Data!$C:$C,J$1)=0,"",SUMIFS(Data!$L:$L,Data!$A:$A,$B77,Data!$C:$C,J$1))</f>
        <v>3</v>
      </c>
      <c r="K77" s="31">
        <f>IF(SUMIFS(Data!$L:$L,Data!$A:$A,$B77,Data!$C:$C,K$1)=0,"",SUMIFS(Data!$L:$L,Data!$A:$A,$B77,Data!$C:$C,K$1))</f>
        <v>1</v>
      </c>
      <c r="L77" s="31" t="str">
        <f>IF(SUMIFS(Data!$L:$L,Data!$A:$A,$B77,Data!$C:$C,L$1)=0,"",SUMIFS(Data!$L:$L,Data!$A:$A,$B77,Data!$C:$C,L$1))</f>
        <v/>
      </c>
      <c r="M77" s="31" t="str">
        <f>IF(SUMIFS(Data!$L:$L,Data!$A:$A,$B77,Data!$C:$C,M$1)=0,"",SUMIFS(Data!$L:$L,Data!$A:$A,$B77,Data!$C:$C,M$1))</f>
        <v/>
      </c>
      <c r="N77" s="31" t="str">
        <f>IF(SUMIFS(Data!$L:$L,Data!$A:$A,$B77,Data!$C:$C,N$1)=0,"",SUMIFS(Data!$L:$L,Data!$A:$A,$B77,Data!$C:$C,N$1))</f>
        <v/>
      </c>
      <c r="O77" s="31" t="str">
        <f>IF(SUMIFS(Data!$L:$L,Data!$A:$A,$B77,Data!$C:$C,O$1)=0,"",SUMIFS(Data!$L:$L,Data!$A:$A,$B77,Data!$C:$C,O$1))</f>
        <v/>
      </c>
      <c r="P77" s="31" t="str">
        <f>IF(SUMIFS(Data!$L:$L,Data!$A:$A,$B77,Data!$C:$C,P$1)=0,"",SUMIFS(Data!$L:$L,Data!$A:$A,$B77,Data!$C:$C,P$1))</f>
        <v/>
      </c>
      <c r="Q77" s="31" t="str">
        <f>IF(SUMIFS(Data!$L:$L,Data!$A:$A,$B77,Data!$C:$C,Q$1)=0,"",SUMIFS(Data!$L:$L,Data!$A:$A,$B77,Data!$C:$C,Q$1))</f>
        <v/>
      </c>
      <c r="R77" s="31">
        <f>SUM(C77:Q77)</f>
        <v>16</v>
      </c>
    </row>
    <row r="78" spans="1:18" x14ac:dyDescent="0.35">
      <c r="A78" s="79">
        <v>77</v>
      </c>
      <c r="B78" s="30" t="s">
        <v>301</v>
      </c>
      <c r="C78" s="31">
        <f>IF(SUMIFS(Data!$L:$L,Data!$A:$A,$B78,Data!$C:$C,C$1)=0,"",SUMIFS(Data!$L:$L,Data!$A:$A,$B78,Data!$C:$C,C$1))</f>
        <v>1.75</v>
      </c>
      <c r="D78" s="31">
        <f>IF(SUMIFS(Data!$L:$L,Data!$A:$A,$B78,Data!$C:$C,D$1)=0,"",SUMIFS(Data!$L:$L,Data!$A:$A,$B78,Data!$C:$C,D$1))</f>
        <v>1.5</v>
      </c>
      <c r="E78" s="31">
        <f>IF(SUMIFS(Data!$L:$L,Data!$A:$A,$B78,Data!$C:$C,E$1)=0,"",SUMIFS(Data!$L:$L,Data!$A:$A,$B78,Data!$C:$C,E$1))</f>
        <v>2</v>
      </c>
      <c r="F78" s="31">
        <f>IF(SUMIFS(Data!$L:$L,Data!$A:$A,$B78,Data!$C:$C,F$1)=0,"",SUMIFS(Data!$L:$L,Data!$A:$A,$B78,Data!$C:$C,F$1))</f>
        <v>2.75</v>
      </c>
      <c r="G78" s="31" t="str">
        <f>IF(SUMIFS(Data!$L:$L,Data!$A:$A,$B78,Data!$C:$C,G$1)=0,"",SUMIFS(Data!$L:$L,Data!$A:$A,$B78,Data!$C:$C,G$1))</f>
        <v/>
      </c>
      <c r="H78" s="31">
        <f>IF(SUMIFS(Data!$L:$L,Data!$A:$A,$B78,Data!$C:$C,H$1)=0,"",SUMIFS(Data!$L:$L,Data!$A:$A,$B78,Data!$C:$C,H$1))</f>
        <v>2.5</v>
      </c>
      <c r="I78" s="31" t="str">
        <f>IF(SUMIFS(Data!$L:$L,Data!$A:$A,$B78,Data!$C:$C,I$1)=0,"",SUMIFS(Data!$L:$L,Data!$A:$A,$B78,Data!$C:$C,I$1))</f>
        <v/>
      </c>
      <c r="J78" s="31" t="str">
        <f>IF(SUMIFS(Data!$L:$L,Data!$A:$A,$B78,Data!$C:$C,J$1)=0,"",SUMIFS(Data!$L:$L,Data!$A:$A,$B78,Data!$C:$C,J$1))</f>
        <v/>
      </c>
      <c r="K78" s="31" t="str">
        <f>IF(SUMIFS(Data!$L:$L,Data!$A:$A,$B78,Data!$C:$C,K$1)=0,"",SUMIFS(Data!$L:$L,Data!$A:$A,$B78,Data!$C:$C,K$1))</f>
        <v/>
      </c>
      <c r="L78" s="31" t="str">
        <f>IF(SUMIFS(Data!$L:$L,Data!$A:$A,$B78,Data!$C:$C,L$1)=0,"",SUMIFS(Data!$L:$L,Data!$A:$A,$B78,Data!$C:$C,L$1))</f>
        <v/>
      </c>
      <c r="M78" s="31" t="str">
        <f>IF(SUMIFS(Data!$L:$L,Data!$A:$A,$B78,Data!$C:$C,M$1)=0,"",SUMIFS(Data!$L:$L,Data!$A:$A,$B78,Data!$C:$C,M$1))</f>
        <v/>
      </c>
      <c r="N78" s="31">
        <f>IF(SUMIFS(Data!$L:$L,Data!$A:$A,$B78,Data!$C:$C,N$1)=0,"",SUMIFS(Data!$L:$L,Data!$A:$A,$B78,Data!$C:$C,N$1))</f>
        <v>2.75</v>
      </c>
      <c r="O78" s="31">
        <f>IF(SUMIFS(Data!$L:$L,Data!$A:$A,$B78,Data!$C:$C,O$1)=0,"",SUMIFS(Data!$L:$L,Data!$A:$A,$B78,Data!$C:$C,O$1))</f>
        <v>2.75</v>
      </c>
      <c r="P78" s="31" t="str">
        <f>IF(SUMIFS(Data!$L:$L,Data!$A:$A,$B78,Data!$C:$C,P$1)=0,"",SUMIFS(Data!$L:$L,Data!$A:$A,$B78,Data!$C:$C,P$1))</f>
        <v/>
      </c>
      <c r="Q78" s="31" t="str">
        <f>IF(SUMIFS(Data!$L:$L,Data!$A:$A,$B78,Data!$C:$C,Q$1)=0,"",SUMIFS(Data!$L:$L,Data!$A:$A,$B78,Data!$C:$C,Q$1))</f>
        <v/>
      </c>
      <c r="R78" s="31">
        <f>SUM(C78:Q78)</f>
        <v>16</v>
      </c>
    </row>
    <row r="79" spans="1:18" x14ac:dyDescent="0.35">
      <c r="A79" s="79">
        <v>78</v>
      </c>
      <c r="B79" s="30" t="s">
        <v>374</v>
      </c>
      <c r="C79" s="31">
        <f>IF(SUMIFS(Data!$L:$L,Data!$A:$A,$B79,Data!$C:$C,C$1)=0,"",SUMIFS(Data!$L:$L,Data!$A:$A,$B79,Data!$C:$C,C$1))</f>
        <v>1</v>
      </c>
      <c r="D79" s="31">
        <f>IF(SUMIFS(Data!$L:$L,Data!$A:$A,$B79,Data!$C:$C,D$1)=0,"",SUMIFS(Data!$L:$L,Data!$A:$A,$B79,Data!$C:$C,D$1))</f>
        <v>1.25</v>
      </c>
      <c r="E79" s="31">
        <f>IF(SUMIFS(Data!$L:$L,Data!$A:$A,$B79,Data!$C:$C,E$1)=0,"",SUMIFS(Data!$L:$L,Data!$A:$A,$B79,Data!$C:$C,E$1))</f>
        <v>1</v>
      </c>
      <c r="F79" s="31">
        <f>IF(SUMIFS(Data!$L:$L,Data!$A:$A,$B79,Data!$C:$C,F$1)=0,"",SUMIFS(Data!$L:$L,Data!$A:$A,$B79,Data!$C:$C,F$1))</f>
        <v>1</v>
      </c>
      <c r="G79" s="31">
        <f>IF(SUMIFS(Data!$L:$L,Data!$A:$A,$B79,Data!$C:$C,G$1)=0,"",SUMIFS(Data!$L:$L,Data!$A:$A,$B79,Data!$C:$C,G$1))</f>
        <v>1.75</v>
      </c>
      <c r="H79" s="31">
        <f>IF(SUMIFS(Data!$L:$L,Data!$A:$A,$B79,Data!$C:$C,H$1)=0,"",SUMIFS(Data!$L:$L,Data!$A:$A,$B79,Data!$C:$C,H$1))</f>
        <v>2</v>
      </c>
      <c r="I79" s="31">
        <f>IF(SUMIFS(Data!$L:$L,Data!$A:$A,$B79,Data!$C:$C,I$1)=0,"",SUMIFS(Data!$L:$L,Data!$A:$A,$B79,Data!$C:$C,I$1))</f>
        <v>2.25</v>
      </c>
      <c r="J79" s="31">
        <f>IF(SUMIFS(Data!$L:$L,Data!$A:$A,$B79,Data!$C:$C,J$1)=0,"",SUMIFS(Data!$L:$L,Data!$A:$A,$B79,Data!$C:$C,J$1))</f>
        <v>1.5</v>
      </c>
      <c r="K79" s="31">
        <f>IF(SUMIFS(Data!$L:$L,Data!$A:$A,$B79,Data!$C:$C,K$1)=0,"",SUMIFS(Data!$L:$L,Data!$A:$A,$B79,Data!$C:$C,K$1))</f>
        <v>1.5</v>
      </c>
      <c r="L79" s="31" t="str">
        <f>IF(SUMIFS(Data!$L:$L,Data!$A:$A,$B79,Data!$C:$C,L$1)=0,"",SUMIFS(Data!$L:$L,Data!$A:$A,$B79,Data!$C:$C,L$1))</f>
        <v/>
      </c>
      <c r="M79" s="31">
        <f>IF(SUMIFS(Data!$L:$L,Data!$A:$A,$B79,Data!$C:$C,M$1)=0,"",SUMIFS(Data!$L:$L,Data!$A:$A,$B79,Data!$C:$C,M$1))</f>
        <v>2.5</v>
      </c>
      <c r="N79" s="31" t="str">
        <f>IF(SUMIFS(Data!$L:$L,Data!$A:$A,$B79,Data!$C:$C,N$1)=0,"",SUMIFS(Data!$L:$L,Data!$A:$A,$B79,Data!$C:$C,N$1))</f>
        <v/>
      </c>
      <c r="O79" s="31" t="str">
        <f>IF(SUMIFS(Data!$L:$L,Data!$A:$A,$B79,Data!$C:$C,O$1)=0,"",SUMIFS(Data!$L:$L,Data!$A:$A,$B79,Data!$C:$C,O$1))</f>
        <v/>
      </c>
      <c r="P79" s="31" t="str">
        <f>IF(SUMIFS(Data!$L:$L,Data!$A:$A,$B79,Data!$C:$C,P$1)=0,"",SUMIFS(Data!$L:$L,Data!$A:$A,$B79,Data!$C:$C,P$1))</f>
        <v/>
      </c>
      <c r="Q79" s="31" t="str">
        <f>IF(SUMIFS(Data!$L:$L,Data!$A:$A,$B79,Data!$C:$C,Q$1)=0,"",SUMIFS(Data!$L:$L,Data!$A:$A,$B79,Data!$C:$C,Q$1))</f>
        <v/>
      </c>
      <c r="R79" s="31">
        <f>SUM(C79:Q79)</f>
        <v>15.75</v>
      </c>
    </row>
    <row r="80" spans="1:18" x14ac:dyDescent="0.35">
      <c r="A80" s="79">
        <v>79</v>
      </c>
      <c r="B80" s="30" t="s">
        <v>226</v>
      </c>
      <c r="C80" s="31" t="str">
        <f>IF(SUMIFS(Data!$L:$L,Data!$A:$A,$B80,Data!$C:$C,C$1)=0,"",SUMIFS(Data!$L:$L,Data!$A:$A,$B80,Data!$C:$C,C$1))</f>
        <v/>
      </c>
      <c r="D80" s="31" t="str">
        <f>IF(SUMIFS(Data!$L:$L,Data!$A:$A,$B80,Data!$C:$C,D$1)=0,"",SUMIFS(Data!$L:$L,Data!$A:$A,$B80,Data!$C:$C,D$1))</f>
        <v/>
      </c>
      <c r="E80" s="31">
        <f>IF(SUMIFS(Data!$L:$L,Data!$A:$A,$B80,Data!$C:$C,E$1)=0,"",SUMIFS(Data!$L:$L,Data!$A:$A,$B80,Data!$C:$C,E$1))</f>
        <v>2.25</v>
      </c>
      <c r="F80" s="31">
        <f>IF(SUMIFS(Data!$L:$L,Data!$A:$A,$B80,Data!$C:$C,F$1)=0,"",SUMIFS(Data!$L:$L,Data!$A:$A,$B80,Data!$C:$C,F$1))</f>
        <v>1.5</v>
      </c>
      <c r="G80" s="31">
        <f>IF(SUMIFS(Data!$L:$L,Data!$A:$A,$B80,Data!$C:$C,G$1)=0,"",SUMIFS(Data!$L:$L,Data!$A:$A,$B80,Data!$C:$C,G$1))</f>
        <v>1</v>
      </c>
      <c r="H80" s="31">
        <f>IF(SUMIFS(Data!$L:$L,Data!$A:$A,$B80,Data!$C:$C,H$1)=0,"",SUMIFS(Data!$L:$L,Data!$A:$A,$B80,Data!$C:$C,H$1))</f>
        <v>1.5</v>
      </c>
      <c r="I80" s="31">
        <f>IF(SUMIFS(Data!$L:$L,Data!$A:$A,$B80,Data!$C:$C,I$1)=0,"",SUMIFS(Data!$L:$L,Data!$A:$A,$B80,Data!$C:$C,I$1))</f>
        <v>1.75</v>
      </c>
      <c r="J80" s="31">
        <f>IF(SUMIFS(Data!$L:$L,Data!$A:$A,$B80,Data!$C:$C,J$1)=0,"",SUMIFS(Data!$L:$L,Data!$A:$A,$B80,Data!$C:$C,J$1))</f>
        <v>1.5</v>
      </c>
      <c r="K80" s="31">
        <f>IF(SUMIFS(Data!$L:$L,Data!$A:$A,$B80,Data!$C:$C,K$1)=0,"",SUMIFS(Data!$L:$L,Data!$A:$A,$B80,Data!$C:$C,K$1))</f>
        <v>1.25</v>
      </c>
      <c r="L80" s="31">
        <f>IF(SUMIFS(Data!$L:$L,Data!$A:$A,$B80,Data!$C:$C,L$1)=0,"",SUMIFS(Data!$L:$L,Data!$A:$A,$B80,Data!$C:$C,L$1))</f>
        <v>2.5</v>
      </c>
      <c r="M80" s="31" t="str">
        <f>IF(SUMIFS(Data!$L:$L,Data!$A:$A,$B80,Data!$C:$C,M$1)=0,"",SUMIFS(Data!$L:$L,Data!$A:$A,$B80,Data!$C:$C,M$1))</f>
        <v/>
      </c>
      <c r="N80" s="31" t="str">
        <f>IF(SUMIFS(Data!$L:$L,Data!$A:$A,$B80,Data!$C:$C,N$1)=0,"",SUMIFS(Data!$L:$L,Data!$A:$A,$B80,Data!$C:$C,N$1))</f>
        <v/>
      </c>
      <c r="O80" s="31">
        <f>IF(SUMIFS(Data!$L:$L,Data!$A:$A,$B80,Data!$C:$C,O$1)=0,"",SUMIFS(Data!$L:$L,Data!$A:$A,$B80,Data!$C:$C,O$1))</f>
        <v>2</v>
      </c>
      <c r="P80" s="31" t="str">
        <f>IF(SUMIFS(Data!$L:$L,Data!$A:$A,$B80,Data!$C:$C,P$1)=0,"",SUMIFS(Data!$L:$L,Data!$A:$A,$B80,Data!$C:$C,P$1))</f>
        <v/>
      </c>
      <c r="Q80" s="31">
        <f>IF(SUMIFS(Data!$L:$L,Data!$A:$A,$B80,Data!$C:$C,Q$1)=0,"",SUMIFS(Data!$L:$L,Data!$A:$A,$B80,Data!$C:$C,Q$1))</f>
        <v>0.25</v>
      </c>
      <c r="R80" s="31">
        <f>SUM(C80:Q80)</f>
        <v>15.5</v>
      </c>
    </row>
    <row r="81" spans="1:18" x14ac:dyDescent="0.35">
      <c r="A81" s="79">
        <v>80</v>
      </c>
      <c r="B81" s="30" t="s">
        <v>430</v>
      </c>
      <c r="C81" s="31" t="str">
        <f>IF(SUMIFS(Data!$L:$L,Data!$A:$A,$B81,Data!$C:$C,C$1)=0,"",SUMIFS(Data!$L:$L,Data!$A:$A,$B81,Data!$C:$C,C$1))</f>
        <v/>
      </c>
      <c r="D81" s="31" t="str">
        <f>IF(SUMIFS(Data!$L:$L,Data!$A:$A,$B81,Data!$C:$C,D$1)=0,"",SUMIFS(Data!$L:$L,Data!$A:$A,$B81,Data!$C:$C,D$1))</f>
        <v/>
      </c>
      <c r="E81" s="31" t="str">
        <f>IF(SUMIFS(Data!$L:$L,Data!$A:$A,$B81,Data!$C:$C,E$1)=0,"",SUMIFS(Data!$L:$L,Data!$A:$A,$B81,Data!$C:$C,E$1))</f>
        <v/>
      </c>
      <c r="F81" s="31" t="str">
        <f>IF(SUMIFS(Data!$L:$L,Data!$A:$A,$B81,Data!$C:$C,F$1)=0,"",SUMIFS(Data!$L:$L,Data!$A:$A,$B81,Data!$C:$C,F$1))</f>
        <v/>
      </c>
      <c r="G81" s="31">
        <f>IF(SUMIFS(Data!$L:$L,Data!$A:$A,$B81,Data!$C:$C,G$1)=0,"",SUMIFS(Data!$L:$L,Data!$A:$A,$B81,Data!$C:$C,G$1))</f>
        <v>1</v>
      </c>
      <c r="H81" s="31">
        <f>IF(SUMIFS(Data!$L:$L,Data!$A:$A,$B81,Data!$C:$C,H$1)=0,"",SUMIFS(Data!$L:$L,Data!$A:$A,$B81,Data!$C:$C,H$1))</f>
        <v>1.25</v>
      </c>
      <c r="I81" s="31">
        <f>IF(SUMIFS(Data!$L:$L,Data!$A:$A,$B81,Data!$C:$C,I$1)=0,"",SUMIFS(Data!$L:$L,Data!$A:$A,$B81,Data!$C:$C,I$1))</f>
        <v>1.25</v>
      </c>
      <c r="J81" s="31">
        <f>IF(SUMIFS(Data!$L:$L,Data!$A:$A,$B81,Data!$C:$C,J$1)=0,"",SUMIFS(Data!$L:$L,Data!$A:$A,$B81,Data!$C:$C,J$1))</f>
        <v>2</v>
      </c>
      <c r="K81" s="31">
        <f>IF(SUMIFS(Data!$L:$L,Data!$A:$A,$B81,Data!$C:$C,K$1)=0,"",SUMIFS(Data!$L:$L,Data!$A:$A,$B81,Data!$C:$C,K$1))</f>
        <v>1.5</v>
      </c>
      <c r="L81" s="31">
        <f>IF(SUMIFS(Data!$L:$L,Data!$A:$A,$B81,Data!$C:$C,L$1)=0,"",SUMIFS(Data!$L:$L,Data!$A:$A,$B81,Data!$C:$C,L$1))</f>
        <v>1.5</v>
      </c>
      <c r="M81" s="31">
        <f>IF(SUMIFS(Data!$L:$L,Data!$A:$A,$B81,Data!$C:$C,M$1)=0,"",SUMIFS(Data!$L:$L,Data!$A:$A,$B81,Data!$C:$C,M$1))</f>
        <v>1.5</v>
      </c>
      <c r="N81" s="31">
        <f>IF(SUMIFS(Data!$L:$L,Data!$A:$A,$B81,Data!$C:$C,N$1)=0,"",SUMIFS(Data!$L:$L,Data!$A:$A,$B81,Data!$C:$C,N$1))</f>
        <v>1.5</v>
      </c>
      <c r="O81" s="31">
        <f>IF(SUMIFS(Data!$L:$L,Data!$A:$A,$B81,Data!$C:$C,O$1)=0,"",SUMIFS(Data!$L:$L,Data!$A:$A,$B81,Data!$C:$C,O$1))</f>
        <v>2</v>
      </c>
      <c r="P81" s="31">
        <f>IF(SUMIFS(Data!$L:$L,Data!$A:$A,$B81,Data!$C:$C,P$1)=0,"",SUMIFS(Data!$L:$L,Data!$A:$A,$B81,Data!$C:$C,P$1))</f>
        <v>0.25</v>
      </c>
      <c r="Q81" s="31">
        <f>IF(SUMIFS(Data!$L:$L,Data!$A:$A,$B81,Data!$C:$C,Q$1)=0,"",SUMIFS(Data!$L:$L,Data!$A:$A,$B81,Data!$C:$C,Q$1))</f>
        <v>1.5</v>
      </c>
      <c r="R81" s="31">
        <f>SUM(C81:Q81)</f>
        <v>15.25</v>
      </c>
    </row>
    <row r="82" spans="1:18" x14ac:dyDescent="0.35">
      <c r="A82" s="79">
        <v>81</v>
      </c>
      <c r="B82" s="30" t="s">
        <v>63</v>
      </c>
      <c r="C82" s="31" t="str">
        <f>IF(SUMIFS(Data!$L:$L,Data!$A:$A,$B82,Data!$C:$C,C$1)=0,"",SUMIFS(Data!$L:$L,Data!$A:$A,$B82,Data!$C:$C,C$1))</f>
        <v/>
      </c>
      <c r="D82" s="31">
        <f>IF(SUMIFS(Data!$L:$L,Data!$A:$A,$B82,Data!$C:$C,D$1)=0,"",SUMIFS(Data!$L:$L,Data!$A:$A,$B82,Data!$C:$C,D$1))</f>
        <v>3.25</v>
      </c>
      <c r="E82" s="31" t="str">
        <f>IF(SUMIFS(Data!$L:$L,Data!$A:$A,$B82,Data!$C:$C,E$1)=0,"",SUMIFS(Data!$L:$L,Data!$A:$A,$B82,Data!$C:$C,E$1))</f>
        <v/>
      </c>
      <c r="F82" s="31" t="str">
        <f>IF(SUMIFS(Data!$L:$L,Data!$A:$A,$B82,Data!$C:$C,F$1)=0,"",SUMIFS(Data!$L:$L,Data!$A:$A,$B82,Data!$C:$C,F$1))</f>
        <v/>
      </c>
      <c r="G82" s="31" t="str">
        <f>IF(SUMIFS(Data!$L:$L,Data!$A:$A,$B82,Data!$C:$C,G$1)=0,"",SUMIFS(Data!$L:$L,Data!$A:$A,$B82,Data!$C:$C,G$1))</f>
        <v/>
      </c>
      <c r="H82" s="31" t="str">
        <f>IF(SUMIFS(Data!$L:$L,Data!$A:$A,$B82,Data!$C:$C,H$1)=0,"",SUMIFS(Data!$L:$L,Data!$A:$A,$B82,Data!$C:$C,H$1))</f>
        <v/>
      </c>
      <c r="I82" s="31" t="str">
        <f>IF(SUMIFS(Data!$L:$L,Data!$A:$A,$B82,Data!$C:$C,I$1)=0,"",SUMIFS(Data!$L:$L,Data!$A:$A,$B82,Data!$C:$C,I$1))</f>
        <v/>
      </c>
      <c r="J82" s="31">
        <f>IF(SUMIFS(Data!$L:$L,Data!$A:$A,$B82,Data!$C:$C,J$1)=0,"",SUMIFS(Data!$L:$L,Data!$A:$A,$B82,Data!$C:$C,J$1))</f>
        <v>3</v>
      </c>
      <c r="K82" s="31" t="str">
        <f>IF(SUMIFS(Data!$L:$L,Data!$A:$A,$B82,Data!$C:$C,K$1)=0,"",SUMIFS(Data!$L:$L,Data!$A:$A,$B82,Data!$C:$C,K$1))</f>
        <v/>
      </c>
      <c r="L82" s="31" t="str">
        <f>IF(SUMIFS(Data!$L:$L,Data!$A:$A,$B82,Data!$C:$C,L$1)=0,"",SUMIFS(Data!$L:$L,Data!$A:$A,$B82,Data!$C:$C,L$1))</f>
        <v/>
      </c>
      <c r="M82" s="31" t="str">
        <f>IF(SUMIFS(Data!$L:$L,Data!$A:$A,$B82,Data!$C:$C,M$1)=0,"",SUMIFS(Data!$L:$L,Data!$A:$A,$B82,Data!$C:$C,M$1))</f>
        <v/>
      </c>
      <c r="N82" s="31" t="str">
        <f>IF(SUMIFS(Data!$L:$L,Data!$A:$A,$B82,Data!$C:$C,N$1)=0,"",SUMIFS(Data!$L:$L,Data!$A:$A,$B82,Data!$C:$C,N$1))</f>
        <v/>
      </c>
      <c r="O82" s="31">
        <f>IF(SUMIFS(Data!$L:$L,Data!$A:$A,$B82,Data!$C:$C,O$1)=0,"",SUMIFS(Data!$L:$L,Data!$A:$A,$B82,Data!$C:$C,O$1))</f>
        <v>4.25</v>
      </c>
      <c r="P82" s="31" t="str">
        <f>IF(SUMIFS(Data!$L:$L,Data!$A:$A,$B82,Data!$C:$C,P$1)=0,"",SUMIFS(Data!$L:$L,Data!$A:$A,$B82,Data!$C:$C,P$1))</f>
        <v/>
      </c>
      <c r="Q82" s="31">
        <f>IF(SUMIFS(Data!$L:$L,Data!$A:$A,$B82,Data!$C:$C,Q$1)=0,"",SUMIFS(Data!$L:$L,Data!$A:$A,$B82,Data!$C:$C,Q$1))</f>
        <v>4</v>
      </c>
      <c r="R82" s="31">
        <f>SUM(C82:Q82)</f>
        <v>14.5</v>
      </c>
    </row>
    <row r="83" spans="1:18" x14ac:dyDescent="0.35">
      <c r="A83" s="79">
        <v>82</v>
      </c>
      <c r="B83" s="30" t="s">
        <v>364</v>
      </c>
      <c r="C83" s="31">
        <f>IF(SUMIFS(Data!$L:$L,Data!$A:$A,$B83,Data!$C:$C,C$1)=0,"",SUMIFS(Data!$L:$L,Data!$A:$A,$B83,Data!$C:$C,C$1))</f>
        <v>1</v>
      </c>
      <c r="D83" s="31">
        <f>IF(SUMIFS(Data!$L:$L,Data!$A:$A,$B83,Data!$C:$C,D$1)=0,"",SUMIFS(Data!$L:$L,Data!$A:$A,$B83,Data!$C:$C,D$1))</f>
        <v>2.75</v>
      </c>
      <c r="E83" s="31">
        <f>IF(SUMIFS(Data!$L:$L,Data!$A:$A,$B83,Data!$C:$C,E$1)=0,"",SUMIFS(Data!$L:$L,Data!$A:$A,$B83,Data!$C:$C,E$1))</f>
        <v>0.75</v>
      </c>
      <c r="F83" s="31">
        <f>IF(SUMIFS(Data!$L:$L,Data!$A:$A,$B83,Data!$C:$C,F$1)=0,"",SUMIFS(Data!$L:$L,Data!$A:$A,$B83,Data!$C:$C,F$1))</f>
        <v>1.75</v>
      </c>
      <c r="G83" s="31">
        <f>IF(SUMIFS(Data!$L:$L,Data!$A:$A,$B83,Data!$C:$C,G$1)=0,"",SUMIFS(Data!$L:$L,Data!$A:$A,$B83,Data!$C:$C,G$1))</f>
        <v>1.75</v>
      </c>
      <c r="H83" s="31">
        <f>IF(SUMIFS(Data!$L:$L,Data!$A:$A,$B83,Data!$C:$C,H$1)=0,"",SUMIFS(Data!$L:$L,Data!$A:$A,$B83,Data!$C:$C,H$1))</f>
        <v>2.25</v>
      </c>
      <c r="I83" s="31" t="str">
        <f>IF(SUMIFS(Data!$L:$L,Data!$A:$A,$B83,Data!$C:$C,I$1)=0,"",SUMIFS(Data!$L:$L,Data!$A:$A,$B83,Data!$C:$C,I$1))</f>
        <v/>
      </c>
      <c r="J83" s="31">
        <f>IF(SUMIFS(Data!$L:$L,Data!$A:$A,$B83,Data!$C:$C,J$1)=0,"",SUMIFS(Data!$L:$L,Data!$A:$A,$B83,Data!$C:$C,J$1))</f>
        <v>2</v>
      </c>
      <c r="K83" s="31">
        <f>IF(SUMIFS(Data!$L:$L,Data!$A:$A,$B83,Data!$C:$C,K$1)=0,"",SUMIFS(Data!$L:$L,Data!$A:$A,$B83,Data!$C:$C,K$1))</f>
        <v>1.5</v>
      </c>
      <c r="L83" s="31" t="str">
        <f>IF(SUMIFS(Data!$L:$L,Data!$A:$A,$B83,Data!$C:$C,L$1)=0,"",SUMIFS(Data!$L:$L,Data!$A:$A,$B83,Data!$C:$C,L$1))</f>
        <v/>
      </c>
      <c r="M83" s="31" t="str">
        <f>IF(SUMIFS(Data!$L:$L,Data!$A:$A,$B83,Data!$C:$C,M$1)=0,"",SUMIFS(Data!$L:$L,Data!$A:$A,$B83,Data!$C:$C,M$1))</f>
        <v/>
      </c>
      <c r="N83" s="31" t="str">
        <f>IF(SUMIFS(Data!$L:$L,Data!$A:$A,$B83,Data!$C:$C,N$1)=0,"",SUMIFS(Data!$L:$L,Data!$A:$A,$B83,Data!$C:$C,N$1))</f>
        <v/>
      </c>
      <c r="O83" s="31" t="str">
        <f>IF(SUMIFS(Data!$L:$L,Data!$A:$A,$B83,Data!$C:$C,O$1)=0,"",SUMIFS(Data!$L:$L,Data!$A:$A,$B83,Data!$C:$C,O$1))</f>
        <v/>
      </c>
      <c r="P83" s="31" t="str">
        <f>IF(SUMIFS(Data!$L:$L,Data!$A:$A,$B83,Data!$C:$C,P$1)=0,"",SUMIFS(Data!$L:$L,Data!$A:$A,$B83,Data!$C:$C,P$1))</f>
        <v/>
      </c>
      <c r="Q83" s="31" t="str">
        <f>IF(SUMIFS(Data!$L:$L,Data!$A:$A,$B83,Data!$C:$C,Q$1)=0,"",SUMIFS(Data!$L:$L,Data!$A:$A,$B83,Data!$C:$C,Q$1))</f>
        <v/>
      </c>
      <c r="R83" s="31">
        <f>SUM(C83:Q83)</f>
        <v>13.75</v>
      </c>
    </row>
    <row r="84" spans="1:18" x14ac:dyDescent="0.35">
      <c r="A84" s="79">
        <v>83</v>
      </c>
      <c r="B84" s="30" t="s">
        <v>133</v>
      </c>
      <c r="C84" s="31">
        <f>IF(SUMIFS(Data!$L:$L,Data!$A:$A,$B84,Data!$C:$C,C$1)=0,"",SUMIFS(Data!$L:$L,Data!$A:$A,$B84,Data!$C:$C,C$1))</f>
        <v>1</v>
      </c>
      <c r="D84" s="31" t="str">
        <f>IF(SUMIFS(Data!$L:$L,Data!$A:$A,$B84,Data!$C:$C,D$1)=0,"",SUMIFS(Data!$L:$L,Data!$A:$A,$B84,Data!$C:$C,D$1))</f>
        <v/>
      </c>
      <c r="E84" s="31">
        <f>IF(SUMIFS(Data!$L:$L,Data!$A:$A,$B84,Data!$C:$C,E$1)=0,"",SUMIFS(Data!$L:$L,Data!$A:$A,$B84,Data!$C:$C,E$1))</f>
        <v>3.5</v>
      </c>
      <c r="F84" s="31" t="str">
        <f>IF(SUMIFS(Data!$L:$L,Data!$A:$A,$B84,Data!$C:$C,F$1)=0,"",SUMIFS(Data!$L:$L,Data!$A:$A,$B84,Data!$C:$C,F$1))</f>
        <v/>
      </c>
      <c r="G84" s="31">
        <f>IF(SUMIFS(Data!$L:$L,Data!$A:$A,$B84,Data!$C:$C,G$1)=0,"",SUMIFS(Data!$L:$L,Data!$A:$A,$B84,Data!$C:$C,G$1))</f>
        <v>3.75</v>
      </c>
      <c r="H84" s="31">
        <f>IF(SUMIFS(Data!$L:$L,Data!$A:$A,$B84,Data!$C:$C,H$1)=0,"",SUMIFS(Data!$L:$L,Data!$A:$A,$B84,Data!$C:$C,H$1))</f>
        <v>1</v>
      </c>
      <c r="I84" s="31">
        <f>IF(SUMIFS(Data!$L:$L,Data!$A:$A,$B84,Data!$C:$C,I$1)=0,"",SUMIFS(Data!$L:$L,Data!$A:$A,$B84,Data!$C:$C,I$1))</f>
        <v>2.5</v>
      </c>
      <c r="J84" s="31">
        <f>IF(SUMIFS(Data!$L:$L,Data!$A:$A,$B84,Data!$C:$C,J$1)=0,"",SUMIFS(Data!$L:$L,Data!$A:$A,$B84,Data!$C:$C,J$1))</f>
        <v>0.75</v>
      </c>
      <c r="K84" s="31">
        <f>IF(SUMIFS(Data!$L:$L,Data!$A:$A,$B84,Data!$C:$C,K$1)=0,"",SUMIFS(Data!$L:$L,Data!$A:$A,$B84,Data!$C:$C,K$1))</f>
        <v>1</v>
      </c>
      <c r="L84" s="31" t="str">
        <f>IF(SUMIFS(Data!$L:$L,Data!$A:$A,$B84,Data!$C:$C,L$1)=0,"",SUMIFS(Data!$L:$L,Data!$A:$A,$B84,Data!$C:$C,L$1))</f>
        <v/>
      </c>
      <c r="M84" s="31" t="str">
        <f>IF(SUMIFS(Data!$L:$L,Data!$A:$A,$B84,Data!$C:$C,M$1)=0,"",SUMIFS(Data!$L:$L,Data!$A:$A,$B84,Data!$C:$C,M$1))</f>
        <v/>
      </c>
      <c r="N84" s="31" t="str">
        <f>IF(SUMIFS(Data!$L:$L,Data!$A:$A,$B84,Data!$C:$C,N$1)=0,"",SUMIFS(Data!$L:$L,Data!$A:$A,$B84,Data!$C:$C,N$1))</f>
        <v/>
      </c>
      <c r="O84" s="31" t="str">
        <f>IF(SUMIFS(Data!$L:$L,Data!$A:$A,$B84,Data!$C:$C,O$1)=0,"",SUMIFS(Data!$L:$L,Data!$A:$A,$B84,Data!$C:$C,O$1))</f>
        <v/>
      </c>
      <c r="P84" s="31" t="str">
        <f>IF(SUMIFS(Data!$L:$L,Data!$A:$A,$B84,Data!$C:$C,P$1)=0,"",SUMIFS(Data!$L:$L,Data!$A:$A,$B84,Data!$C:$C,P$1))</f>
        <v/>
      </c>
      <c r="Q84" s="31" t="str">
        <f>IF(SUMIFS(Data!$L:$L,Data!$A:$A,$B84,Data!$C:$C,Q$1)=0,"",SUMIFS(Data!$L:$L,Data!$A:$A,$B84,Data!$C:$C,Q$1))</f>
        <v/>
      </c>
      <c r="R84" s="31">
        <f>SUM(C84:Q84)</f>
        <v>13.5</v>
      </c>
    </row>
    <row r="85" spans="1:18" x14ac:dyDescent="0.35">
      <c r="A85" s="79">
        <v>84</v>
      </c>
      <c r="B85" s="30" t="s">
        <v>398</v>
      </c>
      <c r="C85" s="31" t="str">
        <f>IF(SUMIFS(Data!$L:$L,Data!$A:$A,$B85,Data!$C:$C,C$1)=0,"",SUMIFS(Data!$L:$L,Data!$A:$A,$B85,Data!$C:$C,C$1))</f>
        <v/>
      </c>
      <c r="D85" s="31" t="str">
        <f>IF(SUMIFS(Data!$L:$L,Data!$A:$A,$B85,Data!$C:$C,D$1)=0,"",SUMIFS(Data!$L:$L,Data!$A:$A,$B85,Data!$C:$C,D$1))</f>
        <v/>
      </c>
      <c r="E85" s="31">
        <f>IF(SUMIFS(Data!$L:$L,Data!$A:$A,$B85,Data!$C:$C,E$1)=0,"",SUMIFS(Data!$L:$L,Data!$A:$A,$B85,Data!$C:$C,E$1))</f>
        <v>3.25</v>
      </c>
      <c r="F85" s="31">
        <f>IF(SUMIFS(Data!$L:$L,Data!$A:$A,$B85,Data!$C:$C,F$1)=0,"",SUMIFS(Data!$L:$L,Data!$A:$A,$B85,Data!$C:$C,F$1))</f>
        <v>2</v>
      </c>
      <c r="G85" s="31">
        <f>IF(SUMIFS(Data!$L:$L,Data!$A:$A,$B85,Data!$C:$C,G$1)=0,"",SUMIFS(Data!$L:$L,Data!$A:$A,$B85,Data!$C:$C,G$1))</f>
        <v>2.25</v>
      </c>
      <c r="H85" s="31">
        <f>IF(SUMIFS(Data!$L:$L,Data!$A:$A,$B85,Data!$C:$C,H$1)=0,"",SUMIFS(Data!$L:$L,Data!$A:$A,$B85,Data!$C:$C,H$1))</f>
        <v>2</v>
      </c>
      <c r="I85" s="31" t="str">
        <f>IF(SUMIFS(Data!$L:$L,Data!$A:$A,$B85,Data!$C:$C,I$1)=0,"",SUMIFS(Data!$L:$L,Data!$A:$A,$B85,Data!$C:$C,I$1))</f>
        <v/>
      </c>
      <c r="J85" s="31">
        <f>IF(SUMIFS(Data!$L:$L,Data!$A:$A,$B85,Data!$C:$C,J$1)=0,"",SUMIFS(Data!$L:$L,Data!$A:$A,$B85,Data!$C:$C,J$1))</f>
        <v>2</v>
      </c>
      <c r="K85" s="31">
        <f>IF(SUMIFS(Data!$L:$L,Data!$A:$A,$B85,Data!$C:$C,K$1)=0,"",SUMIFS(Data!$L:$L,Data!$A:$A,$B85,Data!$C:$C,K$1))</f>
        <v>1.75</v>
      </c>
      <c r="L85" s="31" t="str">
        <f>IF(SUMIFS(Data!$L:$L,Data!$A:$A,$B85,Data!$C:$C,L$1)=0,"",SUMIFS(Data!$L:$L,Data!$A:$A,$B85,Data!$C:$C,L$1))</f>
        <v/>
      </c>
      <c r="M85" s="31" t="str">
        <f>IF(SUMIFS(Data!$L:$L,Data!$A:$A,$B85,Data!$C:$C,M$1)=0,"",SUMIFS(Data!$L:$L,Data!$A:$A,$B85,Data!$C:$C,M$1))</f>
        <v/>
      </c>
      <c r="N85" s="31" t="str">
        <f>IF(SUMIFS(Data!$L:$L,Data!$A:$A,$B85,Data!$C:$C,N$1)=0,"",SUMIFS(Data!$L:$L,Data!$A:$A,$B85,Data!$C:$C,N$1))</f>
        <v/>
      </c>
      <c r="O85" s="31" t="str">
        <f>IF(SUMIFS(Data!$L:$L,Data!$A:$A,$B85,Data!$C:$C,O$1)=0,"",SUMIFS(Data!$L:$L,Data!$A:$A,$B85,Data!$C:$C,O$1))</f>
        <v/>
      </c>
      <c r="P85" s="31" t="str">
        <f>IF(SUMIFS(Data!$L:$L,Data!$A:$A,$B85,Data!$C:$C,P$1)=0,"",SUMIFS(Data!$L:$L,Data!$A:$A,$B85,Data!$C:$C,P$1))</f>
        <v/>
      </c>
      <c r="Q85" s="31" t="str">
        <f>IF(SUMIFS(Data!$L:$L,Data!$A:$A,$B85,Data!$C:$C,Q$1)=0,"",SUMIFS(Data!$L:$L,Data!$A:$A,$B85,Data!$C:$C,Q$1))</f>
        <v/>
      </c>
      <c r="R85" s="31">
        <f>SUM(C85:Q85)</f>
        <v>13.25</v>
      </c>
    </row>
    <row r="86" spans="1:18" x14ac:dyDescent="0.35">
      <c r="A86" s="79">
        <v>85</v>
      </c>
      <c r="B86" s="30" t="s">
        <v>292</v>
      </c>
      <c r="C86" s="31">
        <f>IF(SUMIFS(Data!$L:$L,Data!$A:$A,$B86,Data!$C:$C,C$1)=0,"",SUMIFS(Data!$L:$L,Data!$A:$A,$B86,Data!$C:$C,C$1))</f>
        <v>1</v>
      </c>
      <c r="D86" s="31" t="str">
        <f>IF(SUMIFS(Data!$L:$L,Data!$A:$A,$B86,Data!$C:$C,D$1)=0,"",SUMIFS(Data!$L:$L,Data!$A:$A,$B86,Data!$C:$C,D$1))</f>
        <v/>
      </c>
      <c r="E86" s="31">
        <f>IF(SUMIFS(Data!$L:$L,Data!$A:$A,$B86,Data!$C:$C,E$1)=0,"",SUMIFS(Data!$L:$L,Data!$A:$A,$B86,Data!$C:$C,E$1))</f>
        <v>0.5</v>
      </c>
      <c r="F86" s="31">
        <f>IF(SUMIFS(Data!$L:$L,Data!$A:$A,$B86,Data!$C:$C,F$1)=0,"",SUMIFS(Data!$L:$L,Data!$A:$A,$B86,Data!$C:$C,F$1))</f>
        <v>0.5</v>
      </c>
      <c r="G86" s="31">
        <f>IF(SUMIFS(Data!$L:$L,Data!$A:$A,$B86,Data!$C:$C,G$1)=0,"",SUMIFS(Data!$L:$L,Data!$A:$A,$B86,Data!$C:$C,G$1))</f>
        <v>1</v>
      </c>
      <c r="H86" s="31">
        <f>IF(SUMIFS(Data!$L:$L,Data!$A:$A,$B86,Data!$C:$C,H$1)=0,"",SUMIFS(Data!$L:$L,Data!$A:$A,$B86,Data!$C:$C,H$1))</f>
        <v>1.25</v>
      </c>
      <c r="I86" s="31">
        <f>IF(SUMIFS(Data!$L:$L,Data!$A:$A,$B86,Data!$C:$C,I$1)=0,"",SUMIFS(Data!$L:$L,Data!$A:$A,$B86,Data!$C:$C,I$1))</f>
        <v>0.5</v>
      </c>
      <c r="J86" s="31">
        <f>IF(SUMIFS(Data!$L:$L,Data!$A:$A,$B86,Data!$C:$C,J$1)=0,"",SUMIFS(Data!$L:$L,Data!$A:$A,$B86,Data!$C:$C,J$1))</f>
        <v>1</v>
      </c>
      <c r="K86" s="31">
        <f>IF(SUMIFS(Data!$L:$L,Data!$A:$A,$B86,Data!$C:$C,K$1)=0,"",SUMIFS(Data!$L:$L,Data!$A:$A,$B86,Data!$C:$C,K$1))</f>
        <v>1.25</v>
      </c>
      <c r="L86" s="31">
        <f>IF(SUMIFS(Data!$L:$L,Data!$A:$A,$B86,Data!$C:$C,L$1)=0,"",SUMIFS(Data!$L:$L,Data!$A:$A,$B86,Data!$C:$C,L$1))</f>
        <v>1</v>
      </c>
      <c r="M86" s="31">
        <f>IF(SUMIFS(Data!$L:$L,Data!$A:$A,$B86,Data!$C:$C,M$1)=0,"",SUMIFS(Data!$L:$L,Data!$A:$A,$B86,Data!$C:$C,M$1))</f>
        <v>1</v>
      </c>
      <c r="N86" s="31">
        <f>IF(SUMIFS(Data!$L:$L,Data!$A:$A,$B86,Data!$C:$C,N$1)=0,"",SUMIFS(Data!$L:$L,Data!$A:$A,$B86,Data!$C:$C,N$1))</f>
        <v>1.25</v>
      </c>
      <c r="O86" s="31">
        <f>IF(SUMIFS(Data!$L:$L,Data!$A:$A,$B86,Data!$C:$C,O$1)=0,"",SUMIFS(Data!$L:$L,Data!$A:$A,$B86,Data!$C:$C,O$1))</f>
        <v>1.75</v>
      </c>
      <c r="P86" s="31" t="str">
        <f>IF(SUMIFS(Data!$L:$L,Data!$A:$A,$B86,Data!$C:$C,P$1)=0,"",SUMIFS(Data!$L:$L,Data!$A:$A,$B86,Data!$C:$C,P$1))</f>
        <v/>
      </c>
      <c r="Q86" s="31">
        <f>IF(SUMIFS(Data!$L:$L,Data!$A:$A,$B86,Data!$C:$C,Q$1)=0,"",SUMIFS(Data!$L:$L,Data!$A:$A,$B86,Data!$C:$C,Q$1))</f>
        <v>1</v>
      </c>
      <c r="R86" s="31">
        <f>SUM(C86:Q86)</f>
        <v>13</v>
      </c>
    </row>
    <row r="87" spans="1:18" x14ac:dyDescent="0.35">
      <c r="A87" s="79">
        <v>86</v>
      </c>
      <c r="B87" s="30" t="s">
        <v>336</v>
      </c>
      <c r="C87" s="31">
        <f>IF(SUMIFS(Data!$L:$L,Data!$A:$A,$B87,Data!$C:$C,C$1)=0,"",SUMIFS(Data!$L:$L,Data!$A:$A,$B87,Data!$C:$C,C$1))</f>
        <v>1</v>
      </c>
      <c r="D87" s="31">
        <f>IF(SUMIFS(Data!$L:$L,Data!$A:$A,$B87,Data!$C:$C,D$1)=0,"",SUMIFS(Data!$L:$L,Data!$A:$A,$B87,Data!$C:$C,D$1))</f>
        <v>0.75</v>
      </c>
      <c r="E87" s="31">
        <f>IF(SUMIFS(Data!$L:$L,Data!$A:$A,$B87,Data!$C:$C,E$1)=0,"",SUMIFS(Data!$L:$L,Data!$A:$A,$B87,Data!$C:$C,E$1))</f>
        <v>0.75</v>
      </c>
      <c r="F87" s="31">
        <f>IF(SUMIFS(Data!$L:$L,Data!$A:$A,$B87,Data!$C:$C,F$1)=0,"",SUMIFS(Data!$L:$L,Data!$A:$A,$B87,Data!$C:$C,F$1))</f>
        <v>1</v>
      </c>
      <c r="G87" s="31">
        <f>IF(SUMIFS(Data!$L:$L,Data!$A:$A,$B87,Data!$C:$C,G$1)=0,"",SUMIFS(Data!$L:$L,Data!$A:$A,$B87,Data!$C:$C,G$1))</f>
        <v>1</v>
      </c>
      <c r="H87" s="31">
        <f>IF(SUMIFS(Data!$L:$L,Data!$A:$A,$B87,Data!$C:$C,H$1)=0,"",SUMIFS(Data!$L:$L,Data!$A:$A,$B87,Data!$C:$C,H$1))</f>
        <v>1</v>
      </c>
      <c r="I87" s="31">
        <f>IF(SUMIFS(Data!$L:$L,Data!$A:$A,$B87,Data!$C:$C,I$1)=0,"",SUMIFS(Data!$L:$L,Data!$A:$A,$B87,Data!$C:$C,I$1))</f>
        <v>0.5</v>
      </c>
      <c r="J87" s="31">
        <f>IF(SUMIFS(Data!$L:$L,Data!$A:$A,$B87,Data!$C:$C,J$1)=0,"",SUMIFS(Data!$L:$L,Data!$A:$A,$B87,Data!$C:$C,J$1))</f>
        <v>1</v>
      </c>
      <c r="K87" s="31">
        <f>IF(SUMIFS(Data!$L:$L,Data!$A:$A,$B87,Data!$C:$C,K$1)=0,"",SUMIFS(Data!$L:$L,Data!$A:$A,$B87,Data!$C:$C,K$1))</f>
        <v>0.25</v>
      </c>
      <c r="L87" s="31">
        <f>IF(SUMIFS(Data!$L:$L,Data!$A:$A,$B87,Data!$C:$C,L$1)=0,"",SUMIFS(Data!$L:$L,Data!$A:$A,$B87,Data!$C:$C,L$1))</f>
        <v>0.5</v>
      </c>
      <c r="M87" s="31">
        <f>IF(SUMIFS(Data!$L:$L,Data!$A:$A,$B87,Data!$C:$C,M$1)=0,"",SUMIFS(Data!$L:$L,Data!$A:$A,$B87,Data!$C:$C,M$1))</f>
        <v>1</v>
      </c>
      <c r="N87" s="31">
        <f>IF(SUMIFS(Data!$L:$L,Data!$A:$A,$B87,Data!$C:$C,N$1)=0,"",SUMIFS(Data!$L:$L,Data!$A:$A,$B87,Data!$C:$C,N$1))</f>
        <v>1</v>
      </c>
      <c r="O87" s="31">
        <f>IF(SUMIFS(Data!$L:$L,Data!$A:$A,$B87,Data!$C:$C,O$1)=0,"",SUMIFS(Data!$L:$L,Data!$A:$A,$B87,Data!$C:$C,O$1))</f>
        <v>1</v>
      </c>
      <c r="P87" s="31" t="str">
        <f>IF(SUMIFS(Data!$L:$L,Data!$A:$A,$B87,Data!$C:$C,P$1)=0,"",SUMIFS(Data!$L:$L,Data!$A:$A,$B87,Data!$C:$C,P$1))</f>
        <v/>
      </c>
      <c r="Q87" s="31">
        <f>IF(SUMIFS(Data!$L:$L,Data!$A:$A,$B87,Data!$C:$C,Q$1)=0,"",SUMIFS(Data!$L:$L,Data!$A:$A,$B87,Data!$C:$C,Q$1))</f>
        <v>0.75</v>
      </c>
      <c r="R87" s="31">
        <f>SUM(C87:Q87)</f>
        <v>11.5</v>
      </c>
    </row>
    <row r="88" spans="1:18" x14ac:dyDescent="0.35">
      <c r="A88" s="79">
        <v>87</v>
      </c>
      <c r="B88" s="30" t="s">
        <v>206</v>
      </c>
      <c r="C88" s="31" t="str">
        <f>IF(SUMIFS(Data!$L:$L,Data!$A:$A,$B88,Data!$C:$C,C$1)=0,"",SUMIFS(Data!$L:$L,Data!$A:$A,$B88,Data!$C:$C,C$1))</f>
        <v/>
      </c>
      <c r="D88" s="31" t="str">
        <f>IF(SUMIFS(Data!$L:$L,Data!$A:$A,$B88,Data!$C:$C,D$1)=0,"",SUMIFS(Data!$L:$L,Data!$A:$A,$B88,Data!$C:$C,D$1))</f>
        <v/>
      </c>
      <c r="E88" s="31" t="str">
        <f>IF(SUMIFS(Data!$L:$L,Data!$A:$A,$B88,Data!$C:$C,E$1)=0,"",SUMIFS(Data!$L:$L,Data!$A:$A,$B88,Data!$C:$C,E$1))</f>
        <v/>
      </c>
      <c r="F88" s="31">
        <f>IF(SUMIFS(Data!$L:$L,Data!$A:$A,$B88,Data!$C:$C,F$1)=0,"",SUMIFS(Data!$L:$L,Data!$A:$A,$B88,Data!$C:$C,F$1))</f>
        <v>3.25</v>
      </c>
      <c r="G88" s="31" t="str">
        <f>IF(SUMIFS(Data!$L:$L,Data!$A:$A,$B88,Data!$C:$C,G$1)=0,"",SUMIFS(Data!$L:$L,Data!$A:$A,$B88,Data!$C:$C,G$1))</f>
        <v/>
      </c>
      <c r="H88" s="31">
        <f>IF(SUMIFS(Data!$L:$L,Data!$A:$A,$B88,Data!$C:$C,H$1)=0,"",SUMIFS(Data!$L:$L,Data!$A:$A,$B88,Data!$C:$C,H$1))</f>
        <v>1.75</v>
      </c>
      <c r="I88" s="31">
        <f>IF(SUMIFS(Data!$L:$L,Data!$A:$A,$B88,Data!$C:$C,I$1)=0,"",SUMIFS(Data!$L:$L,Data!$A:$A,$B88,Data!$C:$C,I$1))</f>
        <v>2</v>
      </c>
      <c r="J88" s="31">
        <f>IF(SUMIFS(Data!$L:$L,Data!$A:$A,$B88,Data!$C:$C,J$1)=0,"",SUMIFS(Data!$L:$L,Data!$A:$A,$B88,Data!$C:$C,J$1))</f>
        <v>2</v>
      </c>
      <c r="K88" s="31">
        <f>IF(SUMIFS(Data!$L:$L,Data!$A:$A,$B88,Data!$C:$C,K$1)=0,"",SUMIFS(Data!$L:$L,Data!$A:$A,$B88,Data!$C:$C,K$1))</f>
        <v>2</v>
      </c>
      <c r="L88" s="31" t="str">
        <f>IF(SUMIFS(Data!$L:$L,Data!$A:$A,$B88,Data!$C:$C,L$1)=0,"",SUMIFS(Data!$L:$L,Data!$A:$A,$B88,Data!$C:$C,L$1))</f>
        <v/>
      </c>
      <c r="M88" s="31" t="str">
        <f>IF(SUMIFS(Data!$L:$L,Data!$A:$A,$B88,Data!$C:$C,M$1)=0,"",SUMIFS(Data!$L:$L,Data!$A:$A,$B88,Data!$C:$C,M$1))</f>
        <v/>
      </c>
      <c r="N88" s="31" t="str">
        <f>IF(SUMIFS(Data!$L:$L,Data!$A:$A,$B88,Data!$C:$C,N$1)=0,"",SUMIFS(Data!$L:$L,Data!$A:$A,$B88,Data!$C:$C,N$1))</f>
        <v/>
      </c>
      <c r="O88" s="31" t="str">
        <f>IF(SUMIFS(Data!$L:$L,Data!$A:$A,$B88,Data!$C:$C,O$1)=0,"",SUMIFS(Data!$L:$L,Data!$A:$A,$B88,Data!$C:$C,O$1))</f>
        <v/>
      </c>
      <c r="P88" s="31" t="str">
        <f>IF(SUMIFS(Data!$L:$L,Data!$A:$A,$B88,Data!$C:$C,P$1)=0,"",SUMIFS(Data!$L:$L,Data!$A:$A,$B88,Data!$C:$C,P$1))</f>
        <v/>
      </c>
      <c r="Q88" s="31" t="str">
        <f>IF(SUMIFS(Data!$L:$L,Data!$A:$A,$B88,Data!$C:$C,Q$1)=0,"",SUMIFS(Data!$L:$L,Data!$A:$A,$B88,Data!$C:$C,Q$1))</f>
        <v/>
      </c>
      <c r="R88" s="31">
        <f>SUM(C88:Q88)</f>
        <v>11</v>
      </c>
    </row>
    <row r="89" spans="1:18" x14ac:dyDescent="0.35">
      <c r="A89" s="79">
        <v>88</v>
      </c>
      <c r="B89" s="30" t="s">
        <v>373</v>
      </c>
      <c r="C89" s="31">
        <f>IF(SUMIFS(Data!$L:$L,Data!$A:$A,$B89,Data!$C:$C,C$1)=0,"",SUMIFS(Data!$L:$L,Data!$A:$A,$B89,Data!$C:$C,C$1))</f>
        <v>2.25</v>
      </c>
      <c r="D89" s="31">
        <f>IF(SUMIFS(Data!$L:$L,Data!$A:$A,$B89,Data!$C:$C,D$1)=0,"",SUMIFS(Data!$L:$L,Data!$A:$A,$B89,Data!$C:$C,D$1))</f>
        <v>3.5</v>
      </c>
      <c r="E89" s="31">
        <f>IF(SUMIFS(Data!$L:$L,Data!$A:$A,$B89,Data!$C:$C,E$1)=0,"",SUMIFS(Data!$L:$L,Data!$A:$A,$B89,Data!$C:$C,E$1))</f>
        <v>2</v>
      </c>
      <c r="F89" s="31">
        <f>IF(SUMIFS(Data!$L:$L,Data!$A:$A,$B89,Data!$C:$C,F$1)=0,"",SUMIFS(Data!$L:$L,Data!$A:$A,$B89,Data!$C:$C,F$1))</f>
        <v>3</v>
      </c>
      <c r="G89" s="31" t="str">
        <f>IF(SUMIFS(Data!$L:$L,Data!$A:$A,$B89,Data!$C:$C,G$1)=0,"",SUMIFS(Data!$L:$L,Data!$A:$A,$B89,Data!$C:$C,G$1))</f>
        <v/>
      </c>
      <c r="H89" s="31" t="str">
        <f>IF(SUMIFS(Data!$L:$L,Data!$A:$A,$B89,Data!$C:$C,H$1)=0,"",SUMIFS(Data!$L:$L,Data!$A:$A,$B89,Data!$C:$C,H$1))</f>
        <v/>
      </c>
      <c r="I89" s="31" t="str">
        <f>IF(SUMIFS(Data!$L:$L,Data!$A:$A,$B89,Data!$C:$C,I$1)=0,"",SUMIFS(Data!$L:$L,Data!$A:$A,$B89,Data!$C:$C,I$1))</f>
        <v/>
      </c>
      <c r="J89" s="31" t="str">
        <f>IF(SUMIFS(Data!$L:$L,Data!$A:$A,$B89,Data!$C:$C,J$1)=0,"",SUMIFS(Data!$L:$L,Data!$A:$A,$B89,Data!$C:$C,J$1))</f>
        <v/>
      </c>
      <c r="K89" s="31" t="str">
        <f>IF(SUMIFS(Data!$L:$L,Data!$A:$A,$B89,Data!$C:$C,K$1)=0,"",SUMIFS(Data!$L:$L,Data!$A:$A,$B89,Data!$C:$C,K$1))</f>
        <v/>
      </c>
      <c r="L89" s="31" t="str">
        <f>IF(SUMIFS(Data!$L:$L,Data!$A:$A,$B89,Data!$C:$C,L$1)=0,"",SUMIFS(Data!$L:$L,Data!$A:$A,$B89,Data!$C:$C,L$1))</f>
        <v/>
      </c>
      <c r="M89" s="31" t="str">
        <f>IF(SUMIFS(Data!$L:$L,Data!$A:$A,$B89,Data!$C:$C,M$1)=0,"",SUMIFS(Data!$L:$L,Data!$A:$A,$B89,Data!$C:$C,M$1))</f>
        <v/>
      </c>
      <c r="N89" s="31" t="str">
        <f>IF(SUMIFS(Data!$L:$L,Data!$A:$A,$B89,Data!$C:$C,N$1)=0,"",SUMIFS(Data!$L:$L,Data!$A:$A,$B89,Data!$C:$C,N$1))</f>
        <v/>
      </c>
      <c r="O89" s="31" t="str">
        <f>IF(SUMIFS(Data!$L:$L,Data!$A:$A,$B89,Data!$C:$C,O$1)=0,"",SUMIFS(Data!$L:$L,Data!$A:$A,$B89,Data!$C:$C,O$1))</f>
        <v/>
      </c>
      <c r="P89" s="31" t="str">
        <f>IF(SUMIFS(Data!$L:$L,Data!$A:$A,$B89,Data!$C:$C,P$1)=0,"",SUMIFS(Data!$L:$L,Data!$A:$A,$B89,Data!$C:$C,P$1))</f>
        <v/>
      </c>
      <c r="Q89" s="31" t="str">
        <f>IF(SUMIFS(Data!$L:$L,Data!$A:$A,$B89,Data!$C:$C,Q$1)=0,"",SUMIFS(Data!$L:$L,Data!$A:$A,$B89,Data!$C:$C,Q$1))</f>
        <v/>
      </c>
      <c r="R89" s="31">
        <f>SUM(C89:Q89)</f>
        <v>10.75</v>
      </c>
    </row>
    <row r="90" spans="1:18" x14ac:dyDescent="0.35">
      <c r="A90" s="79">
        <v>89</v>
      </c>
      <c r="B90" s="30" t="s">
        <v>125</v>
      </c>
      <c r="C90" s="31" t="str">
        <f>IF(SUMIFS(Data!$L:$L,Data!$A:$A,$B90,Data!$C:$C,C$1)=0,"",SUMIFS(Data!$L:$L,Data!$A:$A,$B90,Data!$C:$C,C$1))</f>
        <v/>
      </c>
      <c r="D90" s="31" t="str">
        <f>IF(SUMIFS(Data!$L:$L,Data!$A:$A,$B90,Data!$C:$C,D$1)=0,"",SUMIFS(Data!$L:$L,Data!$A:$A,$B90,Data!$C:$C,D$1))</f>
        <v/>
      </c>
      <c r="E90" s="31" t="str">
        <f>IF(SUMIFS(Data!$L:$L,Data!$A:$A,$B90,Data!$C:$C,E$1)=0,"",SUMIFS(Data!$L:$L,Data!$A:$A,$B90,Data!$C:$C,E$1))</f>
        <v/>
      </c>
      <c r="F90" s="31">
        <f>IF(SUMIFS(Data!$L:$L,Data!$A:$A,$B90,Data!$C:$C,F$1)=0,"",SUMIFS(Data!$L:$L,Data!$A:$A,$B90,Data!$C:$C,F$1))</f>
        <v>1</v>
      </c>
      <c r="G90" s="31">
        <f>IF(SUMIFS(Data!$L:$L,Data!$A:$A,$B90,Data!$C:$C,G$1)=0,"",SUMIFS(Data!$L:$L,Data!$A:$A,$B90,Data!$C:$C,G$1))</f>
        <v>1.25</v>
      </c>
      <c r="H90" s="31">
        <f>IF(SUMIFS(Data!$L:$L,Data!$A:$A,$B90,Data!$C:$C,H$1)=0,"",SUMIFS(Data!$L:$L,Data!$A:$A,$B90,Data!$C:$C,H$1))</f>
        <v>0.5</v>
      </c>
      <c r="I90" s="31">
        <f>IF(SUMIFS(Data!$L:$L,Data!$A:$A,$B90,Data!$C:$C,I$1)=0,"",SUMIFS(Data!$L:$L,Data!$A:$A,$B90,Data!$C:$C,I$1))</f>
        <v>1.25</v>
      </c>
      <c r="J90" s="31">
        <f>IF(SUMIFS(Data!$L:$L,Data!$A:$A,$B90,Data!$C:$C,J$1)=0,"",SUMIFS(Data!$L:$L,Data!$A:$A,$B90,Data!$C:$C,J$1))</f>
        <v>0.5</v>
      </c>
      <c r="K90" s="31" t="str">
        <f>IF(SUMIFS(Data!$L:$L,Data!$A:$A,$B90,Data!$C:$C,K$1)=0,"",SUMIFS(Data!$L:$L,Data!$A:$A,$B90,Data!$C:$C,K$1))</f>
        <v/>
      </c>
      <c r="L90" s="31" t="str">
        <f>IF(SUMIFS(Data!$L:$L,Data!$A:$A,$B90,Data!$C:$C,L$1)=0,"",SUMIFS(Data!$L:$L,Data!$A:$A,$B90,Data!$C:$C,L$1))</f>
        <v/>
      </c>
      <c r="M90" s="31">
        <f>IF(SUMIFS(Data!$L:$L,Data!$A:$A,$B90,Data!$C:$C,M$1)=0,"",SUMIFS(Data!$L:$L,Data!$A:$A,$B90,Data!$C:$C,M$1))</f>
        <v>2.25</v>
      </c>
      <c r="N90" s="31">
        <f>IF(SUMIFS(Data!$L:$L,Data!$A:$A,$B90,Data!$C:$C,N$1)=0,"",SUMIFS(Data!$L:$L,Data!$A:$A,$B90,Data!$C:$C,N$1))</f>
        <v>1.75</v>
      </c>
      <c r="O90" s="31" t="str">
        <f>IF(SUMIFS(Data!$L:$L,Data!$A:$A,$B90,Data!$C:$C,O$1)=0,"",SUMIFS(Data!$L:$L,Data!$A:$A,$B90,Data!$C:$C,O$1))</f>
        <v/>
      </c>
      <c r="P90" s="31" t="str">
        <f>IF(SUMIFS(Data!$L:$L,Data!$A:$A,$B90,Data!$C:$C,P$1)=0,"",SUMIFS(Data!$L:$L,Data!$A:$A,$B90,Data!$C:$C,P$1))</f>
        <v/>
      </c>
      <c r="Q90" s="31">
        <f>IF(SUMIFS(Data!$L:$L,Data!$A:$A,$B90,Data!$C:$C,Q$1)=0,"",SUMIFS(Data!$L:$L,Data!$A:$A,$B90,Data!$C:$C,Q$1))</f>
        <v>1.5</v>
      </c>
      <c r="R90" s="31">
        <f>SUM(C90:Q90)</f>
        <v>10</v>
      </c>
    </row>
    <row r="91" spans="1:18" x14ac:dyDescent="0.35">
      <c r="A91" s="79">
        <v>90</v>
      </c>
      <c r="B91" s="30" t="s">
        <v>448</v>
      </c>
      <c r="C91" s="31" t="str">
        <f>IF(SUMIFS(Data!$L:$L,Data!$A:$A,$B91,Data!$C:$C,C$1)=0,"",SUMIFS(Data!$L:$L,Data!$A:$A,$B91,Data!$C:$C,C$1))</f>
        <v/>
      </c>
      <c r="D91" s="31" t="str">
        <f>IF(SUMIFS(Data!$L:$L,Data!$A:$A,$B91,Data!$C:$C,D$1)=0,"",SUMIFS(Data!$L:$L,Data!$A:$A,$B91,Data!$C:$C,D$1))</f>
        <v/>
      </c>
      <c r="E91" s="31" t="str">
        <f>IF(SUMIFS(Data!$L:$L,Data!$A:$A,$B91,Data!$C:$C,E$1)=0,"",SUMIFS(Data!$L:$L,Data!$A:$A,$B91,Data!$C:$C,E$1))</f>
        <v/>
      </c>
      <c r="F91" s="31" t="str">
        <f>IF(SUMIFS(Data!$L:$L,Data!$A:$A,$B91,Data!$C:$C,F$1)=0,"",SUMIFS(Data!$L:$L,Data!$A:$A,$B91,Data!$C:$C,F$1))</f>
        <v/>
      </c>
      <c r="G91" s="31" t="str">
        <f>IF(SUMIFS(Data!$L:$L,Data!$A:$A,$B91,Data!$C:$C,G$1)=0,"",SUMIFS(Data!$L:$L,Data!$A:$A,$B91,Data!$C:$C,G$1))</f>
        <v/>
      </c>
      <c r="H91" s="31">
        <f>IF(SUMIFS(Data!$L:$L,Data!$A:$A,$B91,Data!$C:$C,H$1)=0,"",SUMIFS(Data!$L:$L,Data!$A:$A,$B91,Data!$C:$C,H$1))</f>
        <v>0.5</v>
      </c>
      <c r="I91" s="31">
        <f>IF(SUMIFS(Data!$L:$L,Data!$A:$A,$B91,Data!$C:$C,I$1)=0,"",SUMIFS(Data!$L:$L,Data!$A:$A,$B91,Data!$C:$C,I$1))</f>
        <v>1</v>
      </c>
      <c r="J91" s="31">
        <f>IF(SUMIFS(Data!$L:$L,Data!$A:$A,$B91,Data!$C:$C,J$1)=0,"",SUMIFS(Data!$L:$L,Data!$A:$A,$B91,Data!$C:$C,J$1))</f>
        <v>0.5</v>
      </c>
      <c r="K91" s="31">
        <f>IF(SUMIFS(Data!$L:$L,Data!$A:$A,$B91,Data!$C:$C,K$1)=0,"",SUMIFS(Data!$L:$L,Data!$A:$A,$B91,Data!$C:$C,K$1))</f>
        <v>0.75</v>
      </c>
      <c r="L91" s="31">
        <f>IF(SUMIFS(Data!$L:$L,Data!$A:$A,$B91,Data!$C:$C,L$1)=0,"",SUMIFS(Data!$L:$L,Data!$A:$A,$B91,Data!$C:$C,L$1))</f>
        <v>1.25</v>
      </c>
      <c r="M91" s="31">
        <f>IF(SUMIFS(Data!$L:$L,Data!$A:$A,$B91,Data!$C:$C,M$1)=0,"",SUMIFS(Data!$L:$L,Data!$A:$A,$B91,Data!$C:$C,M$1))</f>
        <v>1.25</v>
      </c>
      <c r="N91" s="31">
        <f>IF(SUMIFS(Data!$L:$L,Data!$A:$A,$B91,Data!$C:$C,N$1)=0,"",SUMIFS(Data!$L:$L,Data!$A:$A,$B91,Data!$C:$C,N$1))</f>
        <v>0.75</v>
      </c>
      <c r="O91" s="31">
        <f>IF(SUMIFS(Data!$L:$L,Data!$A:$A,$B91,Data!$C:$C,O$1)=0,"",SUMIFS(Data!$L:$L,Data!$A:$A,$B91,Data!$C:$C,O$1))</f>
        <v>1</v>
      </c>
      <c r="P91" s="31" t="str">
        <f>IF(SUMIFS(Data!$L:$L,Data!$A:$A,$B91,Data!$C:$C,P$1)=0,"",SUMIFS(Data!$L:$L,Data!$A:$A,$B91,Data!$C:$C,P$1))</f>
        <v/>
      </c>
      <c r="Q91" s="31">
        <f>IF(SUMIFS(Data!$L:$L,Data!$A:$A,$B91,Data!$C:$C,Q$1)=0,"",SUMIFS(Data!$L:$L,Data!$A:$A,$B91,Data!$C:$C,Q$1))</f>
        <v>1.25</v>
      </c>
      <c r="R91" s="31">
        <f>SUM(C91:Q91)</f>
        <v>8.25</v>
      </c>
    </row>
    <row r="92" spans="1:18" x14ac:dyDescent="0.35">
      <c r="A92" s="79">
        <v>91</v>
      </c>
      <c r="B92" s="30" t="s">
        <v>469</v>
      </c>
      <c r="C92" s="31" t="str">
        <f>IF(SUMIFS(Data!$L:$L,Data!$A:$A,$B92,Data!$C:$C,C$1)=0,"",SUMIFS(Data!$L:$L,Data!$A:$A,$B92,Data!$C:$C,C$1))</f>
        <v/>
      </c>
      <c r="D92" s="31" t="str">
        <f>IF(SUMIFS(Data!$L:$L,Data!$A:$A,$B92,Data!$C:$C,D$1)=0,"",SUMIFS(Data!$L:$L,Data!$A:$A,$B92,Data!$C:$C,D$1))</f>
        <v/>
      </c>
      <c r="E92" s="31" t="str">
        <f>IF(SUMIFS(Data!$L:$L,Data!$A:$A,$B92,Data!$C:$C,E$1)=0,"",SUMIFS(Data!$L:$L,Data!$A:$A,$B92,Data!$C:$C,E$1))</f>
        <v/>
      </c>
      <c r="F92" s="31" t="str">
        <f>IF(SUMIFS(Data!$L:$L,Data!$A:$A,$B92,Data!$C:$C,F$1)=0,"",SUMIFS(Data!$L:$L,Data!$A:$A,$B92,Data!$C:$C,F$1))</f>
        <v/>
      </c>
      <c r="G92" s="31" t="str">
        <f>IF(SUMIFS(Data!$L:$L,Data!$A:$A,$B92,Data!$C:$C,G$1)=0,"",SUMIFS(Data!$L:$L,Data!$A:$A,$B92,Data!$C:$C,G$1))</f>
        <v/>
      </c>
      <c r="H92" s="31" t="str">
        <f>IF(SUMIFS(Data!$L:$L,Data!$A:$A,$B92,Data!$C:$C,H$1)=0,"",SUMIFS(Data!$L:$L,Data!$A:$A,$B92,Data!$C:$C,H$1))</f>
        <v/>
      </c>
      <c r="I92" s="31" t="str">
        <f>IF(SUMIFS(Data!$L:$L,Data!$A:$A,$B92,Data!$C:$C,I$1)=0,"",SUMIFS(Data!$L:$L,Data!$A:$A,$B92,Data!$C:$C,I$1))</f>
        <v/>
      </c>
      <c r="J92" s="31">
        <f>IF(SUMIFS(Data!$L:$L,Data!$A:$A,$B92,Data!$C:$C,J$1)=0,"",SUMIFS(Data!$L:$L,Data!$A:$A,$B92,Data!$C:$C,J$1))</f>
        <v>2.5</v>
      </c>
      <c r="K92" s="31" t="str">
        <f>IF(SUMIFS(Data!$L:$L,Data!$A:$A,$B92,Data!$C:$C,K$1)=0,"",SUMIFS(Data!$L:$L,Data!$A:$A,$B92,Data!$C:$C,K$1))</f>
        <v/>
      </c>
      <c r="L92" s="31">
        <f>IF(SUMIFS(Data!$L:$L,Data!$A:$A,$B92,Data!$C:$C,L$1)=0,"",SUMIFS(Data!$L:$L,Data!$A:$A,$B92,Data!$C:$C,L$1))</f>
        <v>1.75</v>
      </c>
      <c r="M92" s="31" t="str">
        <f>IF(SUMIFS(Data!$L:$L,Data!$A:$A,$B92,Data!$C:$C,M$1)=0,"",SUMIFS(Data!$L:$L,Data!$A:$A,$B92,Data!$C:$C,M$1))</f>
        <v/>
      </c>
      <c r="N92" s="31" t="str">
        <f>IF(SUMIFS(Data!$L:$L,Data!$A:$A,$B92,Data!$C:$C,N$1)=0,"",SUMIFS(Data!$L:$L,Data!$A:$A,$B92,Data!$C:$C,N$1))</f>
        <v/>
      </c>
      <c r="O92" s="31">
        <f>IF(SUMIFS(Data!$L:$L,Data!$A:$A,$B92,Data!$C:$C,O$1)=0,"",SUMIFS(Data!$L:$L,Data!$A:$A,$B92,Data!$C:$C,O$1))</f>
        <v>2</v>
      </c>
      <c r="P92" s="31" t="str">
        <f>IF(SUMIFS(Data!$L:$L,Data!$A:$A,$B92,Data!$C:$C,P$1)=0,"",SUMIFS(Data!$L:$L,Data!$A:$A,$B92,Data!$C:$C,P$1))</f>
        <v/>
      </c>
      <c r="Q92" s="31">
        <f>IF(SUMIFS(Data!$L:$L,Data!$A:$A,$B92,Data!$C:$C,Q$1)=0,"",SUMIFS(Data!$L:$L,Data!$A:$A,$B92,Data!$C:$C,Q$1))</f>
        <v>2</v>
      </c>
      <c r="R92" s="31">
        <f>SUM(C92:Q92)</f>
        <v>8.25</v>
      </c>
    </row>
    <row r="93" spans="1:18" x14ac:dyDescent="0.35">
      <c r="A93" s="79">
        <v>92</v>
      </c>
      <c r="B93" s="30" t="s">
        <v>392</v>
      </c>
      <c r="C93" s="31" t="str">
        <f>IF(SUMIFS(Data!$L:$L,Data!$A:$A,$B93,Data!$C:$C,C$1)=0,"",SUMIFS(Data!$L:$L,Data!$A:$A,$B93,Data!$C:$C,C$1))</f>
        <v/>
      </c>
      <c r="D93" s="31" t="str">
        <f>IF(SUMIFS(Data!$L:$L,Data!$A:$A,$B93,Data!$C:$C,D$1)=0,"",SUMIFS(Data!$L:$L,Data!$A:$A,$B93,Data!$C:$C,D$1))</f>
        <v/>
      </c>
      <c r="E93" s="31">
        <f>IF(SUMIFS(Data!$L:$L,Data!$A:$A,$B93,Data!$C:$C,E$1)=0,"",SUMIFS(Data!$L:$L,Data!$A:$A,$B93,Data!$C:$C,E$1))</f>
        <v>1.5</v>
      </c>
      <c r="F93" s="31" t="str">
        <f>IF(SUMIFS(Data!$L:$L,Data!$A:$A,$B93,Data!$C:$C,F$1)=0,"",SUMIFS(Data!$L:$L,Data!$A:$A,$B93,Data!$C:$C,F$1))</f>
        <v/>
      </c>
      <c r="G93" s="31">
        <f>IF(SUMIFS(Data!$L:$L,Data!$A:$A,$B93,Data!$C:$C,G$1)=0,"",SUMIFS(Data!$L:$L,Data!$A:$A,$B93,Data!$C:$C,G$1))</f>
        <v>2.25</v>
      </c>
      <c r="H93" s="31">
        <f>IF(SUMIFS(Data!$L:$L,Data!$A:$A,$B93,Data!$C:$C,H$1)=0,"",SUMIFS(Data!$L:$L,Data!$A:$A,$B93,Data!$C:$C,H$1))</f>
        <v>2</v>
      </c>
      <c r="I93" s="31">
        <f>IF(SUMIFS(Data!$L:$L,Data!$A:$A,$B93,Data!$C:$C,I$1)=0,"",SUMIFS(Data!$L:$L,Data!$A:$A,$B93,Data!$C:$C,I$1))</f>
        <v>2</v>
      </c>
      <c r="J93" s="31" t="str">
        <f>IF(SUMIFS(Data!$L:$L,Data!$A:$A,$B93,Data!$C:$C,J$1)=0,"",SUMIFS(Data!$L:$L,Data!$A:$A,$B93,Data!$C:$C,J$1))</f>
        <v/>
      </c>
      <c r="K93" s="31" t="str">
        <f>IF(SUMIFS(Data!$L:$L,Data!$A:$A,$B93,Data!$C:$C,K$1)=0,"",SUMIFS(Data!$L:$L,Data!$A:$A,$B93,Data!$C:$C,K$1))</f>
        <v/>
      </c>
      <c r="L93" s="31" t="str">
        <f>IF(SUMIFS(Data!$L:$L,Data!$A:$A,$B93,Data!$C:$C,L$1)=0,"",SUMIFS(Data!$L:$L,Data!$A:$A,$B93,Data!$C:$C,L$1))</f>
        <v/>
      </c>
      <c r="M93" s="31" t="str">
        <f>IF(SUMIFS(Data!$L:$L,Data!$A:$A,$B93,Data!$C:$C,M$1)=0,"",SUMIFS(Data!$L:$L,Data!$A:$A,$B93,Data!$C:$C,M$1))</f>
        <v/>
      </c>
      <c r="N93" s="31" t="str">
        <f>IF(SUMIFS(Data!$L:$L,Data!$A:$A,$B93,Data!$C:$C,N$1)=0,"",SUMIFS(Data!$L:$L,Data!$A:$A,$B93,Data!$C:$C,N$1))</f>
        <v/>
      </c>
      <c r="O93" s="31" t="str">
        <f>IF(SUMIFS(Data!$L:$L,Data!$A:$A,$B93,Data!$C:$C,O$1)=0,"",SUMIFS(Data!$L:$L,Data!$A:$A,$B93,Data!$C:$C,O$1))</f>
        <v/>
      </c>
      <c r="P93" s="31" t="str">
        <f>IF(SUMIFS(Data!$L:$L,Data!$A:$A,$B93,Data!$C:$C,P$1)=0,"",SUMIFS(Data!$L:$L,Data!$A:$A,$B93,Data!$C:$C,P$1))</f>
        <v/>
      </c>
      <c r="Q93" s="31" t="str">
        <f>IF(SUMIFS(Data!$L:$L,Data!$A:$A,$B93,Data!$C:$C,Q$1)=0,"",SUMIFS(Data!$L:$L,Data!$A:$A,$B93,Data!$C:$C,Q$1))</f>
        <v/>
      </c>
      <c r="R93" s="31">
        <f>SUM(C93:Q93)</f>
        <v>7.75</v>
      </c>
    </row>
    <row r="94" spans="1:18" x14ac:dyDescent="0.35">
      <c r="A94" s="79">
        <v>93</v>
      </c>
      <c r="B94" s="30" t="s">
        <v>337</v>
      </c>
      <c r="C94" s="31">
        <f>IF(SUMIFS(Data!$L:$L,Data!$A:$A,$B94,Data!$C:$C,C$1)=0,"",SUMIFS(Data!$L:$L,Data!$A:$A,$B94,Data!$C:$C,C$1))</f>
        <v>3.5</v>
      </c>
      <c r="D94" s="31">
        <f>IF(SUMIFS(Data!$L:$L,Data!$A:$A,$B94,Data!$C:$C,D$1)=0,"",SUMIFS(Data!$L:$L,Data!$A:$A,$B94,Data!$C:$C,D$1))</f>
        <v>4</v>
      </c>
      <c r="E94" s="31" t="str">
        <f>IF(SUMIFS(Data!$L:$L,Data!$A:$A,$B94,Data!$C:$C,E$1)=0,"",SUMIFS(Data!$L:$L,Data!$A:$A,$B94,Data!$C:$C,E$1))</f>
        <v/>
      </c>
      <c r="F94" s="31" t="str">
        <f>IF(SUMIFS(Data!$L:$L,Data!$A:$A,$B94,Data!$C:$C,F$1)=0,"",SUMIFS(Data!$L:$L,Data!$A:$A,$B94,Data!$C:$C,F$1))</f>
        <v/>
      </c>
      <c r="G94" s="31" t="str">
        <f>IF(SUMIFS(Data!$L:$L,Data!$A:$A,$B94,Data!$C:$C,G$1)=0,"",SUMIFS(Data!$L:$L,Data!$A:$A,$B94,Data!$C:$C,G$1))</f>
        <v/>
      </c>
      <c r="H94" s="31" t="str">
        <f>IF(SUMIFS(Data!$L:$L,Data!$A:$A,$B94,Data!$C:$C,H$1)=0,"",SUMIFS(Data!$L:$L,Data!$A:$A,$B94,Data!$C:$C,H$1))</f>
        <v/>
      </c>
      <c r="I94" s="31" t="str">
        <f>IF(SUMIFS(Data!$L:$L,Data!$A:$A,$B94,Data!$C:$C,I$1)=0,"",SUMIFS(Data!$L:$L,Data!$A:$A,$B94,Data!$C:$C,I$1))</f>
        <v/>
      </c>
      <c r="J94" s="31" t="str">
        <f>IF(SUMIFS(Data!$L:$L,Data!$A:$A,$B94,Data!$C:$C,J$1)=0,"",SUMIFS(Data!$L:$L,Data!$A:$A,$B94,Data!$C:$C,J$1))</f>
        <v/>
      </c>
      <c r="K94" s="31" t="str">
        <f>IF(SUMIFS(Data!$L:$L,Data!$A:$A,$B94,Data!$C:$C,K$1)=0,"",SUMIFS(Data!$L:$L,Data!$A:$A,$B94,Data!$C:$C,K$1))</f>
        <v/>
      </c>
      <c r="L94" s="31" t="str">
        <f>IF(SUMIFS(Data!$L:$L,Data!$A:$A,$B94,Data!$C:$C,L$1)=0,"",SUMIFS(Data!$L:$L,Data!$A:$A,$B94,Data!$C:$C,L$1))</f>
        <v/>
      </c>
      <c r="M94" s="31" t="str">
        <f>IF(SUMIFS(Data!$L:$L,Data!$A:$A,$B94,Data!$C:$C,M$1)=0,"",SUMIFS(Data!$L:$L,Data!$A:$A,$B94,Data!$C:$C,M$1))</f>
        <v/>
      </c>
      <c r="N94" s="31" t="str">
        <f>IF(SUMIFS(Data!$L:$L,Data!$A:$A,$B94,Data!$C:$C,N$1)=0,"",SUMIFS(Data!$L:$L,Data!$A:$A,$B94,Data!$C:$C,N$1))</f>
        <v/>
      </c>
      <c r="O94" s="31" t="str">
        <f>IF(SUMIFS(Data!$L:$L,Data!$A:$A,$B94,Data!$C:$C,O$1)=0,"",SUMIFS(Data!$L:$L,Data!$A:$A,$B94,Data!$C:$C,O$1))</f>
        <v/>
      </c>
      <c r="P94" s="31" t="str">
        <f>IF(SUMIFS(Data!$L:$L,Data!$A:$A,$B94,Data!$C:$C,P$1)=0,"",SUMIFS(Data!$L:$L,Data!$A:$A,$B94,Data!$C:$C,P$1))</f>
        <v/>
      </c>
      <c r="Q94" s="31" t="str">
        <f>IF(SUMIFS(Data!$L:$L,Data!$A:$A,$B94,Data!$C:$C,Q$1)=0,"",SUMIFS(Data!$L:$L,Data!$A:$A,$B94,Data!$C:$C,Q$1))</f>
        <v/>
      </c>
      <c r="R94" s="31">
        <f>SUM(C94:Q94)</f>
        <v>7.5</v>
      </c>
    </row>
    <row r="95" spans="1:18" x14ac:dyDescent="0.35">
      <c r="A95" s="79">
        <v>94</v>
      </c>
      <c r="B95" s="30" t="s">
        <v>380</v>
      </c>
      <c r="C95" s="31" t="str">
        <f>IF(SUMIFS(Data!$L:$L,Data!$A:$A,$B95,Data!$C:$C,C$1)=0,"",SUMIFS(Data!$L:$L,Data!$A:$A,$B95,Data!$C:$C,C$1))</f>
        <v/>
      </c>
      <c r="D95" s="31">
        <f>IF(SUMIFS(Data!$L:$L,Data!$A:$A,$B95,Data!$C:$C,D$1)=0,"",SUMIFS(Data!$L:$L,Data!$A:$A,$B95,Data!$C:$C,D$1))</f>
        <v>1.5</v>
      </c>
      <c r="E95" s="31" t="str">
        <f>IF(SUMIFS(Data!$L:$L,Data!$A:$A,$B95,Data!$C:$C,E$1)=0,"",SUMIFS(Data!$L:$L,Data!$A:$A,$B95,Data!$C:$C,E$1))</f>
        <v/>
      </c>
      <c r="F95" s="31" t="str">
        <f>IF(SUMIFS(Data!$L:$L,Data!$A:$A,$B95,Data!$C:$C,F$1)=0,"",SUMIFS(Data!$L:$L,Data!$A:$A,$B95,Data!$C:$C,F$1))</f>
        <v/>
      </c>
      <c r="G95" s="31" t="str">
        <f>IF(SUMIFS(Data!$L:$L,Data!$A:$A,$B95,Data!$C:$C,G$1)=0,"",SUMIFS(Data!$L:$L,Data!$A:$A,$B95,Data!$C:$C,G$1))</f>
        <v/>
      </c>
      <c r="H95" s="31" t="str">
        <f>IF(SUMIFS(Data!$L:$L,Data!$A:$A,$B95,Data!$C:$C,H$1)=0,"",SUMIFS(Data!$L:$L,Data!$A:$A,$B95,Data!$C:$C,H$1))</f>
        <v/>
      </c>
      <c r="I95" s="31" t="str">
        <f>IF(SUMIFS(Data!$L:$L,Data!$A:$A,$B95,Data!$C:$C,I$1)=0,"",SUMIFS(Data!$L:$L,Data!$A:$A,$B95,Data!$C:$C,I$1))</f>
        <v/>
      </c>
      <c r="J95" s="31">
        <f>IF(SUMIFS(Data!$L:$L,Data!$A:$A,$B95,Data!$C:$C,J$1)=0,"",SUMIFS(Data!$L:$L,Data!$A:$A,$B95,Data!$C:$C,J$1))</f>
        <v>2.5</v>
      </c>
      <c r="K95" s="31" t="str">
        <f>IF(SUMIFS(Data!$L:$L,Data!$A:$A,$B95,Data!$C:$C,K$1)=0,"",SUMIFS(Data!$L:$L,Data!$A:$A,$B95,Data!$C:$C,K$1))</f>
        <v/>
      </c>
      <c r="L95" s="31" t="str">
        <f>IF(SUMIFS(Data!$L:$L,Data!$A:$A,$B95,Data!$C:$C,L$1)=0,"",SUMIFS(Data!$L:$L,Data!$A:$A,$B95,Data!$C:$C,L$1))</f>
        <v/>
      </c>
      <c r="M95" s="31" t="str">
        <f>IF(SUMIFS(Data!$L:$L,Data!$A:$A,$B95,Data!$C:$C,M$1)=0,"",SUMIFS(Data!$L:$L,Data!$A:$A,$B95,Data!$C:$C,M$1))</f>
        <v/>
      </c>
      <c r="N95" s="31">
        <f>IF(SUMIFS(Data!$L:$L,Data!$A:$A,$B95,Data!$C:$C,N$1)=0,"",SUMIFS(Data!$L:$L,Data!$A:$A,$B95,Data!$C:$C,N$1))</f>
        <v>3</v>
      </c>
      <c r="O95" s="31" t="str">
        <f>IF(SUMIFS(Data!$L:$L,Data!$A:$A,$B95,Data!$C:$C,O$1)=0,"",SUMIFS(Data!$L:$L,Data!$A:$A,$B95,Data!$C:$C,O$1))</f>
        <v/>
      </c>
      <c r="P95" s="31" t="str">
        <f>IF(SUMIFS(Data!$L:$L,Data!$A:$A,$B95,Data!$C:$C,P$1)=0,"",SUMIFS(Data!$L:$L,Data!$A:$A,$B95,Data!$C:$C,P$1))</f>
        <v/>
      </c>
      <c r="Q95" s="31" t="str">
        <f>IF(SUMIFS(Data!$L:$L,Data!$A:$A,$B95,Data!$C:$C,Q$1)=0,"",SUMIFS(Data!$L:$L,Data!$A:$A,$B95,Data!$C:$C,Q$1))</f>
        <v/>
      </c>
      <c r="R95" s="31">
        <f>SUM(C95:Q95)</f>
        <v>7</v>
      </c>
    </row>
    <row r="96" spans="1:18" x14ac:dyDescent="0.35">
      <c r="A96" s="79">
        <v>95</v>
      </c>
      <c r="B96" s="30" t="s">
        <v>393</v>
      </c>
      <c r="C96" s="31" t="str">
        <f>IF(SUMIFS(Data!$L:$L,Data!$A:$A,$B96,Data!$C:$C,C$1)=0,"",SUMIFS(Data!$L:$L,Data!$A:$A,$B96,Data!$C:$C,C$1))</f>
        <v/>
      </c>
      <c r="D96" s="31" t="str">
        <f>IF(SUMIFS(Data!$L:$L,Data!$A:$A,$B96,Data!$C:$C,D$1)=0,"",SUMIFS(Data!$L:$L,Data!$A:$A,$B96,Data!$C:$C,D$1))</f>
        <v/>
      </c>
      <c r="E96" s="31">
        <f>IF(SUMIFS(Data!$L:$L,Data!$A:$A,$B96,Data!$C:$C,E$1)=0,"",SUMIFS(Data!$L:$L,Data!$A:$A,$B96,Data!$C:$C,E$1))</f>
        <v>2.5</v>
      </c>
      <c r="F96" s="31" t="str">
        <f>IF(SUMIFS(Data!$L:$L,Data!$A:$A,$B96,Data!$C:$C,F$1)=0,"",SUMIFS(Data!$L:$L,Data!$A:$A,$B96,Data!$C:$C,F$1))</f>
        <v/>
      </c>
      <c r="G96" s="31" t="str">
        <f>IF(SUMIFS(Data!$L:$L,Data!$A:$A,$B96,Data!$C:$C,G$1)=0,"",SUMIFS(Data!$L:$L,Data!$A:$A,$B96,Data!$C:$C,G$1))</f>
        <v/>
      </c>
      <c r="H96" s="31" t="str">
        <f>IF(SUMIFS(Data!$L:$L,Data!$A:$A,$B96,Data!$C:$C,H$1)=0,"",SUMIFS(Data!$L:$L,Data!$A:$A,$B96,Data!$C:$C,H$1))</f>
        <v/>
      </c>
      <c r="I96" s="31" t="str">
        <f>IF(SUMIFS(Data!$L:$L,Data!$A:$A,$B96,Data!$C:$C,I$1)=0,"",SUMIFS(Data!$L:$L,Data!$A:$A,$B96,Data!$C:$C,I$1))</f>
        <v/>
      </c>
      <c r="J96" s="31" t="str">
        <f>IF(SUMIFS(Data!$L:$L,Data!$A:$A,$B96,Data!$C:$C,J$1)=0,"",SUMIFS(Data!$L:$L,Data!$A:$A,$B96,Data!$C:$C,J$1))</f>
        <v/>
      </c>
      <c r="K96" s="31" t="str">
        <f>IF(SUMIFS(Data!$L:$L,Data!$A:$A,$B96,Data!$C:$C,K$1)=0,"",SUMIFS(Data!$L:$L,Data!$A:$A,$B96,Data!$C:$C,K$1))</f>
        <v/>
      </c>
      <c r="L96" s="31">
        <f>IF(SUMIFS(Data!$L:$L,Data!$A:$A,$B96,Data!$C:$C,L$1)=0,"",SUMIFS(Data!$L:$L,Data!$A:$A,$B96,Data!$C:$C,L$1))</f>
        <v>3</v>
      </c>
      <c r="M96" s="31" t="str">
        <f>IF(SUMIFS(Data!$L:$L,Data!$A:$A,$B96,Data!$C:$C,M$1)=0,"",SUMIFS(Data!$L:$L,Data!$A:$A,$B96,Data!$C:$C,M$1))</f>
        <v/>
      </c>
      <c r="N96" s="31" t="str">
        <f>IF(SUMIFS(Data!$L:$L,Data!$A:$A,$B96,Data!$C:$C,N$1)=0,"",SUMIFS(Data!$L:$L,Data!$A:$A,$B96,Data!$C:$C,N$1))</f>
        <v/>
      </c>
      <c r="O96" s="31">
        <f>IF(SUMIFS(Data!$L:$L,Data!$A:$A,$B96,Data!$C:$C,O$1)=0,"",SUMIFS(Data!$L:$L,Data!$A:$A,$B96,Data!$C:$C,O$1))</f>
        <v>1.5</v>
      </c>
      <c r="P96" s="31" t="str">
        <f>IF(SUMIFS(Data!$L:$L,Data!$A:$A,$B96,Data!$C:$C,P$1)=0,"",SUMIFS(Data!$L:$L,Data!$A:$A,$B96,Data!$C:$C,P$1))</f>
        <v/>
      </c>
      <c r="Q96" s="31" t="str">
        <f>IF(SUMIFS(Data!$L:$L,Data!$A:$A,$B96,Data!$C:$C,Q$1)=0,"",SUMIFS(Data!$L:$L,Data!$A:$A,$B96,Data!$C:$C,Q$1))</f>
        <v/>
      </c>
      <c r="R96" s="31">
        <f>SUM(C96:Q96)</f>
        <v>7</v>
      </c>
    </row>
    <row r="97" spans="1:18" x14ac:dyDescent="0.35">
      <c r="A97" s="79">
        <v>96</v>
      </c>
      <c r="B97" s="30" t="s">
        <v>350</v>
      </c>
      <c r="C97" s="31">
        <f>IF(SUMIFS(Data!$L:$L,Data!$A:$A,$B97,Data!$C:$C,C$1)=0,"",SUMIFS(Data!$L:$L,Data!$A:$A,$B97,Data!$C:$C,C$1))</f>
        <v>3.25</v>
      </c>
      <c r="D97" s="31">
        <f>IF(SUMIFS(Data!$L:$L,Data!$A:$A,$B97,Data!$C:$C,D$1)=0,"",SUMIFS(Data!$L:$L,Data!$A:$A,$B97,Data!$C:$C,D$1))</f>
        <v>3.5</v>
      </c>
      <c r="E97" s="31" t="str">
        <f>IF(SUMIFS(Data!$L:$L,Data!$A:$A,$B97,Data!$C:$C,E$1)=0,"",SUMIFS(Data!$L:$L,Data!$A:$A,$B97,Data!$C:$C,E$1))</f>
        <v/>
      </c>
      <c r="F97" s="31" t="str">
        <f>IF(SUMIFS(Data!$L:$L,Data!$A:$A,$B97,Data!$C:$C,F$1)=0,"",SUMIFS(Data!$L:$L,Data!$A:$A,$B97,Data!$C:$C,F$1))</f>
        <v/>
      </c>
      <c r="G97" s="31" t="str">
        <f>IF(SUMIFS(Data!$L:$L,Data!$A:$A,$B97,Data!$C:$C,G$1)=0,"",SUMIFS(Data!$L:$L,Data!$A:$A,$B97,Data!$C:$C,G$1))</f>
        <v/>
      </c>
      <c r="H97" s="31" t="str">
        <f>IF(SUMIFS(Data!$L:$L,Data!$A:$A,$B97,Data!$C:$C,H$1)=0,"",SUMIFS(Data!$L:$L,Data!$A:$A,$B97,Data!$C:$C,H$1))</f>
        <v/>
      </c>
      <c r="I97" s="31" t="str">
        <f>IF(SUMIFS(Data!$L:$L,Data!$A:$A,$B97,Data!$C:$C,I$1)=0,"",SUMIFS(Data!$L:$L,Data!$A:$A,$B97,Data!$C:$C,I$1))</f>
        <v/>
      </c>
      <c r="J97" s="31" t="str">
        <f>IF(SUMIFS(Data!$L:$L,Data!$A:$A,$B97,Data!$C:$C,J$1)=0,"",SUMIFS(Data!$L:$L,Data!$A:$A,$B97,Data!$C:$C,J$1))</f>
        <v/>
      </c>
      <c r="K97" s="31" t="str">
        <f>IF(SUMIFS(Data!$L:$L,Data!$A:$A,$B97,Data!$C:$C,K$1)=0,"",SUMIFS(Data!$L:$L,Data!$A:$A,$B97,Data!$C:$C,K$1))</f>
        <v/>
      </c>
      <c r="L97" s="31" t="str">
        <f>IF(SUMIFS(Data!$L:$L,Data!$A:$A,$B97,Data!$C:$C,L$1)=0,"",SUMIFS(Data!$L:$L,Data!$A:$A,$B97,Data!$C:$C,L$1))</f>
        <v/>
      </c>
      <c r="M97" s="31" t="str">
        <f>IF(SUMIFS(Data!$L:$L,Data!$A:$A,$B97,Data!$C:$C,M$1)=0,"",SUMIFS(Data!$L:$L,Data!$A:$A,$B97,Data!$C:$C,M$1))</f>
        <v/>
      </c>
      <c r="N97" s="31" t="str">
        <f>IF(SUMIFS(Data!$L:$L,Data!$A:$A,$B97,Data!$C:$C,N$1)=0,"",SUMIFS(Data!$L:$L,Data!$A:$A,$B97,Data!$C:$C,N$1))</f>
        <v/>
      </c>
      <c r="O97" s="31" t="str">
        <f>IF(SUMIFS(Data!$L:$L,Data!$A:$A,$B97,Data!$C:$C,O$1)=0,"",SUMIFS(Data!$L:$L,Data!$A:$A,$B97,Data!$C:$C,O$1))</f>
        <v/>
      </c>
      <c r="P97" s="31" t="str">
        <f>IF(SUMIFS(Data!$L:$L,Data!$A:$A,$B97,Data!$C:$C,P$1)=0,"",SUMIFS(Data!$L:$L,Data!$A:$A,$B97,Data!$C:$C,P$1))</f>
        <v/>
      </c>
      <c r="Q97" s="31" t="str">
        <f>IF(SUMIFS(Data!$L:$L,Data!$A:$A,$B97,Data!$C:$C,Q$1)=0,"",SUMIFS(Data!$L:$L,Data!$A:$A,$B97,Data!$C:$C,Q$1))</f>
        <v/>
      </c>
      <c r="R97" s="31">
        <f>SUM(C97:Q97)</f>
        <v>6.75</v>
      </c>
    </row>
    <row r="98" spans="1:18" x14ac:dyDescent="0.35">
      <c r="A98" s="79">
        <v>97</v>
      </c>
      <c r="B98" s="30" t="s">
        <v>433</v>
      </c>
      <c r="C98" s="31" t="str">
        <f>IF(SUMIFS(Data!$L:$L,Data!$A:$A,$B98,Data!$C:$C,C$1)=0,"",SUMIFS(Data!$L:$L,Data!$A:$A,$B98,Data!$C:$C,C$1))</f>
        <v/>
      </c>
      <c r="D98" s="31" t="str">
        <f>IF(SUMIFS(Data!$L:$L,Data!$A:$A,$B98,Data!$C:$C,D$1)=0,"",SUMIFS(Data!$L:$L,Data!$A:$A,$B98,Data!$C:$C,D$1))</f>
        <v/>
      </c>
      <c r="E98" s="31" t="str">
        <f>IF(SUMIFS(Data!$L:$L,Data!$A:$A,$B98,Data!$C:$C,E$1)=0,"",SUMIFS(Data!$L:$L,Data!$A:$A,$B98,Data!$C:$C,E$1))</f>
        <v/>
      </c>
      <c r="F98" s="31" t="str">
        <f>IF(SUMIFS(Data!$L:$L,Data!$A:$A,$B98,Data!$C:$C,F$1)=0,"",SUMIFS(Data!$L:$L,Data!$A:$A,$B98,Data!$C:$C,F$1))</f>
        <v/>
      </c>
      <c r="G98" s="31">
        <f>IF(SUMIFS(Data!$L:$L,Data!$A:$A,$B98,Data!$C:$C,G$1)=0,"",SUMIFS(Data!$L:$L,Data!$A:$A,$B98,Data!$C:$C,G$1))</f>
        <v>1.5</v>
      </c>
      <c r="H98" s="31">
        <f>IF(SUMIFS(Data!$L:$L,Data!$A:$A,$B98,Data!$C:$C,H$1)=0,"",SUMIFS(Data!$L:$L,Data!$A:$A,$B98,Data!$C:$C,H$1))</f>
        <v>1.75</v>
      </c>
      <c r="I98" s="31">
        <f>IF(SUMIFS(Data!$L:$L,Data!$A:$A,$B98,Data!$C:$C,I$1)=0,"",SUMIFS(Data!$L:$L,Data!$A:$A,$B98,Data!$C:$C,I$1))</f>
        <v>2.25</v>
      </c>
      <c r="J98" s="31">
        <f>IF(SUMIFS(Data!$L:$L,Data!$A:$A,$B98,Data!$C:$C,J$1)=0,"",SUMIFS(Data!$L:$L,Data!$A:$A,$B98,Data!$C:$C,J$1))</f>
        <v>1.25</v>
      </c>
      <c r="K98" s="31" t="str">
        <f>IF(SUMIFS(Data!$L:$L,Data!$A:$A,$B98,Data!$C:$C,K$1)=0,"",SUMIFS(Data!$L:$L,Data!$A:$A,$B98,Data!$C:$C,K$1))</f>
        <v/>
      </c>
      <c r="L98" s="31" t="str">
        <f>IF(SUMIFS(Data!$L:$L,Data!$A:$A,$B98,Data!$C:$C,L$1)=0,"",SUMIFS(Data!$L:$L,Data!$A:$A,$B98,Data!$C:$C,L$1))</f>
        <v/>
      </c>
      <c r="M98" s="31" t="str">
        <f>IF(SUMIFS(Data!$L:$L,Data!$A:$A,$B98,Data!$C:$C,M$1)=0,"",SUMIFS(Data!$L:$L,Data!$A:$A,$B98,Data!$C:$C,M$1))</f>
        <v/>
      </c>
      <c r="N98" s="31" t="str">
        <f>IF(SUMIFS(Data!$L:$L,Data!$A:$A,$B98,Data!$C:$C,N$1)=0,"",SUMIFS(Data!$L:$L,Data!$A:$A,$B98,Data!$C:$C,N$1))</f>
        <v/>
      </c>
      <c r="O98" s="31" t="str">
        <f>IF(SUMIFS(Data!$L:$L,Data!$A:$A,$B98,Data!$C:$C,O$1)=0,"",SUMIFS(Data!$L:$L,Data!$A:$A,$B98,Data!$C:$C,O$1))</f>
        <v/>
      </c>
      <c r="P98" s="31" t="str">
        <f>IF(SUMIFS(Data!$L:$L,Data!$A:$A,$B98,Data!$C:$C,P$1)=0,"",SUMIFS(Data!$L:$L,Data!$A:$A,$B98,Data!$C:$C,P$1))</f>
        <v/>
      </c>
      <c r="Q98" s="31" t="str">
        <f>IF(SUMIFS(Data!$L:$L,Data!$A:$A,$B98,Data!$C:$C,Q$1)=0,"",SUMIFS(Data!$L:$L,Data!$A:$A,$B98,Data!$C:$C,Q$1))</f>
        <v/>
      </c>
      <c r="R98" s="31">
        <f>SUM(C98:Q98)</f>
        <v>6.75</v>
      </c>
    </row>
    <row r="99" spans="1:18" x14ac:dyDescent="0.35">
      <c r="A99" s="79">
        <v>98</v>
      </c>
      <c r="B99" s="30" t="s">
        <v>293</v>
      </c>
      <c r="C99" s="31">
        <f>IF(SUMIFS(Data!$L:$L,Data!$A:$A,$B99,Data!$C:$C,C$1)=0,"",SUMIFS(Data!$L:$L,Data!$A:$A,$B99,Data!$C:$C,C$1))</f>
        <v>1.25</v>
      </c>
      <c r="D99" s="31">
        <f>IF(SUMIFS(Data!$L:$L,Data!$A:$A,$B99,Data!$C:$C,D$1)=0,"",SUMIFS(Data!$L:$L,Data!$A:$A,$B99,Data!$C:$C,D$1))</f>
        <v>0.75</v>
      </c>
      <c r="E99" s="31">
        <f>IF(SUMIFS(Data!$L:$L,Data!$A:$A,$B99,Data!$C:$C,E$1)=0,"",SUMIFS(Data!$L:$L,Data!$A:$A,$B99,Data!$C:$C,E$1))</f>
        <v>1.75</v>
      </c>
      <c r="F99" s="31">
        <f>IF(SUMIFS(Data!$L:$L,Data!$A:$A,$B99,Data!$C:$C,F$1)=0,"",SUMIFS(Data!$L:$L,Data!$A:$A,$B99,Data!$C:$C,F$1))</f>
        <v>1</v>
      </c>
      <c r="G99" s="31">
        <f>IF(SUMIFS(Data!$L:$L,Data!$A:$A,$B99,Data!$C:$C,G$1)=0,"",SUMIFS(Data!$L:$L,Data!$A:$A,$B99,Data!$C:$C,G$1))</f>
        <v>1.25</v>
      </c>
      <c r="H99" s="31" t="str">
        <f>IF(SUMIFS(Data!$L:$L,Data!$A:$A,$B99,Data!$C:$C,H$1)=0,"",SUMIFS(Data!$L:$L,Data!$A:$A,$B99,Data!$C:$C,H$1))</f>
        <v/>
      </c>
      <c r="I99" s="31" t="str">
        <f>IF(SUMIFS(Data!$L:$L,Data!$A:$A,$B99,Data!$C:$C,I$1)=0,"",SUMIFS(Data!$L:$L,Data!$A:$A,$B99,Data!$C:$C,I$1))</f>
        <v/>
      </c>
      <c r="J99" s="31" t="str">
        <f>IF(SUMIFS(Data!$L:$L,Data!$A:$A,$B99,Data!$C:$C,J$1)=0,"",SUMIFS(Data!$L:$L,Data!$A:$A,$B99,Data!$C:$C,J$1))</f>
        <v/>
      </c>
      <c r="K99" s="31" t="str">
        <f>IF(SUMIFS(Data!$L:$L,Data!$A:$A,$B99,Data!$C:$C,K$1)=0,"",SUMIFS(Data!$L:$L,Data!$A:$A,$B99,Data!$C:$C,K$1))</f>
        <v/>
      </c>
      <c r="L99" s="31" t="str">
        <f>IF(SUMIFS(Data!$L:$L,Data!$A:$A,$B99,Data!$C:$C,L$1)=0,"",SUMIFS(Data!$L:$L,Data!$A:$A,$B99,Data!$C:$C,L$1))</f>
        <v/>
      </c>
      <c r="M99" s="31" t="str">
        <f>IF(SUMIFS(Data!$L:$L,Data!$A:$A,$B99,Data!$C:$C,M$1)=0,"",SUMIFS(Data!$L:$L,Data!$A:$A,$B99,Data!$C:$C,M$1))</f>
        <v/>
      </c>
      <c r="N99" s="31" t="str">
        <f>IF(SUMIFS(Data!$L:$L,Data!$A:$A,$B99,Data!$C:$C,N$1)=0,"",SUMIFS(Data!$L:$L,Data!$A:$A,$B99,Data!$C:$C,N$1))</f>
        <v/>
      </c>
      <c r="O99" s="31" t="str">
        <f>IF(SUMIFS(Data!$L:$L,Data!$A:$A,$B99,Data!$C:$C,O$1)=0,"",SUMIFS(Data!$L:$L,Data!$A:$A,$B99,Data!$C:$C,O$1))</f>
        <v/>
      </c>
      <c r="P99" s="31" t="str">
        <f>IF(SUMIFS(Data!$L:$L,Data!$A:$A,$B99,Data!$C:$C,P$1)=0,"",SUMIFS(Data!$L:$L,Data!$A:$A,$B99,Data!$C:$C,P$1))</f>
        <v/>
      </c>
      <c r="Q99" s="31" t="str">
        <f>IF(SUMIFS(Data!$L:$L,Data!$A:$A,$B99,Data!$C:$C,Q$1)=0,"",SUMIFS(Data!$L:$L,Data!$A:$A,$B99,Data!$C:$C,Q$1))</f>
        <v/>
      </c>
      <c r="R99" s="31">
        <f>SUM(C99:Q99)</f>
        <v>6</v>
      </c>
    </row>
    <row r="100" spans="1:18" x14ac:dyDescent="0.35">
      <c r="A100" s="79">
        <v>99</v>
      </c>
      <c r="B100" s="30" t="s">
        <v>340</v>
      </c>
      <c r="C100" s="31">
        <f>IF(SUMIFS(Data!$L:$L,Data!$A:$A,$B100,Data!$C:$C,C$1)=0,"",SUMIFS(Data!$L:$L,Data!$A:$A,$B100,Data!$C:$C,C$1))</f>
        <v>1</v>
      </c>
      <c r="D100" s="31">
        <f>IF(SUMIFS(Data!$L:$L,Data!$A:$A,$B100,Data!$C:$C,D$1)=0,"",SUMIFS(Data!$L:$L,Data!$A:$A,$B100,Data!$C:$C,D$1))</f>
        <v>1</v>
      </c>
      <c r="E100" s="31">
        <f>IF(SUMIFS(Data!$L:$L,Data!$A:$A,$B100,Data!$C:$C,E$1)=0,"",SUMIFS(Data!$L:$L,Data!$A:$A,$B100,Data!$C:$C,E$1))</f>
        <v>1.25</v>
      </c>
      <c r="F100" s="31">
        <f>IF(SUMIFS(Data!$L:$L,Data!$A:$A,$B100,Data!$C:$C,F$1)=0,"",SUMIFS(Data!$L:$L,Data!$A:$A,$B100,Data!$C:$C,F$1))</f>
        <v>1</v>
      </c>
      <c r="G100" s="31">
        <f>IF(SUMIFS(Data!$L:$L,Data!$A:$A,$B100,Data!$C:$C,G$1)=0,"",SUMIFS(Data!$L:$L,Data!$A:$A,$B100,Data!$C:$C,G$1))</f>
        <v>1.25</v>
      </c>
      <c r="H100" s="31">
        <f>IF(SUMIFS(Data!$L:$L,Data!$A:$A,$B100,Data!$C:$C,H$1)=0,"",SUMIFS(Data!$L:$L,Data!$A:$A,$B100,Data!$C:$C,H$1))</f>
        <v>0.5</v>
      </c>
      <c r="I100" s="31" t="str">
        <f>IF(SUMIFS(Data!$L:$L,Data!$A:$A,$B100,Data!$C:$C,I$1)=0,"",SUMIFS(Data!$L:$L,Data!$A:$A,$B100,Data!$C:$C,I$1))</f>
        <v/>
      </c>
      <c r="J100" s="31" t="str">
        <f>IF(SUMIFS(Data!$L:$L,Data!$A:$A,$B100,Data!$C:$C,J$1)=0,"",SUMIFS(Data!$L:$L,Data!$A:$A,$B100,Data!$C:$C,J$1))</f>
        <v/>
      </c>
      <c r="K100" s="31" t="str">
        <f>IF(SUMIFS(Data!$L:$L,Data!$A:$A,$B100,Data!$C:$C,K$1)=0,"",SUMIFS(Data!$L:$L,Data!$A:$A,$B100,Data!$C:$C,K$1))</f>
        <v/>
      </c>
      <c r="L100" s="31" t="str">
        <f>IF(SUMIFS(Data!$L:$L,Data!$A:$A,$B100,Data!$C:$C,L$1)=0,"",SUMIFS(Data!$L:$L,Data!$A:$A,$B100,Data!$C:$C,L$1))</f>
        <v/>
      </c>
      <c r="M100" s="31" t="str">
        <f>IF(SUMIFS(Data!$L:$L,Data!$A:$A,$B100,Data!$C:$C,M$1)=0,"",SUMIFS(Data!$L:$L,Data!$A:$A,$B100,Data!$C:$C,M$1))</f>
        <v/>
      </c>
      <c r="N100" s="31" t="str">
        <f>IF(SUMIFS(Data!$L:$L,Data!$A:$A,$B100,Data!$C:$C,N$1)=0,"",SUMIFS(Data!$L:$L,Data!$A:$A,$B100,Data!$C:$C,N$1))</f>
        <v/>
      </c>
      <c r="O100" s="31" t="str">
        <f>IF(SUMIFS(Data!$L:$L,Data!$A:$A,$B100,Data!$C:$C,O$1)=0,"",SUMIFS(Data!$L:$L,Data!$A:$A,$B100,Data!$C:$C,O$1))</f>
        <v/>
      </c>
      <c r="P100" s="31" t="str">
        <f>IF(SUMIFS(Data!$L:$L,Data!$A:$A,$B100,Data!$C:$C,P$1)=0,"",SUMIFS(Data!$L:$L,Data!$A:$A,$B100,Data!$C:$C,P$1))</f>
        <v/>
      </c>
      <c r="Q100" s="31" t="str">
        <f>IF(SUMIFS(Data!$L:$L,Data!$A:$A,$B100,Data!$C:$C,Q$1)=0,"",SUMIFS(Data!$L:$L,Data!$A:$A,$B100,Data!$C:$C,Q$1))</f>
        <v/>
      </c>
      <c r="R100" s="31">
        <f>SUM(C100:Q100)</f>
        <v>6</v>
      </c>
    </row>
    <row r="101" spans="1:18" x14ac:dyDescent="0.35">
      <c r="A101" s="79">
        <v>100</v>
      </c>
      <c r="B101" s="79" t="s">
        <v>483</v>
      </c>
      <c r="C101" s="31" t="str">
        <f>IF(SUMIFS(Data!$L:$L,Data!$A:$A,$B101,Data!$C:$C,C$1)=0,"",SUMIFS(Data!$L:$L,Data!$A:$A,$B101,Data!$C:$C,C$1))</f>
        <v/>
      </c>
      <c r="D101" s="31" t="str">
        <f>IF(SUMIFS(Data!$L:$L,Data!$A:$A,$B101,Data!$C:$C,D$1)=0,"",SUMIFS(Data!$L:$L,Data!$A:$A,$B101,Data!$C:$C,D$1))</f>
        <v/>
      </c>
      <c r="E101" s="31" t="str">
        <f>IF(SUMIFS(Data!$L:$L,Data!$A:$A,$B101,Data!$C:$C,E$1)=0,"",SUMIFS(Data!$L:$L,Data!$A:$A,$B101,Data!$C:$C,E$1))</f>
        <v/>
      </c>
      <c r="F101" s="31" t="str">
        <f>IF(SUMIFS(Data!$L:$L,Data!$A:$A,$B101,Data!$C:$C,F$1)=0,"",SUMIFS(Data!$L:$L,Data!$A:$A,$B101,Data!$C:$C,F$1))</f>
        <v/>
      </c>
      <c r="G101" s="31" t="str">
        <f>IF(SUMIFS(Data!$L:$L,Data!$A:$A,$B101,Data!$C:$C,G$1)=0,"",SUMIFS(Data!$L:$L,Data!$A:$A,$B101,Data!$C:$C,G$1))</f>
        <v/>
      </c>
      <c r="H101" s="31" t="str">
        <f>IF(SUMIFS(Data!$L:$L,Data!$A:$A,$B101,Data!$C:$C,H$1)=0,"",SUMIFS(Data!$L:$L,Data!$A:$A,$B101,Data!$C:$C,H$1))</f>
        <v/>
      </c>
      <c r="I101" s="31" t="str">
        <f>IF(SUMIFS(Data!$L:$L,Data!$A:$A,$B101,Data!$C:$C,I$1)=0,"",SUMIFS(Data!$L:$L,Data!$A:$A,$B101,Data!$C:$C,I$1))</f>
        <v/>
      </c>
      <c r="J101" s="31" t="str">
        <f>IF(SUMIFS(Data!$L:$L,Data!$A:$A,$B101,Data!$C:$C,J$1)=0,"",SUMIFS(Data!$L:$L,Data!$A:$A,$B101,Data!$C:$C,J$1))</f>
        <v/>
      </c>
      <c r="K101" s="31">
        <f>IF(SUMIFS(Data!$L:$L,Data!$A:$A,$B101,Data!$C:$C,K$1)=0,"",SUMIFS(Data!$L:$L,Data!$A:$A,$B101,Data!$C:$C,K$1))</f>
        <v>1.5</v>
      </c>
      <c r="L101" s="31">
        <f>IF(SUMIFS(Data!$L:$L,Data!$A:$A,$B101,Data!$C:$C,L$1)=0,"",SUMIFS(Data!$L:$L,Data!$A:$A,$B101,Data!$C:$C,L$1))</f>
        <v>0.75</v>
      </c>
      <c r="M101" s="31" t="str">
        <f>IF(SUMIFS(Data!$L:$L,Data!$A:$A,$B101,Data!$C:$C,M$1)=0,"",SUMIFS(Data!$L:$L,Data!$A:$A,$B101,Data!$C:$C,M$1))</f>
        <v/>
      </c>
      <c r="N101" s="31">
        <f>IF(SUMIFS(Data!$L:$L,Data!$A:$A,$B101,Data!$C:$C,N$1)=0,"",SUMIFS(Data!$L:$L,Data!$A:$A,$B101,Data!$C:$C,N$1))</f>
        <v>0.75</v>
      </c>
      <c r="O101" s="31">
        <f>IF(SUMIFS(Data!$L:$L,Data!$A:$A,$B101,Data!$C:$C,O$1)=0,"",SUMIFS(Data!$L:$L,Data!$A:$A,$B101,Data!$C:$C,O$1))</f>
        <v>1.5</v>
      </c>
      <c r="P101" s="31" t="str">
        <f>IF(SUMIFS(Data!$L:$L,Data!$A:$A,$B101,Data!$C:$C,P$1)=0,"",SUMIFS(Data!$L:$L,Data!$A:$A,$B101,Data!$C:$C,P$1))</f>
        <v/>
      </c>
      <c r="Q101" s="31">
        <f>IF(SUMIFS(Data!$L:$L,Data!$A:$A,$B101,Data!$C:$C,Q$1)=0,"",SUMIFS(Data!$L:$L,Data!$A:$A,$B101,Data!$C:$C,Q$1))</f>
        <v>1</v>
      </c>
      <c r="R101" s="31">
        <f>SUM(C101:Q101)</f>
        <v>5.5</v>
      </c>
    </row>
    <row r="102" spans="1:18" x14ac:dyDescent="0.35">
      <c r="A102" s="79">
        <v>101</v>
      </c>
      <c r="B102" s="30" t="s">
        <v>242</v>
      </c>
      <c r="C102" s="31">
        <f>IF(SUMIFS(Data!$L:$L,Data!$A:$A,$B102,Data!$C:$C,C$1)=0,"",SUMIFS(Data!$L:$L,Data!$A:$A,$B102,Data!$C:$C,C$1))</f>
        <v>0.75</v>
      </c>
      <c r="D102" s="31">
        <f>IF(SUMIFS(Data!$L:$L,Data!$A:$A,$B102,Data!$C:$C,D$1)=0,"",SUMIFS(Data!$L:$L,Data!$A:$A,$B102,Data!$C:$C,D$1))</f>
        <v>0.75</v>
      </c>
      <c r="E102" s="31">
        <f>IF(SUMIFS(Data!$L:$L,Data!$A:$A,$B102,Data!$C:$C,E$1)=0,"",SUMIFS(Data!$L:$L,Data!$A:$A,$B102,Data!$C:$C,E$1))</f>
        <v>1.25</v>
      </c>
      <c r="F102" s="31">
        <f>IF(SUMIFS(Data!$L:$L,Data!$A:$A,$B102,Data!$C:$C,F$1)=0,"",SUMIFS(Data!$L:$L,Data!$A:$A,$B102,Data!$C:$C,F$1))</f>
        <v>1</v>
      </c>
      <c r="G102" s="31" t="str">
        <f>IF(SUMIFS(Data!$L:$L,Data!$A:$A,$B102,Data!$C:$C,G$1)=0,"",SUMIFS(Data!$L:$L,Data!$A:$A,$B102,Data!$C:$C,G$1))</f>
        <v/>
      </c>
      <c r="H102" s="31" t="str">
        <f>IF(SUMIFS(Data!$L:$L,Data!$A:$A,$B102,Data!$C:$C,H$1)=0,"",SUMIFS(Data!$L:$L,Data!$A:$A,$B102,Data!$C:$C,H$1))</f>
        <v/>
      </c>
      <c r="I102" s="31" t="str">
        <f>IF(SUMIFS(Data!$L:$L,Data!$A:$A,$B102,Data!$C:$C,I$1)=0,"",SUMIFS(Data!$L:$L,Data!$A:$A,$B102,Data!$C:$C,I$1))</f>
        <v/>
      </c>
      <c r="J102" s="31" t="str">
        <f>IF(SUMIFS(Data!$L:$L,Data!$A:$A,$B102,Data!$C:$C,J$1)=0,"",SUMIFS(Data!$L:$L,Data!$A:$A,$B102,Data!$C:$C,J$1))</f>
        <v/>
      </c>
      <c r="K102" s="31" t="str">
        <f>IF(SUMIFS(Data!$L:$L,Data!$A:$A,$B102,Data!$C:$C,K$1)=0,"",SUMIFS(Data!$L:$L,Data!$A:$A,$B102,Data!$C:$C,K$1))</f>
        <v/>
      </c>
      <c r="L102" s="31" t="str">
        <f>IF(SUMIFS(Data!$L:$L,Data!$A:$A,$B102,Data!$C:$C,L$1)=0,"",SUMIFS(Data!$L:$L,Data!$A:$A,$B102,Data!$C:$C,L$1))</f>
        <v/>
      </c>
      <c r="M102" s="31">
        <f>IF(SUMIFS(Data!$L:$L,Data!$A:$A,$B102,Data!$C:$C,M$1)=0,"",SUMIFS(Data!$L:$L,Data!$A:$A,$B102,Data!$C:$C,M$1))</f>
        <v>1.75</v>
      </c>
      <c r="N102" s="31" t="str">
        <f>IF(SUMIFS(Data!$L:$L,Data!$A:$A,$B102,Data!$C:$C,N$1)=0,"",SUMIFS(Data!$L:$L,Data!$A:$A,$B102,Data!$C:$C,N$1))</f>
        <v/>
      </c>
      <c r="O102" s="31" t="str">
        <f>IF(SUMIFS(Data!$L:$L,Data!$A:$A,$B102,Data!$C:$C,O$1)=0,"",SUMIFS(Data!$L:$L,Data!$A:$A,$B102,Data!$C:$C,O$1))</f>
        <v/>
      </c>
      <c r="P102" s="31" t="str">
        <f>IF(SUMIFS(Data!$L:$L,Data!$A:$A,$B102,Data!$C:$C,P$1)=0,"",SUMIFS(Data!$L:$L,Data!$A:$A,$B102,Data!$C:$C,P$1))</f>
        <v/>
      </c>
      <c r="Q102" s="31" t="str">
        <f>IF(SUMIFS(Data!$L:$L,Data!$A:$A,$B102,Data!$C:$C,Q$1)=0,"",SUMIFS(Data!$L:$L,Data!$A:$A,$B102,Data!$C:$C,Q$1))</f>
        <v/>
      </c>
      <c r="R102" s="31">
        <f>SUM(C102:Q102)</f>
        <v>5.5</v>
      </c>
    </row>
    <row r="103" spans="1:18" x14ac:dyDescent="0.35">
      <c r="A103" s="79">
        <v>102</v>
      </c>
      <c r="B103" s="30" t="s">
        <v>53</v>
      </c>
      <c r="C103" s="31">
        <f>IF(SUMIFS(Data!$L:$L,Data!$A:$A,$B103,Data!$C:$C,C$1)=0,"",SUMIFS(Data!$L:$L,Data!$A:$A,$B103,Data!$C:$C,C$1))</f>
        <v>2.5</v>
      </c>
      <c r="D103" s="31">
        <f>IF(SUMIFS(Data!$L:$L,Data!$A:$A,$B103,Data!$C:$C,D$1)=0,"",SUMIFS(Data!$L:$L,Data!$A:$A,$B103,Data!$C:$C,D$1))</f>
        <v>2.5</v>
      </c>
      <c r="E103" s="31" t="str">
        <f>IF(SUMIFS(Data!$L:$L,Data!$A:$A,$B103,Data!$C:$C,E$1)=0,"",SUMIFS(Data!$L:$L,Data!$A:$A,$B103,Data!$C:$C,E$1))</f>
        <v/>
      </c>
      <c r="F103" s="31" t="str">
        <f>IF(SUMIFS(Data!$L:$L,Data!$A:$A,$B103,Data!$C:$C,F$1)=0,"",SUMIFS(Data!$L:$L,Data!$A:$A,$B103,Data!$C:$C,F$1))</f>
        <v/>
      </c>
      <c r="G103" s="31" t="str">
        <f>IF(SUMIFS(Data!$L:$L,Data!$A:$A,$B103,Data!$C:$C,G$1)=0,"",SUMIFS(Data!$L:$L,Data!$A:$A,$B103,Data!$C:$C,G$1))</f>
        <v/>
      </c>
      <c r="H103" s="31" t="str">
        <f>IF(SUMIFS(Data!$L:$L,Data!$A:$A,$B103,Data!$C:$C,H$1)=0,"",SUMIFS(Data!$L:$L,Data!$A:$A,$B103,Data!$C:$C,H$1))</f>
        <v/>
      </c>
      <c r="I103" s="31" t="str">
        <f>IF(SUMIFS(Data!$L:$L,Data!$A:$A,$B103,Data!$C:$C,I$1)=0,"",SUMIFS(Data!$L:$L,Data!$A:$A,$B103,Data!$C:$C,I$1))</f>
        <v/>
      </c>
      <c r="J103" s="31" t="str">
        <f>IF(SUMIFS(Data!$L:$L,Data!$A:$A,$B103,Data!$C:$C,J$1)=0,"",SUMIFS(Data!$L:$L,Data!$A:$A,$B103,Data!$C:$C,J$1))</f>
        <v/>
      </c>
      <c r="K103" s="31" t="str">
        <f>IF(SUMIFS(Data!$L:$L,Data!$A:$A,$B103,Data!$C:$C,K$1)=0,"",SUMIFS(Data!$L:$L,Data!$A:$A,$B103,Data!$C:$C,K$1))</f>
        <v/>
      </c>
      <c r="L103" s="31" t="str">
        <f>IF(SUMIFS(Data!$L:$L,Data!$A:$A,$B103,Data!$C:$C,L$1)=0,"",SUMIFS(Data!$L:$L,Data!$A:$A,$B103,Data!$C:$C,L$1))</f>
        <v/>
      </c>
      <c r="M103" s="31" t="str">
        <f>IF(SUMIFS(Data!$L:$L,Data!$A:$A,$B103,Data!$C:$C,M$1)=0,"",SUMIFS(Data!$L:$L,Data!$A:$A,$B103,Data!$C:$C,M$1))</f>
        <v/>
      </c>
      <c r="N103" s="31" t="str">
        <f>IF(SUMIFS(Data!$L:$L,Data!$A:$A,$B103,Data!$C:$C,N$1)=0,"",SUMIFS(Data!$L:$L,Data!$A:$A,$B103,Data!$C:$C,N$1))</f>
        <v/>
      </c>
      <c r="O103" s="31" t="str">
        <f>IF(SUMIFS(Data!$L:$L,Data!$A:$A,$B103,Data!$C:$C,O$1)=0,"",SUMIFS(Data!$L:$L,Data!$A:$A,$B103,Data!$C:$C,O$1))</f>
        <v/>
      </c>
      <c r="P103" s="31" t="str">
        <f>IF(SUMIFS(Data!$L:$L,Data!$A:$A,$B103,Data!$C:$C,P$1)=0,"",SUMIFS(Data!$L:$L,Data!$A:$A,$B103,Data!$C:$C,P$1))</f>
        <v/>
      </c>
      <c r="Q103" s="31" t="str">
        <f>IF(SUMIFS(Data!$L:$L,Data!$A:$A,$B103,Data!$C:$C,Q$1)=0,"",SUMIFS(Data!$L:$L,Data!$A:$A,$B103,Data!$C:$C,Q$1))</f>
        <v/>
      </c>
      <c r="R103" s="31">
        <f>SUM(C103:Q103)</f>
        <v>5</v>
      </c>
    </row>
    <row r="104" spans="1:18" x14ac:dyDescent="0.35">
      <c r="A104" s="79">
        <v>103</v>
      </c>
      <c r="B104" s="30" t="s">
        <v>358</v>
      </c>
      <c r="C104" s="31">
        <f>IF(SUMIFS(Data!$L:$L,Data!$A:$A,$B104,Data!$C:$C,C$1)=0,"",SUMIFS(Data!$L:$L,Data!$A:$A,$B104,Data!$C:$C,C$1))</f>
        <v>1.5</v>
      </c>
      <c r="D104" s="31" t="str">
        <f>IF(SUMIFS(Data!$L:$L,Data!$A:$A,$B104,Data!$C:$C,D$1)=0,"",SUMIFS(Data!$L:$L,Data!$A:$A,$B104,Data!$C:$C,D$1))</f>
        <v/>
      </c>
      <c r="E104" s="31">
        <f>IF(SUMIFS(Data!$L:$L,Data!$A:$A,$B104,Data!$C:$C,E$1)=0,"",SUMIFS(Data!$L:$L,Data!$A:$A,$B104,Data!$C:$C,E$1))</f>
        <v>1.75</v>
      </c>
      <c r="F104" s="31">
        <f>IF(SUMIFS(Data!$L:$L,Data!$A:$A,$B104,Data!$C:$C,F$1)=0,"",SUMIFS(Data!$L:$L,Data!$A:$A,$B104,Data!$C:$C,F$1))</f>
        <v>0.75</v>
      </c>
      <c r="G104" s="31">
        <f>IF(SUMIFS(Data!$L:$L,Data!$A:$A,$B104,Data!$C:$C,G$1)=0,"",SUMIFS(Data!$L:$L,Data!$A:$A,$B104,Data!$C:$C,G$1))</f>
        <v>1</v>
      </c>
      <c r="H104" s="31" t="str">
        <f>IF(SUMIFS(Data!$L:$L,Data!$A:$A,$B104,Data!$C:$C,H$1)=0,"",SUMIFS(Data!$L:$L,Data!$A:$A,$B104,Data!$C:$C,H$1))</f>
        <v/>
      </c>
      <c r="I104" s="31" t="str">
        <f>IF(SUMIFS(Data!$L:$L,Data!$A:$A,$B104,Data!$C:$C,I$1)=0,"",SUMIFS(Data!$L:$L,Data!$A:$A,$B104,Data!$C:$C,I$1))</f>
        <v/>
      </c>
      <c r="J104" s="31" t="str">
        <f>IF(SUMIFS(Data!$L:$L,Data!$A:$A,$B104,Data!$C:$C,J$1)=0,"",SUMIFS(Data!$L:$L,Data!$A:$A,$B104,Data!$C:$C,J$1))</f>
        <v/>
      </c>
      <c r="K104" s="31" t="str">
        <f>IF(SUMIFS(Data!$L:$L,Data!$A:$A,$B104,Data!$C:$C,K$1)=0,"",SUMIFS(Data!$L:$L,Data!$A:$A,$B104,Data!$C:$C,K$1))</f>
        <v/>
      </c>
      <c r="L104" s="31" t="str">
        <f>IF(SUMIFS(Data!$L:$L,Data!$A:$A,$B104,Data!$C:$C,L$1)=0,"",SUMIFS(Data!$L:$L,Data!$A:$A,$B104,Data!$C:$C,L$1))</f>
        <v/>
      </c>
      <c r="M104" s="31" t="str">
        <f>IF(SUMIFS(Data!$L:$L,Data!$A:$A,$B104,Data!$C:$C,M$1)=0,"",SUMIFS(Data!$L:$L,Data!$A:$A,$B104,Data!$C:$C,M$1))</f>
        <v/>
      </c>
      <c r="N104" s="31" t="str">
        <f>IF(SUMIFS(Data!$L:$L,Data!$A:$A,$B104,Data!$C:$C,N$1)=0,"",SUMIFS(Data!$L:$L,Data!$A:$A,$B104,Data!$C:$C,N$1))</f>
        <v/>
      </c>
      <c r="O104" s="31" t="str">
        <f>IF(SUMIFS(Data!$L:$L,Data!$A:$A,$B104,Data!$C:$C,O$1)=0,"",SUMIFS(Data!$L:$L,Data!$A:$A,$B104,Data!$C:$C,O$1))</f>
        <v/>
      </c>
      <c r="P104" s="31" t="str">
        <f>IF(SUMIFS(Data!$L:$L,Data!$A:$A,$B104,Data!$C:$C,P$1)=0,"",SUMIFS(Data!$L:$L,Data!$A:$A,$B104,Data!$C:$C,P$1))</f>
        <v/>
      </c>
      <c r="Q104" s="31" t="str">
        <f>IF(SUMIFS(Data!$L:$L,Data!$A:$A,$B104,Data!$C:$C,Q$1)=0,"",SUMIFS(Data!$L:$L,Data!$A:$A,$B104,Data!$C:$C,Q$1))</f>
        <v/>
      </c>
      <c r="R104" s="31">
        <f>SUM(C104:Q104)</f>
        <v>5</v>
      </c>
    </row>
    <row r="105" spans="1:18" x14ac:dyDescent="0.35">
      <c r="A105" s="79">
        <v>104</v>
      </c>
      <c r="B105" s="30" t="s">
        <v>363</v>
      </c>
      <c r="C105" s="31">
        <f>IF(SUMIFS(Data!$L:$L,Data!$A:$A,$B105,Data!$C:$C,C$1)=0,"",SUMIFS(Data!$L:$L,Data!$A:$A,$B105,Data!$C:$C,C$1))</f>
        <v>1.5</v>
      </c>
      <c r="D105" s="31" t="str">
        <f>IF(SUMIFS(Data!$L:$L,Data!$A:$A,$B105,Data!$C:$C,D$1)=0,"",SUMIFS(Data!$L:$L,Data!$A:$A,$B105,Data!$C:$C,D$1))</f>
        <v/>
      </c>
      <c r="E105" s="31" t="str">
        <f>IF(SUMIFS(Data!$L:$L,Data!$A:$A,$B105,Data!$C:$C,E$1)=0,"",SUMIFS(Data!$L:$L,Data!$A:$A,$B105,Data!$C:$C,E$1))</f>
        <v/>
      </c>
      <c r="F105" s="31" t="str">
        <f>IF(SUMIFS(Data!$L:$L,Data!$A:$A,$B105,Data!$C:$C,F$1)=0,"",SUMIFS(Data!$L:$L,Data!$A:$A,$B105,Data!$C:$C,F$1))</f>
        <v/>
      </c>
      <c r="G105" s="31" t="str">
        <f>IF(SUMIFS(Data!$L:$L,Data!$A:$A,$B105,Data!$C:$C,G$1)=0,"",SUMIFS(Data!$L:$L,Data!$A:$A,$B105,Data!$C:$C,G$1))</f>
        <v/>
      </c>
      <c r="H105" s="31" t="str">
        <f>IF(SUMIFS(Data!$L:$L,Data!$A:$A,$B105,Data!$C:$C,H$1)=0,"",SUMIFS(Data!$L:$L,Data!$A:$A,$B105,Data!$C:$C,H$1))</f>
        <v/>
      </c>
      <c r="I105" s="31" t="str">
        <f>IF(SUMIFS(Data!$L:$L,Data!$A:$A,$B105,Data!$C:$C,I$1)=0,"",SUMIFS(Data!$L:$L,Data!$A:$A,$B105,Data!$C:$C,I$1))</f>
        <v/>
      </c>
      <c r="J105" s="31" t="str">
        <f>IF(SUMIFS(Data!$L:$L,Data!$A:$A,$B105,Data!$C:$C,J$1)=0,"",SUMIFS(Data!$L:$L,Data!$A:$A,$B105,Data!$C:$C,J$1))</f>
        <v/>
      </c>
      <c r="K105" s="31" t="str">
        <f>IF(SUMIFS(Data!$L:$L,Data!$A:$A,$B105,Data!$C:$C,K$1)=0,"",SUMIFS(Data!$L:$L,Data!$A:$A,$B105,Data!$C:$C,K$1))</f>
        <v/>
      </c>
      <c r="L105" s="31">
        <f>IF(SUMIFS(Data!$L:$L,Data!$A:$A,$B105,Data!$C:$C,L$1)=0,"",SUMIFS(Data!$L:$L,Data!$A:$A,$B105,Data!$C:$C,L$1))</f>
        <v>1.25</v>
      </c>
      <c r="M105" s="31">
        <f>IF(SUMIFS(Data!$L:$L,Data!$A:$A,$B105,Data!$C:$C,M$1)=0,"",SUMIFS(Data!$L:$L,Data!$A:$A,$B105,Data!$C:$C,M$1))</f>
        <v>1.75</v>
      </c>
      <c r="N105" s="31" t="str">
        <f>IF(SUMIFS(Data!$L:$L,Data!$A:$A,$B105,Data!$C:$C,N$1)=0,"",SUMIFS(Data!$L:$L,Data!$A:$A,$B105,Data!$C:$C,N$1))</f>
        <v/>
      </c>
      <c r="O105" s="31" t="str">
        <f>IF(SUMIFS(Data!$L:$L,Data!$A:$A,$B105,Data!$C:$C,O$1)=0,"",SUMIFS(Data!$L:$L,Data!$A:$A,$B105,Data!$C:$C,O$1))</f>
        <v/>
      </c>
      <c r="P105" s="31" t="str">
        <f>IF(SUMIFS(Data!$L:$L,Data!$A:$A,$B105,Data!$C:$C,P$1)=0,"",SUMIFS(Data!$L:$L,Data!$A:$A,$B105,Data!$C:$C,P$1))</f>
        <v/>
      </c>
      <c r="Q105" s="31" t="str">
        <f>IF(SUMIFS(Data!$L:$L,Data!$A:$A,$B105,Data!$C:$C,Q$1)=0,"",SUMIFS(Data!$L:$L,Data!$A:$A,$B105,Data!$C:$C,Q$1))</f>
        <v/>
      </c>
      <c r="R105" s="31">
        <f>SUM(C105:Q105)</f>
        <v>4.5</v>
      </c>
    </row>
    <row r="106" spans="1:18" x14ac:dyDescent="0.35">
      <c r="A106" s="79">
        <v>105</v>
      </c>
      <c r="B106" s="30" t="s">
        <v>58</v>
      </c>
      <c r="C106" s="31" t="str">
        <f>IF(SUMIFS(Data!$L:$L,Data!$A:$A,$B106,Data!$C:$C,C$1)=0,"",SUMIFS(Data!$L:$L,Data!$A:$A,$B106,Data!$C:$C,C$1))</f>
        <v/>
      </c>
      <c r="D106" s="31" t="str">
        <f>IF(SUMIFS(Data!$L:$L,Data!$A:$A,$B106,Data!$C:$C,D$1)=0,"",SUMIFS(Data!$L:$L,Data!$A:$A,$B106,Data!$C:$C,D$1))</f>
        <v/>
      </c>
      <c r="E106" s="31" t="str">
        <f>IF(SUMIFS(Data!$L:$L,Data!$A:$A,$B106,Data!$C:$C,E$1)=0,"",SUMIFS(Data!$L:$L,Data!$A:$A,$B106,Data!$C:$C,E$1))</f>
        <v/>
      </c>
      <c r="F106" s="31" t="str">
        <f>IF(SUMIFS(Data!$L:$L,Data!$A:$A,$B106,Data!$C:$C,F$1)=0,"",SUMIFS(Data!$L:$L,Data!$A:$A,$B106,Data!$C:$C,F$1))</f>
        <v/>
      </c>
      <c r="G106" s="31" t="str">
        <f>IF(SUMIFS(Data!$L:$L,Data!$A:$A,$B106,Data!$C:$C,G$1)=0,"",SUMIFS(Data!$L:$L,Data!$A:$A,$B106,Data!$C:$C,G$1))</f>
        <v/>
      </c>
      <c r="H106" s="31" t="str">
        <f>IF(SUMIFS(Data!$L:$L,Data!$A:$A,$B106,Data!$C:$C,H$1)=0,"",SUMIFS(Data!$L:$L,Data!$A:$A,$B106,Data!$C:$C,H$1))</f>
        <v/>
      </c>
      <c r="I106" s="31" t="str">
        <f>IF(SUMIFS(Data!$L:$L,Data!$A:$A,$B106,Data!$C:$C,I$1)=0,"",SUMIFS(Data!$L:$L,Data!$A:$A,$B106,Data!$C:$C,I$1))</f>
        <v/>
      </c>
      <c r="J106" s="31" t="str">
        <f>IF(SUMIFS(Data!$L:$L,Data!$A:$A,$B106,Data!$C:$C,J$1)=0,"",SUMIFS(Data!$L:$L,Data!$A:$A,$B106,Data!$C:$C,J$1))</f>
        <v/>
      </c>
      <c r="K106" s="31">
        <f>IF(SUMIFS(Data!$L:$L,Data!$A:$A,$B106,Data!$C:$C,K$1)=0,"",SUMIFS(Data!$L:$L,Data!$A:$A,$B106,Data!$C:$C,K$1))</f>
        <v>0.5</v>
      </c>
      <c r="L106" s="31" t="str">
        <f>IF(SUMIFS(Data!$L:$L,Data!$A:$A,$B106,Data!$C:$C,L$1)=0,"",SUMIFS(Data!$L:$L,Data!$A:$A,$B106,Data!$C:$C,L$1))</f>
        <v/>
      </c>
      <c r="M106" s="31">
        <f>IF(SUMIFS(Data!$L:$L,Data!$A:$A,$B106,Data!$C:$C,M$1)=0,"",SUMIFS(Data!$L:$L,Data!$A:$A,$B106,Data!$C:$C,M$1))</f>
        <v>2</v>
      </c>
      <c r="N106" s="31" t="str">
        <f>IF(SUMIFS(Data!$L:$L,Data!$A:$A,$B106,Data!$C:$C,N$1)=0,"",SUMIFS(Data!$L:$L,Data!$A:$A,$B106,Data!$C:$C,N$1))</f>
        <v/>
      </c>
      <c r="O106" s="31" t="str">
        <f>IF(SUMIFS(Data!$L:$L,Data!$A:$A,$B106,Data!$C:$C,O$1)=0,"",SUMIFS(Data!$L:$L,Data!$A:$A,$B106,Data!$C:$C,O$1))</f>
        <v/>
      </c>
      <c r="P106" s="31" t="str">
        <f>IF(SUMIFS(Data!$L:$L,Data!$A:$A,$B106,Data!$C:$C,P$1)=0,"",SUMIFS(Data!$L:$L,Data!$A:$A,$B106,Data!$C:$C,P$1))</f>
        <v/>
      </c>
      <c r="Q106" s="31">
        <f>IF(SUMIFS(Data!$L:$L,Data!$A:$A,$B106,Data!$C:$C,Q$1)=0,"",SUMIFS(Data!$L:$L,Data!$A:$A,$B106,Data!$C:$C,Q$1))</f>
        <v>1.5</v>
      </c>
      <c r="R106" s="31">
        <f>SUM(C106:Q106)</f>
        <v>4</v>
      </c>
    </row>
    <row r="107" spans="1:18" x14ac:dyDescent="0.35">
      <c r="A107" s="79">
        <v>106</v>
      </c>
      <c r="B107" s="30" t="s">
        <v>338</v>
      </c>
      <c r="C107" s="31">
        <f>IF(SUMIFS(Data!$L:$L,Data!$A:$A,$B107,Data!$C:$C,C$1)=0,"",SUMIFS(Data!$L:$L,Data!$A:$A,$B107,Data!$C:$C,C$1))</f>
        <v>3.25</v>
      </c>
      <c r="D107" s="31" t="str">
        <f>IF(SUMIFS(Data!$L:$L,Data!$A:$A,$B107,Data!$C:$C,D$1)=0,"",SUMIFS(Data!$L:$L,Data!$A:$A,$B107,Data!$C:$C,D$1))</f>
        <v/>
      </c>
      <c r="E107" s="31" t="str">
        <f>IF(SUMIFS(Data!$L:$L,Data!$A:$A,$B107,Data!$C:$C,E$1)=0,"",SUMIFS(Data!$L:$L,Data!$A:$A,$B107,Data!$C:$C,E$1))</f>
        <v/>
      </c>
      <c r="F107" s="31" t="str">
        <f>IF(SUMIFS(Data!$L:$L,Data!$A:$A,$B107,Data!$C:$C,F$1)=0,"",SUMIFS(Data!$L:$L,Data!$A:$A,$B107,Data!$C:$C,F$1))</f>
        <v/>
      </c>
      <c r="G107" s="31" t="str">
        <f>IF(SUMIFS(Data!$L:$L,Data!$A:$A,$B107,Data!$C:$C,G$1)=0,"",SUMIFS(Data!$L:$L,Data!$A:$A,$B107,Data!$C:$C,G$1))</f>
        <v/>
      </c>
      <c r="H107" s="31" t="str">
        <f>IF(SUMIFS(Data!$L:$L,Data!$A:$A,$B107,Data!$C:$C,H$1)=0,"",SUMIFS(Data!$L:$L,Data!$A:$A,$B107,Data!$C:$C,H$1))</f>
        <v/>
      </c>
      <c r="I107" s="31" t="str">
        <f>IF(SUMIFS(Data!$L:$L,Data!$A:$A,$B107,Data!$C:$C,I$1)=0,"",SUMIFS(Data!$L:$L,Data!$A:$A,$B107,Data!$C:$C,I$1))</f>
        <v/>
      </c>
      <c r="J107" s="31" t="str">
        <f>IF(SUMIFS(Data!$L:$L,Data!$A:$A,$B107,Data!$C:$C,J$1)=0,"",SUMIFS(Data!$L:$L,Data!$A:$A,$B107,Data!$C:$C,J$1))</f>
        <v/>
      </c>
      <c r="K107" s="31" t="str">
        <f>IF(SUMIFS(Data!$L:$L,Data!$A:$A,$B107,Data!$C:$C,K$1)=0,"",SUMIFS(Data!$L:$L,Data!$A:$A,$B107,Data!$C:$C,K$1))</f>
        <v/>
      </c>
      <c r="L107" s="31" t="str">
        <f>IF(SUMIFS(Data!$L:$L,Data!$A:$A,$B107,Data!$C:$C,L$1)=0,"",SUMIFS(Data!$L:$L,Data!$A:$A,$B107,Data!$C:$C,L$1))</f>
        <v/>
      </c>
      <c r="M107" s="31" t="str">
        <f>IF(SUMIFS(Data!$L:$L,Data!$A:$A,$B107,Data!$C:$C,M$1)=0,"",SUMIFS(Data!$L:$L,Data!$A:$A,$B107,Data!$C:$C,M$1))</f>
        <v/>
      </c>
      <c r="N107" s="31" t="str">
        <f>IF(SUMIFS(Data!$L:$L,Data!$A:$A,$B107,Data!$C:$C,N$1)=0,"",SUMIFS(Data!$L:$L,Data!$A:$A,$B107,Data!$C:$C,N$1))</f>
        <v/>
      </c>
      <c r="O107" s="31" t="str">
        <f>IF(SUMIFS(Data!$L:$L,Data!$A:$A,$B107,Data!$C:$C,O$1)=0,"",SUMIFS(Data!$L:$L,Data!$A:$A,$B107,Data!$C:$C,O$1))</f>
        <v/>
      </c>
      <c r="P107" s="31" t="str">
        <f>IF(SUMIFS(Data!$L:$L,Data!$A:$A,$B107,Data!$C:$C,P$1)=0,"",SUMIFS(Data!$L:$L,Data!$A:$A,$B107,Data!$C:$C,P$1))</f>
        <v/>
      </c>
      <c r="Q107" s="31" t="str">
        <f>IF(SUMIFS(Data!$L:$L,Data!$A:$A,$B107,Data!$C:$C,Q$1)=0,"",SUMIFS(Data!$L:$L,Data!$A:$A,$B107,Data!$C:$C,Q$1))</f>
        <v/>
      </c>
      <c r="R107" s="31">
        <f>SUM(C107:Q107)</f>
        <v>3.25</v>
      </c>
    </row>
    <row r="108" spans="1:18" x14ac:dyDescent="0.35">
      <c r="A108" s="79">
        <v>107</v>
      </c>
      <c r="B108" s="30" t="s">
        <v>365</v>
      </c>
      <c r="C108" s="31">
        <f>IF(SUMIFS(Data!$L:$L,Data!$A:$A,$B108,Data!$C:$C,C$1)=0,"",SUMIFS(Data!$L:$L,Data!$A:$A,$B108,Data!$C:$C,C$1))</f>
        <v>0.75</v>
      </c>
      <c r="D108" s="31">
        <f>IF(SUMIFS(Data!$L:$L,Data!$A:$A,$B108,Data!$C:$C,D$1)=0,"",SUMIFS(Data!$L:$L,Data!$A:$A,$B108,Data!$C:$C,D$1))</f>
        <v>1.25</v>
      </c>
      <c r="E108" s="31" t="str">
        <f>IF(SUMIFS(Data!$L:$L,Data!$A:$A,$B108,Data!$C:$C,E$1)=0,"",SUMIFS(Data!$L:$L,Data!$A:$A,$B108,Data!$C:$C,E$1))</f>
        <v/>
      </c>
      <c r="F108" s="31" t="str">
        <f>IF(SUMIFS(Data!$L:$L,Data!$A:$A,$B108,Data!$C:$C,F$1)=0,"",SUMIFS(Data!$L:$L,Data!$A:$A,$B108,Data!$C:$C,F$1))</f>
        <v/>
      </c>
      <c r="G108" s="31">
        <f>IF(SUMIFS(Data!$L:$L,Data!$A:$A,$B108,Data!$C:$C,G$1)=0,"",SUMIFS(Data!$L:$L,Data!$A:$A,$B108,Data!$C:$C,G$1))</f>
        <v>1</v>
      </c>
      <c r="H108" s="31" t="str">
        <f>IF(SUMIFS(Data!$L:$L,Data!$A:$A,$B108,Data!$C:$C,H$1)=0,"",SUMIFS(Data!$L:$L,Data!$A:$A,$B108,Data!$C:$C,H$1))</f>
        <v/>
      </c>
      <c r="I108" s="31" t="str">
        <f>IF(SUMIFS(Data!$L:$L,Data!$A:$A,$B108,Data!$C:$C,I$1)=0,"",SUMIFS(Data!$L:$L,Data!$A:$A,$B108,Data!$C:$C,I$1))</f>
        <v/>
      </c>
      <c r="J108" s="31" t="str">
        <f>IF(SUMIFS(Data!$L:$L,Data!$A:$A,$B108,Data!$C:$C,J$1)=0,"",SUMIFS(Data!$L:$L,Data!$A:$A,$B108,Data!$C:$C,J$1))</f>
        <v/>
      </c>
      <c r="K108" s="31" t="str">
        <f>IF(SUMIFS(Data!$L:$L,Data!$A:$A,$B108,Data!$C:$C,K$1)=0,"",SUMIFS(Data!$L:$L,Data!$A:$A,$B108,Data!$C:$C,K$1))</f>
        <v/>
      </c>
      <c r="L108" s="31" t="str">
        <f>IF(SUMIFS(Data!$L:$L,Data!$A:$A,$B108,Data!$C:$C,L$1)=0,"",SUMIFS(Data!$L:$L,Data!$A:$A,$B108,Data!$C:$C,L$1))</f>
        <v/>
      </c>
      <c r="M108" s="31" t="str">
        <f>IF(SUMIFS(Data!$L:$L,Data!$A:$A,$B108,Data!$C:$C,M$1)=0,"",SUMIFS(Data!$L:$L,Data!$A:$A,$B108,Data!$C:$C,M$1))</f>
        <v/>
      </c>
      <c r="N108" s="31" t="str">
        <f>IF(SUMIFS(Data!$L:$L,Data!$A:$A,$B108,Data!$C:$C,N$1)=0,"",SUMIFS(Data!$L:$L,Data!$A:$A,$B108,Data!$C:$C,N$1))</f>
        <v/>
      </c>
      <c r="O108" s="31" t="str">
        <f>IF(SUMIFS(Data!$L:$L,Data!$A:$A,$B108,Data!$C:$C,O$1)=0,"",SUMIFS(Data!$L:$L,Data!$A:$A,$B108,Data!$C:$C,O$1))</f>
        <v/>
      </c>
      <c r="P108" s="31" t="str">
        <f>IF(SUMIFS(Data!$L:$L,Data!$A:$A,$B108,Data!$C:$C,P$1)=0,"",SUMIFS(Data!$L:$L,Data!$A:$A,$B108,Data!$C:$C,P$1))</f>
        <v/>
      </c>
      <c r="Q108" s="31" t="str">
        <f>IF(SUMIFS(Data!$L:$L,Data!$A:$A,$B108,Data!$C:$C,Q$1)=0,"",SUMIFS(Data!$L:$L,Data!$A:$A,$B108,Data!$C:$C,Q$1))</f>
        <v/>
      </c>
      <c r="R108" s="31">
        <f>SUM(C108:Q108)</f>
        <v>3</v>
      </c>
    </row>
    <row r="109" spans="1:18" x14ac:dyDescent="0.35">
      <c r="A109" s="79">
        <v>108</v>
      </c>
      <c r="B109" s="30" t="s">
        <v>381</v>
      </c>
      <c r="C109" s="31" t="str">
        <f>IF(SUMIFS(Data!$L:$L,Data!$A:$A,$B109,Data!$C:$C,C$1)=0,"",SUMIFS(Data!$L:$L,Data!$A:$A,$B109,Data!$C:$C,C$1))</f>
        <v/>
      </c>
      <c r="D109" s="31">
        <f>IF(SUMIFS(Data!$L:$L,Data!$A:$A,$B109,Data!$C:$C,D$1)=0,"",SUMIFS(Data!$L:$L,Data!$A:$A,$B109,Data!$C:$C,D$1))</f>
        <v>1</v>
      </c>
      <c r="E109" s="31" t="str">
        <f>IF(SUMIFS(Data!$L:$L,Data!$A:$A,$B109,Data!$C:$C,E$1)=0,"",SUMIFS(Data!$L:$L,Data!$A:$A,$B109,Data!$C:$C,E$1))</f>
        <v/>
      </c>
      <c r="F109" s="31">
        <f>IF(SUMIFS(Data!$L:$L,Data!$A:$A,$B109,Data!$C:$C,F$1)=0,"",SUMIFS(Data!$L:$L,Data!$A:$A,$B109,Data!$C:$C,F$1))</f>
        <v>1.5</v>
      </c>
      <c r="G109" s="31" t="str">
        <f>IF(SUMIFS(Data!$L:$L,Data!$A:$A,$B109,Data!$C:$C,G$1)=0,"",SUMIFS(Data!$L:$L,Data!$A:$A,$B109,Data!$C:$C,G$1))</f>
        <v/>
      </c>
      <c r="H109" s="31" t="str">
        <f>IF(SUMIFS(Data!$L:$L,Data!$A:$A,$B109,Data!$C:$C,H$1)=0,"",SUMIFS(Data!$L:$L,Data!$A:$A,$B109,Data!$C:$C,H$1))</f>
        <v/>
      </c>
      <c r="I109" s="31" t="str">
        <f>IF(SUMIFS(Data!$L:$L,Data!$A:$A,$B109,Data!$C:$C,I$1)=0,"",SUMIFS(Data!$L:$L,Data!$A:$A,$B109,Data!$C:$C,I$1))</f>
        <v/>
      </c>
      <c r="J109" s="31" t="str">
        <f>IF(SUMIFS(Data!$L:$L,Data!$A:$A,$B109,Data!$C:$C,J$1)=0,"",SUMIFS(Data!$L:$L,Data!$A:$A,$B109,Data!$C:$C,J$1))</f>
        <v/>
      </c>
      <c r="K109" s="31" t="str">
        <f>IF(SUMIFS(Data!$L:$L,Data!$A:$A,$B109,Data!$C:$C,K$1)=0,"",SUMIFS(Data!$L:$L,Data!$A:$A,$B109,Data!$C:$C,K$1))</f>
        <v/>
      </c>
      <c r="L109" s="31" t="str">
        <f>IF(SUMIFS(Data!$L:$L,Data!$A:$A,$B109,Data!$C:$C,L$1)=0,"",SUMIFS(Data!$L:$L,Data!$A:$A,$B109,Data!$C:$C,L$1))</f>
        <v/>
      </c>
      <c r="M109" s="31" t="str">
        <f>IF(SUMIFS(Data!$L:$L,Data!$A:$A,$B109,Data!$C:$C,M$1)=0,"",SUMIFS(Data!$L:$L,Data!$A:$A,$B109,Data!$C:$C,M$1))</f>
        <v/>
      </c>
      <c r="N109" s="31" t="str">
        <f>IF(SUMIFS(Data!$L:$L,Data!$A:$A,$B109,Data!$C:$C,N$1)=0,"",SUMIFS(Data!$L:$L,Data!$A:$A,$B109,Data!$C:$C,N$1))</f>
        <v/>
      </c>
      <c r="O109" s="31" t="str">
        <f>IF(SUMIFS(Data!$L:$L,Data!$A:$A,$B109,Data!$C:$C,O$1)=0,"",SUMIFS(Data!$L:$L,Data!$A:$A,$B109,Data!$C:$C,O$1))</f>
        <v/>
      </c>
      <c r="P109" s="31" t="str">
        <f>IF(SUMIFS(Data!$L:$L,Data!$A:$A,$B109,Data!$C:$C,P$1)=0,"",SUMIFS(Data!$L:$L,Data!$A:$A,$B109,Data!$C:$C,P$1))</f>
        <v/>
      </c>
      <c r="Q109" s="31" t="str">
        <f>IF(SUMIFS(Data!$L:$L,Data!$A:$A,$B109,Data!$C:$C,Q$1)=0,"",SUMIFS(Data!$L:$L,Data!$A:$A,$B109,Data!$C:$C,Q$1))</f>
        <v/>
      </c>
      <c r="R109" s="31">
        <f>SUM(C109:Q109)</f>
        <v>2.5</v>
      </c>
    </row>
    <row r="110" spans="1:18" x14ac:dyDescent="0.35">
      <c r="A110" s="79">
        <v>109</v>
      </c>
      <c r="B110" s="30" t="s">
        <v>304</v>
      </c>
      <c r="C110" s="31" t="str">
        <f>IF(SUMIFS(Data!$L:$L,Data!$A:$A,$B110,Data!$C:$C,C$1)=0,"",SUMIFS(Data!$L:$L,Data!$A:$A,$B110,Data!$C:$C,C$1))</f>
        <v/>
      </c>
      <c r="D110" s="31" t="str">
        <f>IF(SUMIFS(Data!$L:$L,Data!$A:$A,$B110,Data!$C:$C,D$1)=0,"",SUMIFS(Data!$L:$L,Data!$A:$A,$B110,Data!$C:$C,D$1))</f>
        <v/>
      </c>
      <c r="E110" s="31">
        <f>IF(SUMIFS(Data!$L:$L,Data!$A:$A,$B110,Data!$C:$C,E$1)=0,"",SUMIFS(Data!$L:$L,Data!$A:$A,$B110,Data!$C:$C,E$1))</f>
        <v>1.75</v>
      </c>
      <c r="F110" s="31" t="str">
        <f>IF(SUMIFS(Data!$L:$L,Data!$A:$A,$B110,Data!$C:$C,F$1)=0,"",SUMIFS(Data!$L:$L,Data!$A:$A,$B110,Data!$C:$C,F$1))</f>
        <v/>
      </c>
      <c r="G110" s="31" t="str">
        <f>IF(SUMIFS(Data!$L:$L,Data!$A:$A,$B110,Data!$C:$C,G$1)=0,"",SUMIFS(Data!$L:$L,Data!$A:$A,$B110,Data!$C:$C,G$1))</f>
        <v/>
      </c>
      <c r="H110" s="31" t="str">
        <f>IF(SUMIFS(Data!$L:$L,Data!$A:$A,$B110,Data!$C:$C,H$1)=0,"",SUMIFS(Data!$L:$L,Data!$A:$A,$B110,Data!$C:$C,H$1))</f>
        <v/>
      </c>
      <c r="I110" s="31" t="str">
        <f>IF(SUMIFS(Data!$L:$L,Data!$A:$A,$B110,Data!$C:$C,I$1)=0,"",SUMIFS(Data!$L:$L,Data!$A:$A,$B110,Data!$C:$C,I$1))</f>
        <v/>
      </c>
      <c r="J110" s="31" t="str">
        <f>IF(SUMIFS(Data!$L:$L,Data!$A:$A,$B110,Data!$C:$C,J$1)=0,"",SUMIFS(Data!$L:$L,Data!$A:$A,$B110,Data!$C:$C,J$1))</f>
        <v/>
      </c>
      <c r="K110" s="31" t="str">
        <f>IF(SUMIFS(Data!$L:$L,Data!$A:$A,$B110,Data!$C:$C,K$1)=0,"",SUMIFS(Data!$L:$L,Data!$A:$A,$B110,Data!$C:$C,K$1))</f>
        <v/>
      </c>
      <c r="L110" s="31" t="str">
        <f>IF(SUMIFS(Data!$L:$L,Data!$A:$A,$B110,Data!$C:$C,L$1)=0,"",SUMIFS(Data!$L:$L,Data!$A:$A,$B110,Data!$C:$C,L$1))</f>
        <v/>
      </c>
      <c r="M110" s="31" t="str">
        <f>IF(SUMIFS(Data!$L:$L,Data!$A:$A,$B110,Data!$C:$C,M$1)=0,"",SUMIFS(Data!$L:$L,Data!$A:$A,$B110,Data!$C:$C,M$1))</f>
        <v/>
      </c>
      <c r="N110" s="31" t="str">
        <f>IF(SUMIFS(Data!$L:$L,Data!$A:$A,$B110,Data!$C:$C,N$1)=0,"",SUMIFS(Data!$L:$L,Data!$A:$A,$B110,Data!$C:$C,N$1))</f>
        <v/>
      </c>
      <c r="O110" s="31" t="str">
        <f>IF(SUMIFS(Data!$L:$L,Data!$A:$A,$B110,Data!$C:$C,O$1)=0,"",SUMIFS(Data!$L:$L,Data!$A:$A,$B110,Data!$C:$C,O$1))</f>
        <v/>
      </c>
      <c r="P110" s="31" t="str">
        <f>IF(SUMIFS(Data!$L:$L,Data!$A:$A,$B110,Data!$C:$C,P$1)=0,"",SUMIFS(Data!$L:$L,Data!$A:$A,$B110,Data!$C:$C,P$1))</f>
        <v/>
      </c>
      <c r="Q110" s="31" t="str">
        <f>IF(SUMIFS(Data!$L:$L,Data!$A:$A,$B110,Data!$C:$C,Q$1)=0,"",SUMIFS(Data!$L:$L,Data!$A:$A,$B110,Data!$C:$C,Q$1))</f>
        <v/>
      </c>
      <c r="R110" s="31">
        <f>SUM(C110:Q110)</f>
        <v>1.75</v>
      </c>
    </row>
    <row r="111" spans="1:18" x14ac:dyDescent="0.35">
      <c r="A111" s="79">
        <v>110</v>
      </c>
      <c r="B111" s="30" t="s">
        <v>371</v>
      </c>
      <c r="C111" s="31">
        <f>IF(SUMIFS(Data!$L:$L,Data!$A:$A,$B111,Data!$C:$C,C$1)=0,"",SUMIFS(Data!$L:$L,Data!$A:$A,$B111,Data!$C:$C,C$1))</f>
        <v>1.5</v>
      </c>
      <c r="D111" s="31" t="str">
        <f>IF(SUMIFS(Data!$L:$L,Data!$A:$A,$B111,Data!$C:$C,D$1)=0,"",SUMIFS(Data!$L:$L,Data!$A:$A,$B111,Data!$C:$C,D$1))</f>
        <v/>
      </c>
      <c r="E111" s="31" t="str">
        <f>IF(SUMIFS(Data!$L:$L,Data!$A:$A,$B111,Data!$C:$C,E$1)=0,"",SUMIFS(Data!$L:$L,Data!$A:$A,$B111,Data!$C:$C,E$1))</f>
        <v/>
      </c>
      <c r="F111" s="31" t="str">
        <f>IF(SUMIFS(Data!$L:$L,Data!$A:$A,$B111,Data!$C:$C,F$1)=0,"",SUMIFS(Data!$L:$L,Data!$A:$A,$B111,Data!$C:$C,F$1))</f>
        <v/>
      </c>
      <c r="G111" s="31" t="str">
        <f>IF(SUMIFS(Data!$L:$L,Data!$A:$A,$B111,Data!$C:$C,G$1)=0,"",SUMIFS(Data!$L:$L,Data!$A:$A,$B111,Data!$C:$C,G$1))</f>
        <v/>
      </c>
      <c r="H111" s="31" t="str">
        <f>IF(SUMIFS(Data!$L:$L,Data!$A:$A,$B111,Data!$C:$C,H$1)=0,"",SUMIFS(Data!$L:$L,Data!$A:$A,$B111,Data!$C:$C,H$1))</f>
        <v/>
      </c>
      <c r="I111" s="31" t="str">
        <f>IF(SUMIFS(Data!$L:$L,Data!$A:$A,$B111,Data!$C:$C,I$1)=0,"",SUMIFS(Data!$L:$L,Data!$A:$A,$B111,Data!$C:$C,I$1))</f>
        <v/>
      </c>
      <c r="J111" s="31" t="str">
        <f>IF(SUMIFS(Data!$L:$L,Data!$A:$A,$B111,Data!$C:$C,J$1)=0,"",SUMIFS(Data!$L:$L,Data!$A:$A,$B111,Data!$C:$C,J$1))</f>
        <v/>
      </c>
      <c r="K111" s="31" t="str">
        <f>IF(SUMIFS(Data!$L:$L,Data!$A:$A,$B111,Data!$C:$C,K$1)=0,"",SUMIFS(Data!$L:$L,Data!$A:$A,$B111,Data!$C:$C,K$1))</f>
        <v/>
      </c>
      <c r="L111" s="31" t="str">
        <f>IF(SUMIFS(Data!$L:$L,Data!$A:$A,$B111,Data!$C:$C,L$1)=0,"",SUMIFS(Data!$L:$L,Data!$A:$A,$B111,Data!$C:$C,L$1))</f>
        <v/>
      </c>
      <c r="M111" s="31" t="str">
        <f>IF(SUMIFS(Data!$L:$L,Data!$A:$A,$B111,Data!$C:$C,M$1)=0,"",SUMIFS(Data!$L:$L,Data!$A:$A,$B111,Data!$C:$C,M$1))</f>
        <v/>
      </c>
      <c r="N111" s="31" t="str">
        <f>IF(SUMIFS(Data!$L:$L,Data!$A:$A,$B111,Data!$C:$C,N$1)=0,"",SUMIFS(Data!$L:$L,Data!$A:$A,$B111,Data!$C:$C,N$1))</f>
        <v/>
      </c>
      <c r="O111" s="31" t="str">
        <f>IF(SUMIFS(Data!$L:$L,Data!$A:$A,$B111,Data!$C:$C,O$1)=0,"",SUMIFS(Data!$L:$L,Data!$A:$A,$B111,Data!$C:$C,O$1))</f>
        <v/>
      </c>
      <c r="P111" s="31" t="str">
        <f>IF(SUMIFS(Data!$L:$L,Data!$A:$A,$B111,Data!$C:$C,P$1)=0,"",SUMIFS(Data!$L:$L,Data!$A:$A,$B111,Data!$C:$C,P$1))</f>
        <v/>
      </c>
      <c r="Q111" s="31" t="str">
        <f>IF(SUMIFS(Data!$L:$L,Data!$A:$A,$B111,Data!$C:$C,Q$1)=0,"",SUMIFS(Data!$L:$L,Data!$A:$A,$B111,Data!$C:$C,Q$1))</f>
        <v/>
      </c>
      <c r="R111" s="31">
        <f>SUM(C111:Q111)</f>
        <v>1.5</v>
      </c>
    </row>
    <row r="112" spans="1:18" x14ac:dyDescent="0.35">
      <c r="A112" s="79">
        <v>111</v>
      </c>
      <c r="B112" s="30" t="s">
        <v>342</v>
      </c>
      <c r="C112" s="31">
        <f>IF(SUMIFS(Data!$L:$L,Data!$A:$A,$B112,Data!$C:$C,C$1)=0,"",SUMIFS(Data!$L:$L,Data!$A:$A,$B112,Data!$C:$C,C$1))</f>
        <v>1.5</v>
      </c>
      <c r="D112" s="31" t="str">
        <f>IF(SUMIFS(Data!$L:$L,Data!$A:$A,$B112,Data!$C:$C,D$1)=0,"",SUMIFS(Data!$L:$L,Data!$A:$A,$B112,Data!$C:$C,D$1))</f>
        <v/>
      </c>
      <c r="E112" s="31" t="str">
        <f>IF(SUMIFS(Data!$L:$L,Data!$A:$A,$B112,Data!$C:$C,E$1)=0,"",SUMIFS(Data!$L:$L,Data!$A:$A,$B112,Data!$C:$C,E$1))</f>
        <v/>
      </c>
      <c r="F112" s="31" t="str">
        <f>IF(SUMIFS(Data!$L:$L,Data!$A:$A,$B112,Data!$C:$C,F$1)=0,"",SUMIFS(Data!$L:$L,Data!$A:$A,$B112,Data!$C:$C,F$1))</f>
        <v/>
      </c>
      <c r="G112" s="31" t="str">
        <f>IF(SUMIFS(Data!$L:$L,Data!$A:$A,$B112,Data!$C:$C,G$1)=0,"",SUMIFS(Data!$L:$L,Data!$A:$A,$B112,Data!$C:$C,G$1))</f>
        <v/>
      </c>
      <c r="H112" s="31" t="str">
        <f>IF(SUMIFS(Data!$L:$L,Data!$A:$A,$B112,Data!$C:$C,H$1)=0,"",SUMIFS(Data!$L:$L,Data!$A:$A,$B112,Data!$C:$C,H$1))</f>
        <v/>
      </c>
      <c r="I112" s="31" t="str">
        <f>IF(SUMIFS(Data!$L:$L,Data!$A:$A,$B112,Data!$C:$C,I$1)=0,"",SUMIFS(Data!$L:$L,Data!$A:$A,$B112,Data!$C:$C,I$1))</f>
        <v/>
      </c>
      <c r="J112" s="31" t="str">
        <f>IF(SUMIFS(Data!$L:$L,Data!$A:$A,$B112,Data!$C:$C,J$1)=0,"",SUMIFS(Data!$L:$L,Data!$A:$A,$B112,Data!$C:$C,J$1))</f>
        <v/>
      </c>
      <c r="K112" s="31" t="str">
        <f>IF(SUMIFS(Data!$L:$L,Data!$A:$A,$B112,Data!$C:$C,K$1)=0,"",SUMIFS(Data!$L:$L,Data!$A:$A,$B112,Data!$C:$C,K$1))</f>
        <v/>
      </c>
      <c r="L112" s="31" t="str">
        <f>IF(SUMIFS(Data!$L:$L,Data!$A:$A,$B112,Data!$C:$C,L$1)=0,"",SUMIFS(Data!$L:$L,Data!$A:$A,$B112,Data!$C:$C,L$1))</f>
        <v/>
      </c>
      <c r="M112" s="31" t="str">
        <f>IF(SUMIFS(Data!$L:$L,Data!$A:$A,$B112,Data!$C:$C,M$1)=0,"",SUMIFS(Data!$L:$L,Data!$A:$A,$B112,Data!$C:$C,M$1))</f>
        <v/>
      </c>
      <c r="N112" s="31" t="str">
        <f>IF(SUMIFS(Data!$L:$L,Data!$A:$A,$B112,Data!$C:$C,N$1)=0,"",SUMIFS(Data!$L:$L,Data!$A:$A,$B112,Data!$C:$C,N$1))</f>
        <v/>
      </c>
      <c r="O112" s="31" t="str">
        <f>IF(SUMIFS(Data!$L:$L,Data!$A:$A,$B112,Data!$C:$C,O$1)=0,"",SUMIFS(Data!$L:$L,Data!$A:$A,$B112,Data!$C:$C,O$1))</f>
        <v/>
      </c>
      <c r="P112" s="31" t="str">
        <f>IF(SUMIFS(Data!$L:$L,Data!$A:$A,$B112,Data!$C:$C,P$1)=0,"",SUMIFS(Data!$L:$L,Data!$A:$A,$B112,Data!$C:$C,P$1))</f>
        <v/>
      </c>
      <c r="Q112" s="31" t="str">
        <f>IF(SUMIFS(Data!$L:$L,Data!$A:$A,$B112,Data!$C:$C,Q$1)=0,"",SUMIFS(Data!$L:$L,Data!$A:$A,$B112,Data!$C:$C,Q$1))</f>
        <v/>
      </c>
      <c r="R112" s="31">
        <f>SUM(C112:Q112)</f>
        <v>1.5</v>
      </c>
    </row>
    <row r="113" spans="1:18" x14ac:dyDescent="0.35">
      <c r="A113" s="79">
        <v>112</v>
      </c>
      <c r="B113" s="30" t="s">
        <v>352</v>
      </c>
      <c r="C113" s="31">
        <f>IF(SUMIFS(Data!$L:$L,Data!$A:$A,$B113,Data!$C:$C,C$1)=0,"",SUMIFS(Data!$L:$L,Data!$A:$A,$B113,Data!$C:$C,C$1))</f>
        <v>0.75</v>
      </c>
      <c r="D113" s="31">
        <f>IF(SUMIFS(Data!$L:$L,Data!$A:$A,$B113,Data!$C:$C,D$1)=0,"",SUMIFS(Data!$L:$L,Data!$A:$A,$B113,Data!$C:$C,D$1))</f>
        <v>0.5</v>
      </c>
      <c r="E113" s="31" t="str">
        <f>IF(SUMIFS(Data!$L:$L,Data!$A:$A,$B113,Data!$C:$C,E$1)=0,"",SUMIFS(Data!$L:$L,Data!$A:$A,$B113,Data!$C:$C,E$1))</f>
        <v/>
      </c>
      <c r="F113" s="31" t="str">
        <f>IF(SUMIFS(Data!$L:$L,Data!$A:$A,$B113,Data!$C:$C,F$1)=0,"",SUMIFS(Data!$L:$L,Data!$A:$A,$B113,Data!$C:$C,F$1))</f>
        <v/>
      </c>
      <c r="G113" s="31" t="str">
        <f>IF(SUMIFS(Data!$L:$L,Data!$A:$A,$B113,Data!$C:$C,G$1)=0,"",SUMIFS(Data!$L:$L,Data!$A:$A,$B113,Data!$C:$C,G$1))</f>
        <v/>
      </c>
      <c r="H113" s="31" t="str">
        <f>IF(SUMIFS(Data!$L:$L,Data!$A:$A,$B113,Data!$C:$C,H$1)=0,"",SUMIFS(Data!$L:$L,Data!$A:$A,$B113,Data!$C:$C,H$1))</f>
        <v/>
      </c>
      <c r="I113" s="31" t="str">
        <f>IF(SUMIFS(Data!$L:$L,Data!$A:$A,$B113,Data!$C:$C,I$1)=0,"",SUMIFS(Data!$L:$L,Data!$A:$A,$B113,Data!$C:$C,I$1))</f>
        <v/>
      </c>
      <c r="J113" s="31" t="str">
        <f>IF(SUMIFS(Data!$L:$L,Data!$A:$A,$B113,Data!$C:$C,J$1)=0,"",SUMIFS(Data!$L:$L,Data!$A:$A,$B113,Data!$C:$C,J$1))</f>
        <v/>
      </c>
      <c r="K113" s="31" t="str">
        <f>IF(SUMIFS(Data!$L:$L,Data!$A:$A,$B113,Data!$C:$C,K$1)=0,"",SUMIFS(Data!$L:$L,Data!$A:$A,$B113,Data!$C:$C,K$1))</f>
        <v/>
      </c>
      <c r="L113" s="31" t="str">
        <f>IF(SUMIFS(Data!$L:$L,Data!$A:$A,$B113,Data!$C:$C,L$1)=0,"",SUMIFS(Data!$L:$L,Data!$A:$A,$B113,Data!$C:$C,L$1))</f>
        <v/>
      </c>
      <c r="M113" s="31" t="str">
        <f>IF(SUMIFS(Data!$L:$L,Data!$A:$A,$B113,Data!$C:$C,M$1)=0,"",SUMIFS(Data!$L:$L,Data!$A:$A,$B113,Data!$C:$C,M$1))</f>
        <v/>
      </c>
      <c r="N113" s="31" t="str">
        <f>IF(SUMIFS(Data!$L:$L,Data!$A:$A,$B113,Data!$C:$C,N$1)=0,"",SUMIFS(Data!$L:$L,Data!$A:$A,$B113,Data!$C:$C,N$1))</f>
        <v/>
      </c>
      <c r="O113" s="31" t="str">
        <f>IF(SUMIFS(Data!$L:$L,Data!$A:$A,$B113,Data!$C:$C,O$1)=0,"",SUMIFS(Data!$L:$L,Data!$A:$A,$B113,Data!$C:$C,O$1))</f>
        <v/>
      </c>
      <c r="P113" s="31" t="str">
        <f>IF(SUMIFS(Data!$L:$L,Data!$A:$A,$B113,Data!$C:$C,P$1)=0,"",SUMIFS(Data!$L:$L,Data!$A:$A,$B113,Data!$C:$C,P$1))</f>
        <v/>
      </c>
      <c r="Q113" s="31" t="str">
        <f>IF(SUMIFS(Data!$L:$L,Data!$A:$A,$B113,Data!$C:$C,Q$1)=0,"",SUMIFS(Data!$L:$L,Data!$A:$A,$B113,Data!$C:$C,Q$1))</f>
        <v/>
      </c>
      <c r="R113" s="31">
        <f>SUM(C113:Q113)</f>
        <v>1.25</v>
      </c>
    </row>
    <row r="114" spans="1:18" x14ac:dyDescent="0.35">
      <c r="A114" s="79">
        <v>113</v>
      </c>
      <c r="B114" s="30" t="s">
        <v>385</v>
      </c>
      <c r="C114" s="31" t="str">
        <f>IF(SUMIFS(Data!$L:$L,Data!$A:$A,$B114,Data!$C:$C,C$1)=0,"",SUMIFS(Data!$L:$L,Data!$A:$A,$B114,Data!$C:$C,C$1))</f>
        <v/>
      </c>
      <c r="D114" s="31">
        <f>IF(SUMIFS(Data!$L:$L,Data!$A:$A,$B114,Data!$C:$C,D$1)=0,"",SUMIFS(Data!$L:$L,Data!$A:$A,$B114,Data!$C:$C,D$1))</f>
        <v>1.25</v>
      </c>
      <c r="E114" s="31" t="str">
        <f>IF(SUMIFS(Data!$L:$L,Data!$A:$A,$B114,Data!$C:$C,E$1)=0,"",SUMIFS(Data!$L:$L,Data!$A:$A,$B114,Data!$C:$C,E$1))</f>
        <v/>
      </c>
      <c r="F114" s="31" t="str">
        <f>IF(SUMIFS(Data!$L:$L,Data!$A:$A,$B114,Data!$C:$C,F$1)=0,"",SUMIFS(Data!$L:$L,Data!$A:$A,$B114,Data!$C:$C,F$1))</f>
        <v/>
      </c>
      <c r="G114" s="31" t="str">
        <f>IF(SUMIFS(Data!$L:$L,Data!$A:$A,$B114,Data!$C:$C,G$1)=0,"",SUMIFS(Data!$L:$L,Data!$A:$A,$B114,Data!$C:$C,G$1))</f>
        <v/>
      </c>
      <c r="H114" s="31" t="str">
        <f>IF(SUMIFS(Data!$L:$L,Data!$A:$A,$B114,Data!$C:$C,H$1)=0,"",SUMIFS(Data!$L:$L,Data!$A:$A,$B114,Data!$C:$C,H$1))</f>
        <v/>
      </c>
      <c r="I114" s="31" t="str">
        <f>IF(SUMIFS(Data!$L:$L,Data!$A:$A,$B114,Data!$C:$C,I$1)=0,"",SUMIFS(Data!$L:$L,Data!$A:$A,$B114,Data!$C:$C,I$1))</f>
        <v/>
      </c>
      <c r="J114" s="31" t="str">
        <f>IF(SUMIFS(Data!$L:$L,Data!$A:$A,$B114,Data!$C:$C,J$1)=0,"",SUMIFS(Data!$L:$L,Data!$A:$A,$B114,Data!$C:$C,J$1))</f>
        <v/>
      </c>
      <c r="K114" s="31" t="str">
        <f>IF(SUMIFS(Data!$L:$L,Data!$A:$A,$B114,Data!$C:$C,K$1)=0,"",SUMIFS(Data!$L:$L,Data!$A:$A,$B114,Data!$C:$C,K$1))</f>
        <v/>
      </c>
      <c r="L114" s="31" t="str">
        <f>IF(SUMIFS(Data!$L:$L,Data!$A:$A,$B114,Data!$C:$C,L$1)=0,"",SUMIFS(Data!$L:$L,Data!$A:$A,$B114,Data!$C:$C,L$1))</f>
        <v/>
      </c>
      <c r="M114" s="31" t="str">
        <f>IF(SUMIFS(Data!$L:$L,Data!$A:$A,$B114,Data!$C:$C,M$1)=0,"",SUMIFS(Data!$L:$L,Data!$A:$A,$B114,Data!$C:$C,M$1))</f>
        <v/>
      </c>
      <c r="N114" s="31" t="str">
        <f>IF(SUMIFS(Data!$L:$L,Data!$A:$A,$B114,Data!$C:$C,N$1)=0,"",SUMIFS(Data!$L:$L,Data!$A:$A,$B114,Data!$C:$C,N$1))</f>
        <v/>
      </c>
      <c r="O114" s="31" t="str">
        <f>IF(SUMIFS(Data!$L:$L,Data!$A:$A,$B114,Data!$C:$C,O$1)=0,"",SUMIFS(Data!$L:$L,Data!$A:$A,$B114,Data!$C:$C,O$1))</f>
        <v/>
      </c>
      <c r="P114" s="31" t="str">
        <f>IF(SUMIFS(Data!$L:$L,Data!$A:$A,$B114,Data!$C:$C,P$1)=0,"",SUMIFS(Data!$L:$L,Data!$A:$A,$B114,Data!$C:$C,P$1))</f>
        <v/>
      </c>
      <c r="Q114" s="31" t="str">
        <f>IF(SUMIFS(Data!$L:$L,Data!$A:$A,$B114,Data!$C:$C,Q$1)=0,"",SUMIFS(Data!$L:$L,Data!$A:$A,$B114,Data!$C:$C,Q$1))</f>
        <v/>
      </c>
      <c r="R114" s="31">
        <f>SUM(C114:Q114)</f>
        <v>1.25</v>
      </c>
    </row>
    <row r="115" spans="1:18" x14ac:dyDescent="0.35">
      <c r="A115" s="79">
        <v>114</v>
      </c>
      <c r="B115" s="30" t="s">
        <v>461</v>
      </c>
      <c r="C115" s="31" t="str">
        <f>IF(SUMIFS(Data!$L:$L,Data!$A:$A,$B115,Data!$C:$C,C$1)=0,"",SUMIFS(Data!$L:$L,Data!$A:$A,$B115,Data!$C:$C,C$1))</f>
        <v/>
      </c>
      <c r="D115" s="31" t="str">
        <f>IF(SUMIFS(Data!$L:$L,Data!$A:$A,$B115,Data!$C:$C,D$1)=0,"",SUMIFS(Data!$L:$L,Data!$A:$A,$B115,Data!$C:$C,D$1))</f>
        <v/>
      </c>
      <c r="E115" s="31" t="str">
        <f>IF(SUMIFS(Data!$L:$L,Data!$A:$A,$B115,Data!$C:$C,E$1)=0,"",SUMIFS(Data!$L:$L,Data!$A:$A,$B115,Data!$C:$C,E$1))</f>
        <v/>
      </c>
      <c r="F115" s="31" t="str">
        <f>IF(SUMIFS(Data!$L:$L,Data!$A:$A,$B115,Data!$C:$C,F$1)=0,"",SUMIFS(Data!$L:$L,Data!$A:$A,$B115,Data!$C:$C,F$1))</f>
        <v/>
      </c>
      <c r="G115" s="31" t="str">
        <f>IF(SUMIFS(Data!$L:$L,Data!$A:$A,$B115,Data!$C:$C,G$1)=0,"",SUMIFS(Data!$L:$L,Data!$A:$A,$B115,Data!$C:$C,G$1))</f>
        <v/>
      </c>
      <c r="H115" s="31" t="str">
        <f>IF(SUMIFS(Data!$L:$L,Data!$A:$A,$B115,Data!$C:$C,H$1)=0,"",SUMIFS(Data!$L:$L,Data!$A:$A,$B115,Data!$C:$C,H$1))</f>
        <v/>
      </c>
      <c r="I115" s="31">
        <f>IF(SUMIFS(Data!$L:$L,Data!$A:$A,$B115,Data!$C:$C,I$1)=0,"",SUMIFS(Data!$L:$L,Data!$A:$A,$B115,Data!$C:$C,I$1))</f>
        <v>0.5</v>
      </c>
      <c r="J115" s="31" t="str">
        <f>IF(SUMIFS(Data!$L:$L,Data!$A:$A,$B115,Data!$C:$C,J$1)=0,"",SUMIFS(Data!$L:$L,Data!$A:$A,$B115,Data!$C:$C,J$1))</f>
        <v/>
      </c>
      <c r="K115" s="31">
        <f>IF(SUMIFS(Data!$L:$L,Data!$A:$A,$B115,Data!$C:$C,K$1)=0,"",SUMIFS(Data!$L:$L,Data!$A:$A,$B115,Data!$C:$C,K$1))</f>
        <v>0.5</v>
      </c>
      <c r="L115" s="31">
        <f>IF(SUMIFS(Data!$L:$L,Data!$A:$A,$B115,Data!$C:$C,L$1)=0,"",SUMIFS(Data!$L:$L,Data!$A:$A,$B115,Data!$C:$C,L$1))</f>
        <v>0.25</v>
      </c>
      <c r="M115" s="31" t="str">
        <f>IF(SUMIFS(Data!$L:$L,Data!$A:$A,$B115,Data!$C:$C,M$1)=0,"",SUMIFS(Data!$L:$L,Data!$A:$A,$B115,Data!$C:$C,M$1))</f>
        <v/>
      </c>
      <c r="N115" s="31" t="str">
        <f>IF(SUMIFS(Data!$L:$L,Data!$A:$A,$B115,Data!$C:$C,N$1)=0,"",SUMIFS(Data!$L:$L,Data!$A:$A,$B115,Data!$C:$C,N$1))</f>
        <v/>
      </c>
      <c r="O115" s="31" t="str">
        <f>IF(SUMIFS(Data!$L:$L,Data!$A:$A,$B115,Data!$C:$C,O$1)=0,"",SUMIFS(Data!$L:$L,Data!$A:$A,$B115,Data!$C:$C,O$1))</f>
        <v/>
      </c>
      <c r="P115" s="31" t="str">
        <f>IF(SUMIFS(Data!$L:$L,Data!$A:$A,$B115,Data!$C:$C,P$1)=0,"",SUMIFS(Data!$L:$L,Data!$A:$A,$B115,Data!$C:$C,P$1))</f>
        <v/>
      </c>
      <c r="Q115" s="31" t="str">
        <f>IF(SUMIFS(Data!$L:$L,Data!$A:$A,$B115,Data!$C:$C,Q$1)=0,"",SUMIFS(Data!$L:$L,Data!$A:$A,$B115,Data!$C:$C,Q$1))</f>
        <v/>
      </c>
      <c r="R115" s="31">
        <f>SUM(C115:Q115)</f>
        <v>1.25</v>
      </c>
    </row>
    <row r="116" spans="1:18" x14ac:dyDescent="0.35">
      <c r="A116" s="79">
        <v>115</v>
      </c>
      <c r="B116" s="30" t="s">
        <v>384</v>
      </c>
      <c r="C116" s="31" t="str">
        <f>IF(SUMIFS(Data!$L:$L,Data!$A:$A,$B116,Data!$C:$C,C$1)=0,"",SUMIFS(Data!$L:$L,Data!$A:$A,$B116,Data!$C:$C,C$1))</f>
        <v/>
      </c>
      <c r="D116" s="31">
        <f>IF(SUMIFS(Data!$L:$L,Data!$A:$A,$B116,Data!$C:$C,D$1)=0,"",SUMIFS(Data!$L:$L,Data!$A:$A,$B116,Data!$C:$C,D$1))</f>
        <v>1</v>
      </c>
      <c r="E116" s="31" t="str">
        <f>IF(SUMIFS(Data!$L:$L,Data!$A:$A,$B116,Data!$C:$C,E$1)=0,"",SUMIFS(Data!$L:$L,Data!$A:$A,$B116,Data!$C:$C,E$1))</f>
        <v/>
      </c>
      <c r="F116" s="31" t="str">
        <f>IF(SUMIFS(Data!$L:$L,Data!$A:$A,$B116,Data!$C:$C,F$1)=0,"",SUMIFS(Data!$L:$L,Data!$A:$A,$B116,Data!$C:$C,F$1))</f>
        <v/>
      </c>
      <c r="G116" s="31" t="str">
        <f>IF(SUMIFS(Data!$L:$L,Data!$A:$A,$B116,Data!$C:$C,G$1)=0,"",SUMIFS(Data!$L:$L,Data!$A:$A,$B116,Data!$C:$C,G$1))</f>
        <v/>
      </c>
      <c r="H116" s="31" t="str">
        <f>IF(SUMIFS(Data!$L:$L,Data!$A:$A,$B116,Data!$C:$C,H$1)=0,"",SUMIFS(Data!$L:$L,Data!$A:$A,$B116,Data!$C:$C,H$1))</f>
        <v/>
      </c>
      <c r="I116" s="31" t="str">
        <f>IF(SUMIFS(Data!$L:$L,Data!$A:$A,$B116,Data!$C:$C,I$1)=0,"",SUMIFS(Data!$L:$L,Data!$A:$A,$B116,Data!$C:$C,I$1))</f>
        <v/>
      </c>
      <c r="J116" s="31" t="str">
        <f>IF(SUMIFS(Data!$L:$L,Data!$A:$A,$B116,Data!$C:$C,J$1)=0,"",SUMIFS(Data!$L:$L,Data!$A:$A,$B116,Data!$C:$C,J$1))</f>
        <v/>
      </c>
      <c r="K116" s="31" t="str">
        <f>IF(SUMIFS(Data!$L:$L,Data!$A:$A,$B116,Data!$C:$C,K$1)=0,"",SUMIFS(Data!$L:$L,Data!$A:$A,$B116,Data!$C:$C,K$1))</f>
        <v/>
      </c>
      <c r="L116" s="31" t="str">
        <f>IF(SUMIFS(Data!$L:$L,Data!$A:$A,$B116,Data!$C:$C,L$1)=0,"",SUMIFS(Data!$L:$L,Data!$A:$A,$B116,Data!$C:$C,L$1))</f>
        <v/>
      </c>
      <c r="M116" s="31" t="str">
        <f>IF(SUMIFS(Data!$L:$L,Data!$A:$A,$B116,Data!$C:$C,M$1)=0,"",SUMIFS(Data!$L:$L,Data!$A:$A,$B116,Data!$C:$C,M$1))</f>
        <v/>
      </c>
      <c r="N116" s="31" t="str">
        <f>IF(SUMIFS(Data!$L:$L,Data!$A:$A,$B116,Data!$C:$C,N$1)=0,"",SUMIFS(Data!$L:$L,Data!$A:$A,$B116,Data!$C:$C,N$1))</f>
        <v/>
      </c>
      <c r="O116" s="31" t="str">
        <f>IF(SUMIFS(Data!$L:$L,Data!$A:$A,$B116,Data!$C:$C,O$1)=0,"",SUMIFS(Data!$L:$L,Data!$A:$A,$B116,Data!$C:$C,O$1))</f>
        <v/>
      </c>
      <c r="P116" s="31" t="str">
        <f>IF(SUMIFS(Data!$L:$L,Data!$A:$A,$B116,Data!$C:$C,P$1)=0,"",SUMIFS(Data!$L:$L,Data!$A:$A,$B116,Data!$C:$C,P$1))</f>
        <v/>
      </c>
      <c r="Q116" s="31" t="str">
        <f>IF(SUMIFS(Data!$L:$L,Data!$A:$A,$B116,Data!$C:$C,Q$1)=0,"",SUMIFS(Data!$L:$L,Data!$A:$A,$B116,Data!$C:$C,Q$1))</f>
        <v/>
      </c>
      <c r="R116" s="31">
        <f>SUM(C116:Q116)</f>
        <v>1</v>
      </c>
    </row>
    <row r="117" spans="1:18" x14ac:dyDescent="0.35">
      <c r="A117" s="79">
        <v>116</v>
      </c>
      <c r="B117" s="30" t="s">
        <v>394</v>
      </c>
      <c r="C117" s="31" t="str">
        <f>IF(SUMIFS(Data!$L:$L,Data!$A:$A,$B117,Data!$C:$C,C$1)=0,"",SUMIFS(Data!$L:$L,Data!$A:$A,$B117,Data!$C:$C,C$1))</f>
        <v/>
      </c>
      <c r="D117" s="31" t="str">
        <f>IF(SUMIFS(Data!$L:$L,Data!$A:$A,$B117,Data!$C:$C,D$1)=0,"",SUMIFS(Data!$L:$L,Data!$A:$A,$B117,Data!$C:$C,D$1))</f>
        <v/>
      </c>
      <c r="E117" s="31">
        <f>IF(SUMIFS(Data!$L:$L,Data!$A:$A,$B117,Data!$C:$C,E$1)=0,"",SUMIFS(Data!$L:$L,Data!$A:$A,$B117,Data!$C:$C,E$1))</f>
        <v>1</v>
      </c>
      <c r="F117" s="31" t="str">
        <f>IF(SUMIFS(Data!$L:$L,Data!$A:$A,$B117,Data!$C:$C,F$1)=0,"",SUMIFS(Data!$L:$L,Data!$A:$A,$B117,Data!$C:$C,F$1))</f>
        <v/>
      </c>
      <c r="G117" s="31" t="str">
        <f>IF(SUMIFS(Data!$L:$L,Data!$A:$A,$B117,Data!$C:$C,G$1)=0,"",SUMIFS(Data!$L:$L,Data!$A:$A,$B117,Data!$C:$C,G$1))</f>
        <v/>
      </c>
      <c r="H117" s="31" t="str">
        <f>IF(SUMIFS(Data!$L:$L,Data!$A:$A,$B117,Data!$C:$C,H$1)=0,"",SUMIFS(Data!$L:$L,Data!$A:$A,$B117,Data!$C:$C,H$1))</f>
        <v/>
      </c>
      <c r="I117" s="31" t="str">
        <f>IF(SUMIFS(Data!$L:$L,Data!$A:$A,$B117,Data!$C:$C,I$1)=0,"",SUMIFS(Data!$L:$L,Data!$A:$A,$B117,Data!$C:$C,I$1))</f>
        <v/>
      </c>
      <c r="J117" s="31" t="str">
        <f>IF(SUMIFS(Data!$L:$L,Data!$A:$A,$B117,Data!$C:$C,J$1)=0,"",SUMIFS(Data!$L:$L,Data!$A:$A,$B117,Data!$C:$C,J$1))</f>
        <v/>
      </c>
      <c r="K117" s="31" t="str">
        <f>IF(SUMIFS(Data!$L:$L,Data!$A:$A,$B117,Data!$C:$C,K$1)=0,"",SUMIFS(Data!$L:$L,Data!$A:$A,$B117,Data!$C:$C,K$1))</f>
        <v/>
      </c>
      <c r="L117" s="31" t="str">
        <f>IF(SUMIFS(Data!$L:$L,Data!$A:$A,$B117,Data!$C:$C,L$1)=0,"",SUMIFS(Data!$L:$L,Data!$A:$A,$B117,Data!$C:$C,L$1))</f>
        <v/>
      </c>
      <c r="M117" s="31" t="str">
        <f>IF(SUMIFS(Data!$L:$L,Data!$A:$A,$B117,Data!$C:$C,M$1)=0,"",SUMIFS(Data!$L:$L,Data!$A:$A,$B117,Data!$C:$C,M$1))</f>
        <v/>
      </c>
      <c r="N117" s="31" t="str">
        <f>IF(SUMIFS(Data!$L:$L,Data!$A:$A,$B117,Data!$C:$C,N$1)=0,"",SUMIFS(Data!$L:$L,Data!$A:$A,$B117,Data!$C:$C,N$1))</f>
        <v/>
      </c>
      <c r="O117" s="31" t="str">
        <f>IF(SUMIFS(Data!$L:$L,Data!$A:$A,$B117,Data!$C:$C,O$1)=0,"",SUMIFS(Data!$L:$L,Data!$A:$A,$B117,Data!$C:$C,O$1))</f>
        <v/>
      </c>
      <c r="P117" s="31" t="str">
        <f>IF(SUMIFS(Data!$L:$L,Data!$A:$A,$B117,Data!$C:$C,P$1)=0,"",SUMIFS(Data!$L:$L,Data!$A:$A,$B117,Data!$C:$C,P$1))</f>
        <v/>
      </c>
      <c r="Q117" s="31" t="str">
        <f>IF(SUMIFS(Data!$L:$L,Data!$A:$A,$B117,Data!$C:$C,Q$1)=0,"",SUMIFS(Data!$L:$L,Data!$A:$A,$B117,Data!$C:$C,Q$1))</f>
        <v/>
      </c>
      <c r="R117" s="31">
        <f>SUM(C117:Q117)</f>
        <v>1</v>
      </c>
    </row>
    <row r="118" spans="1:18" x14ac:dyDescent="0.35">
      <c r="A118" s="79">
        <v>117</v>
      </c>
      <c r="B118" s="30" t="s">
        <v>367</v>
      </c>
      <c r="C118" s="31" t="str">
        <f>IF(SUMIFS(Data!$L:$L,Data!$A:$A,$B118,Data!$C:$C,C$1)=0,"",SUMIFS(Data!$L:$L,Data!$A:$A,$B118,Data!$C:$C,C$1))</f>
        <v/>
      </c>
      <c r="D118" s="31" t="str">
        <f>IF(SUMIFS(Data!$L:$L,Data!$A:$A,$B118,Data!$C:$C,D$1)=0,"",SUMIFS(Data!$L:$L,Data!$A:$A,$B118,Data!$C:$C,D$1))</f>
        <v/>
      </c>
      <c r="E118" s="31" t="str">
        <f>IF(SUMIFS(Data!$L:$L,Data!$A:$A,$B118,Data!$C:$C,E$1)=0,"",SUMIFS(Data!$L:$L,Data!$A:$A,$B118,Data!$C:$C,E$1))</f>
        <v/>
      </c>
      <c r="F118" s="31" t="str">
        <f>IF(SUMIFS(Data!$L:$L,Data!$A:$A,$B118,Data!$C:$C,F$1)=0,"",SUMIFS(Data!$L:$L,Data!$A:$A,$B118,Data!$C:$C,F$1))</f>
        <v/>
      </c>
      <c r="G118" s="31" t="str">
        <f>IF(SUMIFS(Data!$L:$L,Data!$A:$A,$B118,Data!$C:$C,G$1)=0,"",SUMIFS(Data!$L:$L,Data!$A:$A,$B118,Data!$C:$C,G$1))</f>
        <v/>
      </c>
      <c r="H118" s="31" t="str">
        <f>IF(SUMIFS(Data!$L:$L,Data!$A:$A,$B118,Data!$C:$C,H$1)=0,"",SUMIFS(Data!$L:$L,Data!$A:$A,$B118,Data!$C:$C,H$1))</f>
        <v/>
      </c>
      <c r="I118" s="31" t="str">
        <f>IF(SUMIFS(Data!$L:$L,Data!$A:$A,$B118,Data!$C:$C,I$1)=0,"",SUMIFS(Data!$L:$L,Data!$A:$A,$B118,Data!$C:$C,I$1))</f>
        <v/>
      </c>
      <c r="J118" s="31" t="str">
        <f>IF(SUMIFS(Data!$L:$L,Data!$A:$A,$B118,Data!$C:$C,J$1)=0,"",SUMIFS(Data!$L:$L,Data!$A:$A,$B118,Data!$C:$C,J$1))</f>
        <v/>
      </c>
      <c r="K118" s="31" t="str">
        <f>IF(SUMIFS(Data!$L:$L,Data!$A:$A,$B118,Data!$C:$C,K$1)=0,"",SUMIFS(Data!$L:$L,Data!$A:$A,$B118,Data!$C:$C,K$1))</f>
        <v/>
      </c>
      <c r="L118" s="31" t="str">
        <f>IF(SUMIFS(Data!$L:$L,Data!$A:$A,$B118,Data!$C:$C,L$1)=0,"",SUMIFS(Data!$L:$L,Data!$A:$A,$B118,Data!$C:$C,L$1))</f>
        <v/>
      </c>
      <c r="M118" s="31" t="str">
        <f>IF(SUMIFS(Data!$L:$L,Data!$A:$A,$B118,Data!$C:$C,M$1)=0,"",SUMIFS(Data!$L:$L,Data!$A:$A,$B118,Data!$C:$C,M$1))</f>
        <v/>
      </c>
      <c r="N118" s="31" t="str">
        <f>IF(SUMIFS(Data!$L:$L,Data!$A:$A,$B118,Data!$C:$C,N$1)=0,"",SUMIFS(Data!$L:$L,Data!$A:$A,$B118,Data!$C:$C,N$1))</f>
        <v/>
      </c>
      <c r="O118" s="31" t="str">
        <f>IF(SUMIFS(Data!$L:$L,Data!$A:$A,$B118,Data!$C:$C,O$1)=0,"",SUMIFS(Data!$L:$L,Data!$A:$A,$B118,Data!$C:$C,O$1))</f>
        <v/>
      </c>
      <c r="P118" s="31" t="str">
        <f>IF(SUMIFS(Data!$L:$L,Data!$A:$A,$B118,Data!$C:$C,P$1)=0,"",SUMIFS(Data!$L:$L,Data!$A:$A,$B118,Data!$C:$C,P$1))</f>
        <v/>
      </c>
      <c r="Q118" s="31" t="str">
        <f>IF(SUMIFS(Data!$L:$L,Data!$A:$A,$B118,Data!$C:$C,Q$1)=0,"",SUMIFS(Data!$L:$L,Data!$A:$A,$B118,Data!$C:$C,Q$1))</f>
        <v/>
      </c>
      <c r="R118" s="31">
        <f>SUM(C118:Q118)</f>
        <v>0</v>
      </c>
    </row>
  </sheetData>
  <autoFilter ref="A1:R98" xr:uid="{0F4DA0EF-CD45-477B-9A5E-F904E38A5273}">
    <sortState xmlns:xlrd2="http://schemas.microsoft.com/office/spreadsheetml/2017/richdata2" ref="A2:R118">
      <sortCondition descending="1" ref="R1:R98"/>
    </sortState>
  </autoFilter>
  <sortState xmlns:xlrd2="http://schemas.microsoft.com/office/spreadsheetml/2017/richdata2" ref="B2:R118">
    <sortCondition descending="1" ref="R2:R118"/>
  </sortState>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0.249977111117893"/>
  </sheetPr>
  <dimension ref="A2:R8"/>
  <sheetViews>
    <sheetView workbookViewId="0">
      <selection activeCell="B8" sqref="B8"/>
    </sheetView>
  </sheetViews>
  <sheetFormatPr defaultColWidth="9.1796875" defaultRowHeight="13" x14ac:dyDescent="0.3"/>
  <cols>
    <col min="1" max="1" width="3.54296875" style="84" customWidth="1"/>
    <col min="2" max="2" width="19.54296875" style="41" customWidth="1"/>
    <col min="3" max="3" width="4.453125" style="41" bestFit="1" customWidth="1"/>
    <col min="4" max="11" width="5.54296875" style="41" bestFit="1" customWidth="1"/>
    <col min="12" max="12" width="5.54296875" style="41" customWidth="1"/>
    <col min="13" max="15" width="6.453125" style="41" customWidth="1"/>
    <col min="16" max="16" width="7.26953125" style="41" bestFit="1" customWidth="1"/>
    <col min="17" max="17" width="6.453125" style="41" customWidth="1"/>
    <col min="18" max="18" width="6.26953125" style="41" bestFit="1" customWidth="1"/>
    <col min="19" max="16384" width="9.1796875" style="41"/>
  </cols>
  <sheetData>
    <row r="2" spans="1:18" x14ac:dyDescent="0.3">
      <c r="A2" s="127" t="s">
        <v>377</v>
      </c>
      <c r="B2" s="128"/>
    </row>
    <row r="3" spans="1:18" x14ac:dyDescent="0.3">
      <c r="A3" s="83" t="s">
        <v>67</v>
      </c>
      <c r="B3" s="43" t="s">
        <v>117</v>
      </c>
      <c r="C3" s="36">
        <v>1</v>
      </c>
      <c r="D3" s="36">
        <v>2</v>
      </c>
      <c r="E3" s="36">
        <v>3</v>
      </c>
      <c r="F3" s="36">
        <v>4</v>
      </c>
      <c r="G3" s="36">
        <v>5</v>
      </c>
      <c r="H3" s="36">
        <v>6</v>
      </c>
      <c r="I3" s="36">
        <v>7</v>
      </c>
      <c r="J3" s="36">
        <v>8</v>
      </c>
      <c r="K3" s="36">
        <v>9</v>
      </c>
      <c r="L3" s="36">
        <v>10</v>
      </c>
      <c r="M3" s="36">
        <v>11</v>
      </c>
      <c r="N3" s="36">
        <v>12</v>
      </c>
      <c r="O3" s="36">
        <v>13</v>
      </c>
      <c r="P3" s="36">
        <v>14</v>
      </c>
      <c r="Q3" s="36">
        <v>15</v>
      </c>
      <c r="R3" s="45" t="s">
        <v>69</v>
      </c>
    </row>
    <row r="4" spans="1:18" x14ac:dyDescent="0.3">
      <c r="A4" s="83">
        <v>1</v>
      </c>
      <c r="B4" s="41" t="s">
        <v>325</v>
      </c>
      <c r="C4" s="42"/>
      <c r="D4" s="42">
        <f>SUMPRODUCT((Data_Echipe!C$2:C$86)*(Data_Echipe!$A$2:$A$86=Echipe!$B4))</f>
        <v>3.8895582010582004</v>
      </c>
      <c r="E4" s="42">
        <f>SUMPRODUCT((Data_Echipe!D$2:D$86)*(Data_Echipe!$A$2:$A$86=Echipe!$B4))</f>
        <v>3.6971917989417986</v>
      </c>
      <c r="F4" s="42">
        <f>SUMPRODUCT((Data_Echipe!E$2:E$86)*(Data_Echipe!$A$2:$A$86=Echipe!$B4))</f>
        <v>3.5685023809523813</v>
      </c>
      <c r="G4" s="42">
        <f>SUMPRODUCT((Data_Echipe!F$2:F$86)*(Data_Echipe!$A$2:$A$86=Echipe!$B4))</f>
        <v>3.7836493506493509</v>
      </c>
      <c r="H4" s="42">
        <f>SUMPRODUCT((Data_Echipe!G$2:G$86)*(Data_Echipe!$A$2:$A$86=Echipe!$B4))</f>
        <v>3.6051071428571428</v>
      </c>
      <c r="I4" s="42">
        <f>SUMPRODUCT((Data_Echipe!H$2:H$86)*(Data_Echipe!$A$2:$A$86=Echipe!$B4))</f>
        <v>3.9775616883116878</v>
      </c>
      <c r="J4" s="42">
        <f>SUMPRODUCT((Data_Echipe!I$2:I$86)*(Data_Echipe!$A$2:$A$86=Echipe!$B4))</f>
        <v>3.6468095238095244</v>
      </c>
      <c r="K4" s="42">
        <f>SUMPRODUCT((Data_Echipe!J$2:J$86)*(Data_Echipe!$A$2:$A$86=Echipe!$B4))</f>
        <v>3.2867499999999996</v>
      </c>
      <c r="L4" s="42">
        <f>SUMPRODUCT((Data_Echipe!K$2:K$86)*(Data_Echipe!$A$2:$A$86=Echipe!$B4))</f>
        <v>3.8079805194805192</v>
      </c>
      <c r="M4" s="42">
        <f>SUMPRODUCT((Data_Echipe!L$2:L$86)*(Data_Echipe!$A$2:$A$86=Echipe!$B4))</f>
        <v>3.8950880952380964</v>
      </c>
      <c r="N4" s="42">
        <f>SUMPRODUCT((Data_Echipe!M$2:M$86)*(Data_Echipe!$A$2:$A$86=Echipe!$B4))</f>
        <v>3.6037488095238097</v>
      </c>
      <c r="O4" s="42">
        <f>SUMPRODUCT((Data_Echipe!N$2:N$86)*(Data_Echipe!$A$2:$A$86=Echipe!$B4))</f>
        <v>3.2812148809523807</v>
      </c>
      <c r="P4" s="42">
        <f>SUMPRODUCT((Data_Echipe!O$2:O$86)*(Data_Echipe!$A$2:$A$86=Echipe!$B4))</f>
        <v>3.2720505952380945</v>
      </c>
      <c r="Q4" s="42">
        <f>SUMPRODUCT((Data_Echipe!P$2:P$86)*(Data_Echipe!$A$2:$A$86=Echipe!$B4))</f>
        <v>3.4238321428571425</v>
      </c>
      <c r="R4" s="44">
        <f>SUM(D4:Q4)</f>
        <v>50.739045129870121</v>
      </c>
    </row>
    <row r="5" spans="1:18" x14ac:dyDescent="0.3">
      <c r="A5" s="83">
        <v>2</v>
      </c>
      <c r="B5" s="41" t="s">
        <v>295</v>
      </c>
      <c r="C5" s="42"/>
      <c r="D5" s="42">
        <f>SUMPRODUCT((Data_Echipe!C$2:C$86)*(Data_Echipe!$A$2:$A$86=Echipe!$B5))</f>
        <v>3.8504484126984124</v>
      </c>
      <c r="E5" s="42">
        <f>SUMPRODUCT((Data_Echipe!D$2:D$86)*(Data_Echipe!$A$2:$A$86=Echipe!$B5))</f>
        <v>3.760425264550264</v>
      </c>
      <c r="F5" s="42">
        <f>SUMPRODUCT((Data_Echipe!E$2:E$86)*(Data_Echipe!$A$2:$A$86=Echipe!$B5))</f>
        <v>3.5544126984126985</v>
      </c>
      <c r="G5" s="42">
        <f>SUMPRODUCT((Data_Echipe!F$2:F$86)*(Data_Echipe!$A$2:$A$86=Echipe!$B5))</f>
        <v>3.6044212962962967</v>
      </c>
      <c r="H5" s="42">
        <f>SUMPRODUCT((Data_Echipe!G$2:G$86)*(Data_Echipe!$A$2:$A$86=Echipe!$B5))</f>
        <v>3.2301711309523808</v>
      </c>
      <c r="I5" s="42">
        <f>SUMPRODUCT((Data_Echipe!H$2:H$86)*(Data_Echipe!$A$2:$A$86=Echipe!$B5))</f>
        <v>3.4745364583333336</v>
      </c>
      <c r="J5" s="42">
        <f>SUMPRODUCT((Data_Echipe!I$2:I$86)*(Data_Echipe!$A$2:$A$86=Echipe!$B5))</f>
        <v>4.0823303571428573</v>
      </c>
      <c r="K5" s="42">
        <f>SUMPRODUCT((Data_Echipe!J$2:J$86)*(Data_Echipe!$A$2:$A$86=Echipe!$B5))</f>
        <v>2.9973028273809526</v>
      </c>
      <c r="L5" s="42">
        <f>SUMPRODUCT((Data_Echipe!K$2:K$86)*(Data_Echipe!$A$2:$A$86=Echipe!$B5))</f>
        <v>3.3255200892857144</v>
      </c>
      <c r="M5" s="42">
        <f>SUMPRODUCT((Data_Echipe!L$2:L$86)*(Data_Echipe!$A$2:$A$86=Echipe!$B5))</f>
        <v>3.4715198412698407</v>
      </c>
      <c r="N5" s="42">
        <f>SUMPRODUCT((Data_Echipe!M$2:M$86)*(Data_Echipe!$A$2:$A$86=Echipe!$B5))</f>
        <v>3.5095431547619049</v>
      </c>
      <c r="O5" s="42">
        <f>SUMPRODUCT((Data_Echipe!N$2:N$86)*(Data_Echipe!$A$2:$A$86=Echipe!$B5))</f>
        <v>3.4918333333333331</v>
      </c>
      <c r="P5" s="42">
        <f>SUMPRODUCT((Data_Echipe!O$2:O$86)*(Data_Echipe!$A$2:$A$86=Echipe!$B5))</f>
        <v>2.3433964285714284</v>
      </c>
      <c r="Q5" s="42">
        <f>SUMPRODUCT((Data_Echipe!P$2:P$86)*(Data_Echipe!$A$2:$A$86=Echipe!$B5))</f>
        <v>3.2109693877551022</v>
      </c>
      <c r="R5" s="44">
        <f t="shared" ref="R5:R8" si="0">SUM(D5:Q5)</f>
        <v>47.90683068074452</v>
      </c>
    </row>
    <row r="6" spans="1:18" x14ac:dyDescent="0.3">
      <c r="A6" s="83">
        <v>3</v>
      </c>
      <c r="B6" s="41" t="s">
        <v>326</v>
      </c>
      <c r="C6" s="42"/>
      <c r="D6" s="42">
        <f>SUMPRODUCT((Data_Echipe!C$2:C$86)*(Data_Echipe!$A$2:$A$86=Echipe!$B6))</f>
        <v>2.7864309523809516</v>
      </c>
      <c r="E6" s="42">
        <f>SUMPRODUCT((Data_Echipe!D$2:D$86)*(Data_Echipe!$A$2:$A$86=Echipe!$B6))</f>
        <v>2.9068785714285714</v>
      </c>
      <c r="F6" s="42">
        <f>SUMPRODUCT((Data_Echipe!E$2:E$86)*(Data_Echipe!$A$2:$A$86=Echipe!$B6))</f>
        <v>3.0365869047619052</v>
      </c>
      <c r="G6" s="42">
        <f>SUMPRODUCT((Data_Echipe!F$2:F$86)*(Data_Echipe!$A$2:$A$86=Echipe!$B6))</f>
        <v>3.1740214285714288</v>
      </c>
      <c r="H6" s="42">
        <f>SUMPRODUCT((Data_Echipe!G$2:G$86)*(Data_Echipe!$A$2:$A$86=Echipe!$B6))</f>
        <v>3.1434814814814813</v>
      </c>
      <c r="I6" s="42">
        <f>SUMPRODUCT((Data_Echipe!H$2:H$86)*(Data_Echipe!$A$2:$A$86=Echipe!$B6))</f>
        <v>3.3395781249999996</v>
      </c>
      <c r="J6" s="42">
        <f>SUMPRODUCT((Data_Echipe!I$2:I$86)*(Data_Echipe!$A$2:$A$86=Echipe!$B6))</f>
        <v>3.3096666666666663</v>
      </c>
      <c r="K6" s="42">
        <f>SUMPRODUCT((Data_Echipe!J$2:J$86)*(Data_Echipe!$A$2:$A$86=Echipe!$B6))</f>
        <v>3.1039980158730156</v>
      </c>
      <c r="L6" s="42">
        <f>SUMPRODUCT((Data_Echipe!K$2:K$86)*(Data_Echipe!$A$2:$A$86=Echipe!$B6))</f>
        <v>3.3379416666666666</v>
      </c>
      <c r="M6" s="42">
        <f>SUMPRODUCT((Data_Echipe!L$2:L$86)*(Data_Echipe!$A$2:$A$86=Echipe!$B6))</f>
        <v>3.4212149470899469</v>
      </c>
      <c r="N6" s="42">
        <f>SUMPRODUCT((Data_Echipe!M$2:M$86)*(Data_Echipe!$A$2:$A$86=Echipe!$B6))</f>
        <v>4.002908333333334</v>
      </c>
      <c r="O6" s="42">
        <f>SUMPRODUCT((Data_Echipe!N$2:N$86)*(Data_Echipe!$A$2:$A$86=Echipe!$B6))</f>
        <v>3.2924724702380952</v>
      </c>
      <c r="P6" s="42">
        <f>SUMPRODUCT((Data_Echipe!O$2:O$86)*(Data_Echipe!$A$2:$A$86=Echipe!$B6))</f>
        <v>2.9093511904761904</v>
      </c>
      <c r="Q6" s="42">
        <f>SUMPRODUCT((Data_Echipe!P$2:P$86)*(Data_Echipe!$A$2:$A$86=Echipe!$B6))</f>
        <v>3.1560978835978832</v>
      </c>
      <c r="R6" s="44">
        <f t="shared" si="0"/>
        <v>44.920628637566139</v>
      </c>
    </row>
    <row r="7" spans="1:18" x14ac:dyDescent="0.3">
      <c r="A7" s="83">
        <v>4</v>
      </c>
      <c r="B7" s="41" t="s">
        <v>327</v>
      </c>
      <c r="C7" s="42"/>
      <c r="D7" s="42" cm="1">
        <f t="array" ref="D7">SUMPRODUCT((Data_Echipe!C$2:C$86)*(Data_Echipe!$A$2:$A$86=Echipe!$B7))</f>
        <v>2.7662757936507933</v>
      </c>
      <c r="E7" s="42" cm="1">
        <f t="array" ref="E7">SUMPRODUCT((Data_Echipe!D$2:D$86)*(Data_Echipe!$A$2:$A$86=Echipe!$B7))</f>
        <v>2.6388660714285712</v>
      </c>
      <c r="F7" s="42" cm="1">
        <f t="array" ref="F7">SUMPRODUCT((Data_Echipe!E$2:E$86)*(Data_Echipe!$A$2:$A$86=Echipe!$B7))</f>
        <v>3.2051517857142859</v>
      </c>
      <c r="G7" s="42" cm="1">
        <f t="array" ref="G7">SUMPRODUCT((Data_Echipe!F$2:F$86)*(Data_Echipe!$A$2:$A$86=Echipe!$B7))</f>
        <v>2.726831349206349</v>
      </c>
      <c r="H7" s="42" cm="1">
        <f t="array" ref="H7">SUMPRODUCT((Data_Echipe!G$2:G$86)*(Data_Echipe!$A$2:$A$86=Echipe!$B7))</f>
        <v>2.8227898809523806</v>
      </c>
      <c r="I7" s="42" cm="1">
        <f t="array" ref="I7">SUMPRODUCT((Data_Echipe!H$2:H$86)*(Data_Echipe!$A$2:$A$86=Echipe!$B7))</f>
        <v>2.8605105820105821</v>
      </c>
      <c r="J7" s="42" cm="1">
        <f t="array" ref="J7">SUMPRODUCT((Data_Echipe!I$2:I$86)*(Data_Echipe!$A$2:$A$86=Echipe!$B7))</f>
        <v>3.155299603174603</v>
      </c>
      <c r="K7" s="42" cm="1">
        <f t="array" ref="K7">SUMPRODUCT((Data_Echipe!J$2:J$86)*(Data_Echipe!$A$2:$A$86=Echipe!$B7))</f>
        <v>2.7819775132275129</v>
      </c>
      <c r="L7" s="42" cm="1">
        <f t="array" ref="L7">SUMPRODUCT((Data_Echipe!K$2:K$86)*(Data_Echipe!$A$2:$A$86=Echipe!$B7))</f>
        <v>2.7030714285714286</v>
      </c>
      <c r="M7" s="42" cm="1">
        <f t="array" ref="M7">SUMPRODUCT((Data_Echipe!L$2:L$86)*(Data_Echipe!$A$2:$A$86=Echipe!$B7))</f>
        <v>2.8338399470899467</v>
      </c>
      <c r="N7" s="42" cm="1">
        <f t="array" ref="N7">SUMPRODUCT((Data_Echipe!M$2:M$86)*(Data_Echipe!$A$2:$A$86=Echipe!$B7))</f>
        <v>3.1061183862433861</v>
      </c>
      <c r="O7" s="42" cm="1">
        <f t="array" ref="O7">SUMPRODUCT((Data_Echipe!N$2:N$86)*(Data_Echipe!$A$2:$A$86=Echipe!$B7))</f>
        <v>3.799380952380953</v>
      </c>
      <c r="P7" s="42" cm="1">
        <f t="array" ref="P7">SUMPRODUCT((Data_Echipe!O$2:O$86)*(Data_Echipe!$A$2:$A$86=Echipe!$B7))</f>
        <v>2.6752886904761901</v>
      </c>
      <c r="Q7" s="42" cm="1">
        <f t="array" ref="Q7">SUMPRODUCT((Data_Echipe!P$2:P$86)*(Data_Echipe!$A$2:$A$86=Echipe!$B7))</f>
        <v>2.4927962962962962</v>
      </c>
      <c r="R7" s="44">
        <f t="shared" si="0"/>
        <v>40.568198280423282</v>
      </c>
    </row>
    <row r="8" spans="1:18" x14ac:dyDescent="0.3">
      <c r="A8" s="83">
        <v>5</v>
      </c>
      <c r="B8" s="41" t="s">
        <v>330</v>
      </c>
      <c r="C8" s="42"/>
      <c r="D8" s="42" cm="1">
        <f t="array" ref="D8">SUMPRODUCT((Data_Echipe!C$2:C$86)*(Data_Echipe!$A$2:$A$86=Echipe!$B8))</f>
        <v>2.7389940476190473</v>
      </c>
      <c r="E8" s="42" cm="1">
        <f t="array" ref="E8">SUMPRODUCT((Data_Echipe!D$2:D$86)*(Data_Echipe!$A$2:$A$86=Echipe!$B8))</f>
        <v>3.0776803571428575</v>
      </c>
      <c r="F8" s="42" cm="1">
        <f t="array" ref="F8">SUMPRODUCT((Data_Echipe!E$2:E$86)*(Data_Echipe!$A$2:$A$86=Echipe!$B8))</f>
        <v>2.5394379960317464</v>
      </c>
      <c r="G8" s="42" cm="1">
        <f t="array" ref="G8">SUMPRODUCT((Data_Echipe!F$2:F$86)*(Data_Echipe!$A$2:$A$86=Echipe!$B8))</f>
        <v>2.7865476190476191</v>
      </c>
      <c r="H8" s="42" cm="1">
        <f t="array" ref="H8">SUMPRODUCT((Data_Echipe!G$2:G$86)*(Data_Echipe!$A$2:$A$86=Echipe!$B8))</f>
        <v>3.1835967261904763</v>
      </c>
      <c r="I8" s="42" cm="1">
        <f t="array" ref="I8">SUMPRODUCT((Data_Echipe!H$2:H$86)*(Data_Echipe!$A$2:$A$86=Echipe!$B8))</f>
        <v>3.0305436507936507</v>
      </c>
      <c r="J8" s="42" cm="1">
        <f t="array" ref="J8">SUMPRODUCT((Data_Echipe!I$2:I$86)*(Data_Echipe!$A$2:$A$86=Echipe!$B8))</f>
        <v>2.7335708874458868</v>
      </c>
      <c r="K8" s="42" cm="1">
        <f t="array" ref="K8">SUMPRODUCT((Data_Echipe!J$2:J$86)*(Data_Echipe!$A$2:$A$86=Echipe!$B8))</f>
        <v>2.8724270833333332</v>
      </c>
      <c r="L8" s="42" cm="1">
        <f t="array" ref="L8">SUMPRODUCT((Data_Echipe!K$2:K$86)*(Data_Echipe!$A$2:$A$86=Echipe!$B8))</f>
        <v>2.8364603174603178</v>
      </c>
      <c r="M8" s="42" cm="1">
        <f t="array" ref="M8">SUMPRODUCT((Data_Echipe!L$2:L$86)*(Data_Echipe!$A$2:$A$86=Echipe!$B8))</f>
        <v>2.8829464285714281</v>
      </c>
      <c r="N8" s="42" cm="1">
        <f t="array" ref="N8">SUMPRODUCT((Data_Echipe!M$2:M$86)*(Data_Echipe!$A$2:$A$86=Echipe!$B8))</f>
        <v>2.5279345238095239</v>
      </c>
      <c r="O8" s="42" cm="1">
        <f t="array" ref="O8">SUMPRODUCT((Data_Echipe!N$2:N$86)*(Data_Echipe!$A$2:$A$86=Echipe!$B8))</f>
        <v>3.0696349206349205</v>
      </c>
      <c r="P8" s="42" cm="1">
        <f t="array" ref="P8">SUMPRODUCT((Data_Echipe!O$2:O$86)*(Data_Echipe!$A$2:$A$86=Echipe!$B8))</f>
        <v>2.372252976190476</v>
      </c>
      <c r="Q8" s="42" cm="1">
        <f t="array" ref="Q8">SUMPRODUCT((Data_Echipe!P$2:P$86)*(Data_Echipe!$A$2:$A$86=Echipe!$B8))</f>
        <v>2.7413611111111109</v>
      </c>
      <c r="R8" s="44">
        <f t="shared" si="0"/>
        <v>39.393388645382394</v>
      </c>
    </row>
  </sheetData>
  <autoFilter ref="A3:R8" xr:uid="{0CA6D4EB-C187-496F-AB0A-D6350DFEA048}">
    <sortState xmlns:xlrd2="http://schemas.microsoft.com/office/spreadsheetml/2017/richdata2" ref="A4:R8">
      <sortCondition descending="1" ref="R3:R8"/>
    </sortState>
  </autoFilter>
  <sortState xmlns:xlrd2="http://schemas.microsoft.com/office/spreadsheetml/2017/richdata2" ref="B4:R8">
    <sortCondition descending="1" ref="R4:R8"/>
  </sortState>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7030A0"/>
  </sheetPr>
  <dimension ref="A1:U86"/>
  <sheetViews>
    <sheetView zoomScaleNormal="100" workbookViewId="0">
      <pane ySplit="1" topLeftCell="A26" activePane="bottomLeft" state="frozen"/>
      <selection activeCell="A31" sqref="A31"/>
      <selection pane="bottomLeft" activeCell="P24" sqref="P24"/>
    </sheetView>
  </sheetViews>
  <sheetFormatPr defaultColWidth="9.1796875" defaultRowHeight="14.5" x14ac:dyDescent="0.35"/>
  <cols>
    <col min="1" max="1" width="23.1796875" style="55" bestFit="1" customWidth="1"/>
    <col min="2" max="16" width="6.54296875" style="55" customWidth="1"/>
    <col min="17" max="17" width="9.1796875" style="55"/>
    <col min="18" max="18" width="17" style="107" customWidth="1"/>
    <col min="19" max="19" width="9.1796875" style="15"/>
    <col min="20" max="16384" width="9.1796875" style="55"/>
  </cols>
  <sheetData>
    <row r="1" spans="1:21" x14ac:dyDescent="0.35">
      <c r="B1" s="85">
        <v>1</v>
      </c>
      <c r="C1" s="85">
        <v>2</v>
      </c>
      <c r="D1" s="85">
        <v>3</v>
      </c>
      <c r="E1" s="85">
        <v>4</v>
      </c>
      <c r="F1" s="85">
        <v>5</v>
      </c>
      <c r="G1" s="85">
        <v>6</v>
      </c>
      <c r="H1" s="85">
        <v>7</v>
      </c>
      <c r="I1" s="85">
        <v>8</v>
      </c>
      <c r="J1" s="85">
        <v>9</v>
      </c>
      <c r="K1" s="85">
        <v>10</v>
      </c>
      <c r="L1" s="85">
        <v>11</v>
      </c>
      <c r="M1" s="85">
        <v>12</v>
      </c>
      <c r="N1" s="85">
        <v>13</v>
      </c>
      <c r="O1" s="85">
        <v>14</v>
      </c>
      <c r="P1" s="85">
        <v>15</v>
      </c>
      <c r="Q1" s="100" t="s">
        <v>69</v>
      </c>
    </row>
    <row r="2" spans="1:21" s="46" customFormat="1" ht="12" x14ac:dyDescent="0.3">
      <c r="A2" s="57" t="s">
        <v>295</v>
      </c>
      <c r="B2" s="47">
        <f>SUMPRODUCT(LARGE(B3:B16,{1,2,3,4}))/4</f>
        <v>0</v>
      </c>
      <c r="C2" s="47">
        <f>AVERAGE(C3:C5,C7,C9:C13)</f>
        <v>3.8504484126984124</v>
      </c>
      <c r="D2" s="47">
        <f>AVERAGE(D3:D9,D11,D13)</f>
        <v>3.760425264550264</v>
      </c>
      <c r="E2" s="47">
        <f>AVERAGE(E3:E11)</f>
        <v>3.5544126984126985</v>
      </c>
      <c r="F2" s="47">
        <f>AVERAGE(F3:F7,F9:F11,F13)</f>
        <v>3.6044212962962967</v>
      </c>
      <c r="G2" s="47">
        <f>AVERAGE(G3:G4,G6:G8,G10:G11,G13)</f>
        <v>3.2301711309523808</v>
      </c>
      <c r="H2" s="47">
        <f>AVERAGE(H3:H4,H6:H10,H13)</f>
        <v>3.4745364583333336</v>
      </c>
      <c r="I2" s="47">
        <f>AVERAGE(I3:I4,I7,I9:I13)</f>
        <v>4.0823303571428573</v>
      </c>
      <c r="J2" s="47">
        <f>AVERAGE(J3:J4,J6,J8,J9,J11,J12,J13)</f>
        <v>2.9973028273809526</v>
      </c>
      <c r="K2" s="47">
        <f>AVERAGE(K3:K4,K6:K9,K11,K13)</f>
        <v>3.3255200892857144</v>
      </c>
      <c r="L2" s="47">
        <f>AVERAGE(L4,L6,L9:L11,L13)</f>
        <v>3.4715198412698407</v>
      </c>
      <c r="M2" s="47">
        <f>AVERAGE(M4,,M6,M8:M12)</f>
        <v>3.5095431547619049</v>
      </c>
      <c r="N2" s="47">
        <f>AVERAGE(N4,N6:N7,N9:N10,N11,N13)</f>
        <v>3.4918333333333331</v>
      </c>
      <c r="O2" s="47">
        <f>AVERAGE(O7:O10,O12)</f>
        <v>2.3433964285714284</v>
      </c>
      <c r="P2" s="47">
        <f>AVERAGE(P6:P10,P12:P13)</f>
        <v>3.2109693877551022</v>
      </c>
      <c r="Q2" s="47">
        <f>SUM(C2:P2)</f>
        <v>47.90683068074452</v>
      </c>
      <c r="R2" s="108"/>
      <c r="U2" s="53"/>
    </row>
    <row r="3" spans="1:21" x14ac:dyDescent="0.35">
      <c r="A3" s="46" t="s">
        <v>133</v>
      </c>
      <c r="B3" s="97">
        <v>0</v>
      </c>
      <c r="C3" s="97">
        <f>SUMIFS(Data!$U:$U,Data!$A:$A,Data_Echipe!$A3,Data!$C:$C,Data_Echipe!C$1)</f>
        <v>4.9000000000000004</v>
      </c>
      <c r="D3" s="97">
        <f>SUMIFS(Data!$U:$U,Data!$A:$A,Data_Echipe!$A3,Data!$C:$C,Data_Echipe!D$1)</f>
        <v>5.6116666666666672</v>
      </c>
      <c r="E3" s="97">
        <f>SUMIFS(Data!$U:$U,Data!$A:$A,Data_Echipe!$A3,Data!$C:$C,Data_Echipe!E$1)</f>
        <v>4.6820000000000004</v>
      </c>
      <c r="F3" s="97">
        <f>SUMIFS(Data!$U:$U,Data!$A:$A,Data_Echipe!$A3,Data!$C:$C,Data_Echipe!F$1)</f>
        <v>3.7464285714285714</v>
      </c>
      <c r="G3" s="97">
        <f>SUMIFS(Data!$U:$U,Data!$A:$A,Data_Echipe!$A3,Data!$C:$C,Data_Echipe!G$1)</f>
        <v>4.9000000000000004</v>
      </c>
      <c r="H3" s="97">
        <f>SUMIFS(Data!$U:$U,Data!$A:$A,Data_Echipe!$A3,Data!$C:$C,Data_Echipe!H$1)</f>
        <v>3.5893333333333333</v>
      </c>
      <c r="I3" s="97">
        <f>SUMIFS(Data!$U:$U,Data!$A:$A,Data_Echipe!$A3,Data!$C:$C,Data_Echipe!I$1)</f>
        <v>3.4160714285714282</v>
      </c>
      <c r="J3" s="97">
        <f>SUMIFS(Data!$U:$U,Data!$A:$A,Data_Echipe!$A3,Data!$C:$C,Data_Echipe!J$1)</f>
        <v>2.3708333333333331</v>
      </c>
      <c r="K3" s="97">
        <f>SUMIFS(Data!$U:$U,Data!$A:$A,Data_Echipe!$A3,Data!$C:$C,Data_Echipe!K$1)</f>
        <v>2.7392857142857143</v>
      </c>
      <c r="L3" s="97">
        <f>SUMIFS(Data!$U:$U,Data!$A:$A,Data_Echipe!$A3,Data!$C:$C,Data_Echipe!L$1)</f>
        <v>0</v>
      </c>
      <c r="M3" s="126">
        <f>SUMIFS(Data!$U:$U,Data!$A:$A,Data_Echipe!$A3,Data!$C:$C,Data_Echipe!M$1)</f>
        <v>0</v>
      </c>
      <c r="N3" s="97">
        <f>SUMIFS(Data!$U:$U,Data!$A:$A,Data_Echipe!$A3,Data!$C:$C,Data_Echipe!N$1)</f>
        <v>0</v>
      </c>
      <c r="O3" s="126">
        <f>SUMIFS(Data!$U:$U,Data!$A:$A,Data_Echipe!$A3,Data!$C:$C,Data_Echipe!O$1)</f>
        <v>0</v>
      </c>
      <c r="P3" s="97">
        <f>SUMIFS(Data!$U:$U,Data!$A:$A,Data_Echipe!$A3,Data!$C:$C,Data_Echipe!P$1)</f>
        <v>0</v>
      </c>
      <c r="R3" s="109" t="str">
        <f>$A$2</f>
        <v>UltraHaita lu' Borcan</v>
      </c>
    </row>
    <row r="4" spans="1:21" x14ac:dyDescent="0.35">
      <c r="A4" s="55" t="s">
        <v>252</v>
      </c>
      <c r="B4" s="97">
        <v>0</v>
      </c>
      <c r="C4" s="97">
        <f>SUMIFS(Data!$U:$U,Data!$A:$A,Data_Echipe!$A4,Data!$C:$C,Data_Echipe!C$1)</f>
        <v>3.0339285714285715</v>
      </c>
      <c r="D4" s="97">
        <f>SUMIFS(Data!$U:$U,Data!$A:$A,Data_Echipe!$A4,Data!$C:$C,Data_Echipe!D$1)</f>
        <v>3.9218333333333337</v>
      </c>
      <c r="E4" s="97">
        <f>SUMIFS(Data!$U:$U,Data!$A:$A,Data_Echipe!$A4,Data!$C:$C,Data_Echipe!E$1)</f>
        <v>4.2607142857142861</v>
      </c>
      <c r="F4" s="97">
        <f>SUMIFS(Data!$U:$U,Data!$A:$A,Data_Echipe!$A4,Data!$C:$C,Data_Echipe!F$1)</f>
        <v>3.2767619047619045</v>
      </c>
      <c r="G4" s="97">
        <f>SUMIFS(Data!$U:$U,Data!$A:$A,Data_Echipe!$A4,Data!$C:$C,Data_Echipe!G$1)</f>
        <v>2.4059523809523808</v>
      </c>
      <c r="H4" s="97">
        <f>SUMIFS(Data!$U:$U,Data!$A:$A,Data_Echipe!$A4,Data!$C:$C,Data_Echipe!H$1)</f>
        <v>3.625</v>
      </c>
      <c r="I4" s="97">
        <f>SUMIFS(Data!$U:$U,Data!$A:$A,Data_Echipe!$A4,Data!$C:$C,Data_Echipe!I$1)</f>
        <v>2.9327380952380953</v>
      </c>
      <c r="J4" s="97">
        <f>SUMIFS(Data!$U:$U,Data!$A:$A,Data_Echipe!$A4,Data!$C:$C,Data_Echipe!J$1)</f>
        <v>3.1623333333333332</v>
      </c>
      <c r="K4" s="97">
        <f>SUMIFS(Data!$U:$U,Data!$A:$A,Data_Echipe!$A4,Data!$C:$C,Data_Echipe!K$1)</f>
        <v>3.1985000000000001</v>
      </c>
      <c r="L4" s="97">
        <f>SUMIFS(Data!$U:$U,Data!$A:$A,Data_Echipe!$A4,Data!$C:$C,Data_Echipe!L$1)</f>
        <v>3.5476190476190474</v>
      </c>
      <c r="M4" s="97">
        <f>SUMIFS(Data!$U:$U,Data!$A:$A,Data_Echipe!$A4,Data!$C:$C,Data_Echipe!M$1)</f>
        <v>2.5703333333333331</v>
      </c>
      <c r="N4" s="97">
        <f>SUMIFS(Data!$U:$U,Data!$A:$A,Data_Echipe!$A4,Data!$C:$C,Data_Echipe!N$1)</f>
        <v>5.1583333333333332</v>
      </c>
      <c r="O4" s="126">
        <f>SUMIFS(Data!$U:$U,Data!$A:$A,Data_Echipe!$A4,Data!$C:$C,Data_Echipe!O$1)</f>
        <v>1.5688333333333333</v>
      </c>
      <c r="P4" s="126">
        <f>SUMIFS(Data!$U:$U,Data!$A:$A,Data_Echipe!$A4,Data!$C:$C,Data_Echipe!P$1)</f>
        <v>1.4232142857142858</v>
      </c>
      <c r="R4" s="109" t="str">
        <f t="shared" ref="R4:R16" si="0">$A$2</f>
        <v>UltraHaita lu' Borcan</v>
      </c>
    </row>
    <row r="5" spans="1:21" x14ac:dyDescent="0.35">
      <c r="A5" s="148" t="s">
        <v>293</v>
      </c>
      <c r="B5" s="149">
        <v>0</v>
      </c>
      <c r="C5" s="149">
        <f>SUMIFS(Data!$U:$U,Data!$A:$A,Data_Echipe!$A5,Data!$C:$C,Data_Echipe!C$1)</f>
        <v>3.1669999999999998</v>
      </c>
      <c r="D5" s="149">
        <f>SUMIFS(Data!$U:$U,Data!$A:$A,Data_Echipe!$A5,Data!$C:$C,Data_Echipe!D$1)</f>
        <v>3.8596666666666666</v>
      </c>
      <c r="E5" s="149">
        <f>SUMIFS(Data!$U:$U,Data!$A:$A,Data_Echipe!$A5,Data!$C:$C,Data_Echipe!E$1)</f>
        <v>3.4755000000000003</v>
      </c>
      <c r="F5" s="149">
        <f>SUMIFS(Data!$U:$U,Data!$A:$A,Data_Echipe!$A5,Data!$C:$C,Data_Echipe!F$1)</f>
        <v>3.6873333333333331</v>
      </c>
      <c r="G5" s="150">
        <f>SUMIFS(Data!$U:$U,Data!$A:$A,Data_Echipe!$A5,Data!$C:$C,Data_Echipe!G$1)</f>
        <v>0</v>
      </c>
      <c r="H5" s="149">
        <f>SUMIFS(Data!$U:$U,Data!$A:$A,Data_Echipe!$A5,Data!$C:$C,Data_Echipe!H$1)</f>
        <v>0</v>
      </c>
      <c r="I5" s="149">
        <f>SUMIFS(Data!$U:$U,Data!$A:$A,Data_Echipe!$A5,Data!$C:$C,Data_Echipe!I$1)</f>
        <v>0</v>
      </c>
      <c r="J5" s="149">
        <f>SUMIFS(Data!$U:$U,Data!$A:$A,Data_Echipe!$A5,Data!$C:$C,Data_Echipe!J$1)</f>
        <v>0</v>
      </c>
      <c r="K5" s="149">
        <f>SUMIFS(Data!$U:$U,Data!$A:$A,Data_Echipe!$A5,Data!$C:$C,Data_Echipe!K$1)</f>
        <v>0</v>
      </c>
      <c r="L5" s="149">
        <f>SUMIFS(Data!$U:$U,Data!$A:$A,Data_Echipe!$A5,Data!$C:$C,Data_Echipe!L$1)</f>
        <v>0</v>
      </c>
      <c r="M5" s="150">
        <f>SUMIFS(Data!$U:$U,Data!$A:$A,Data_Echipe!$A5,Data!$C:$C,Data_Echipe!M$1)</f>
        <v>0</v>
      </c>
      <c r="N5" s="149">
        <f>SUMIFS(Data!$U:$U,Data!$A:$A,Data_Echipe!$A5,Data!$C:$C,Data_Echipe!N$1)</f>
        <v>0</v>
      </c>
      <c r="O5" s="150">
        <f>SUMIFS(Data!$U:$U,Data!$A:$A,Data_Echipe!$A5,Data!$C:$C,Data_Echipe!O$1)</f>
        <v>0</v>
      </c>
      <c r="P5" s="149">
        <f>SUMIFS(Data!$U:$U,Data!$A:$A,Data_Echipe!$A5,Data!$C:$C,Data_Echipe!P$1)</f>
        <v>0</v>
      </c>
      <c r="R5" s="109" t="str">
        <f t="shared" si="0"/>
        <v>UltraHaita lu' Borcan</v>
      </c>
    </row>
    <row r="6" spans="1:21" x14ac:dyDescent="0.35">
      <c r="A6" s="55" t="s">
        <v>108</v>
      </c>
      <c r="B6" s="97">
        <v>0</v>
      </c>
      <c r="C6" s="126">
        <f>SUMIFS(Data!$U:$U,Data!$A:$A,Data_Echipe!$A6,Data!$C:$C,Data_Echipe!C$1)</f>
        <v>6.7263333333333328</v>
      </c>
      <c r="D6" s="97">
        <f>SUMIFS(Data!$U:$U,Data!$A:$A,Data_Echipe!$A6,Data!$C:$C,Data_Echipe!D$1)</f>
        <v>3.8874285714285715</v>
      </c>
      <c r="E6" s="97">
        <f>SUMIFS(Data!$U:$U,Data!$A:$A,Data_Echipe!$A6,Data!$C:$C,Data_Echipe!E$1)</f>
        <v>3.1815476190476191</v>
      </c>
      <c r="F6" s="97">
        <f>SUMIFS(Data!$U:$U,Data!$A:$A,Data_Echipe!$A6,Data!$C:$C,Data_Echipe!F$1)</f>
        <v>2.9196428571428572</v>
      </c>
      <c r="G6" s="97">
        <f>SUMIFS(Data!$U:$U,Data!$A:$A,Data_Echipe!$A6,Data!$C:$C,Data_Echipe!G$1)</f>
        <v>4.2125000000000004</v>
      </c>
      <c r="H6" s="97">
        <f>SUMIFS(Data!$U:$U,Data!$A:$A,Data_Echipe!$A6,Data!$C:$C,Data_Echipe!H$1)</f>
        <v>4.2721666666666671</v>
      </c>
      <c r="I6" s="126">
        <f>SUMIFS(Data!$U:$U,Data!$A:$A,Data_Echipe!$A6,Data!$C:$C,Data_Echipe!I$1)</f>
        <v>6.5611666666666668</v>
      </c>
      <c r="J6" s="97">
        <f>SUMIFS(Data!$U:$U,Data!$A:$A,Data_Echipe!$A6,Data!$C:$C,Data_Echipe!J$1)</f>
        <v>2.7668095238095241</v>
      </c>
      <c r="K6" s="97">
        <f>SUMIFS(Data!$U:$U,Data!$A:$A,Data_Echipe!$A6,Data!$C:$C,Data_Echipe!K$1)</f>
        <v>2.9249999999999998</v>
      </c>
      <c r="L6" s="97">
        <f>SUMIFS(Data!$U:$U,Data!$A:$A,Data_Echipe!$A6,Data!$C:$C,Data_Echipe!L$1)</f>
        <v>2.9940476190476191</v>
      </c>
      <c r="M6" s="97">
        <f>SUMIFS(Data!$U:$U,Data!$A:$A,Data_Echipe!$A6,Data!$C:$C,Data_Echipe!M$1)</f>
        <v>9.8491666666666671</v>
      </c>
      <c r="N6" s="97">
        <f>SUMIFS(Data!$U:$U,Data!$A:$A,Data_Echipe!$A6,Data!$C:$C,Data_Echipe!N$1)</f>
        <v>3.8828333333333331</v>
      </c>
      <c r="O6" s="126">
        <f>SUMIFS(Data!$U:$U,Data!$A:$A,Data_Echipe!$A6,Data!$C:$C,Data_Echipe!O$1)</f>
        <v>5.1786666666666665</v>
      </c>
      <c r="P6" s="97">
        <f>SUMIFS(Data!$U:$U,Data!$A:$A,Data_Echipe!$A6,Data!$C:$C,Data_Echipe!P$1)</f>
        <v>3.6723333333333334</v>
      </c>
      <c r="R6" s="109" t="str">
        <f t="shared" si="0"/>
        <v>UltraHaita lu' Borcan</v>
      </c>
    </row>
    <row r="7" spans="1:21" x14ac:dyDescent="0.35">
      <c r="A7" s="55" t="s">
        <v>361</v>
      </c>
      <c r="B7" s="97">
        <v>0</v>
      </c>
      <c r="C7" s="97">
        <f>SUMIFS(Data!$U:$U,Data!$A:$A,Data_Echipe!$A7,Data!$C:$C,Data_Echipe!C$1)</f>
        <v>4.6630000000000003</v>
      </c>
      <c r="D7" s="97">
        <f>SUMIFS(Data!$U:$U,Data!$A:$A,Data_Echipe!$A7,Data!$C:$C,Data_Echipe!D$1)</f>
        <v>5.3607142857142858</v>
      </c>
      <c r="E7" s="97">
        <f>SUMIFS(Data!$U:$U,Data!$A:$A,Data_Echipe!$A7,Data!$C:$C,Data_Echipe!E$1)</f>
        <v>4.5903333333333336</v>
      </c>
      <c r="F7" s="97">
        <f>SUMIFS(Data!$U:$U,Data!$A:$A,Data_Echipe!$A7,Data!$C:$C,Data_Echipe!F$1)</f>
        <v>3.625</v>
      </c>
      <c r="G7" s="97">
        <f>SUMIFS(Data!$U:$U,Data!$A:$A,Data_Echipe!$A7,Data!$C:$C,Data_Echipe!G$1)</f>
        <v>2.875</v>
      </c>
      <c r="H7" s="97">
        <f>SUMIFS(Data!$U:$U,Data!$A:$A,Data_Echipe!$A7,Data!$C:$C,Data_Echipe!H$1)</f>
        <v>4.3168333333333333</v>
      </c>
      <c r="I7" s="97">
        <f>SUMIFS(Data!$U:$U,Data!$A:$A,Data_Echipe!$A7,Data!$C:$C,Data_Echipe!I$1)</f>
        <v>5.0596666666666668</v>
      </c>
      <c r="J7" s="126">
        <f>SUMIFS(Data!$U:$U,Data!$A:$A,Data_Echipe!$A7,Data!$C:$C,Data_Echipe!J$1)</f>
        <v>4.9748333333333337</v>
      </c>
      <c r="K7" s="97">
        <f>SUMIFS(Data!$U:$U,Data!$A:$A,Data_Echipe!$A7,Data!$C:$C,Data_Echipe!K$1)</f>
        <v>4.5676666666666668</v>
      </c>
      <c r="L7" s="97">
        <f>SUMIFS(Data!$U:$U,Data!$A:$A,Data_Echipe!$A7,Data!$C:$C,Data_Echipe!L$1)</f>
        <v>0</v>
      </c>
      <c r="M7" s="126">
        <f>SUMIFS(Data!$U:$U,Data!$A:$A,Data_Echipe!$A7,Data!$C:$C,Data_Echipe!M$1)</f>
        <v>11.152333333333335</v>
      </c>
      <c r="N7" s="97">
        <f>SUMIFS(Data!$U:$U,Data!$A:$A,Data_Echipe!$A7,Data!$C:$C,Data_Echipe!N$1)</f>
        <v>2.3250000000000002</v>
      </c>
      <c r="O7" s="97">
        <f>SUMIFS(Data!$U:$U,Data!$A:$A,Data_Echipe!$A7,Data!$C:$C,Data_Echipe!O$1)</f>
        <v>1.6577380952380953</v>
      </c>
      <c r="P7" s="97">
        <f>SUMIFS(Data!$U:$U,Data!$A:$A,Data_Echipe!$A7,Data!$C:$C,Data_Echipe!P$1)</f>
        <v>3.6713333333333336</v>
      </c>
      <c r="R7" s="109" t="str">
        <f t="shared" si="0"/>
        <v>UltraHaita lu' Borcan</v>
      </c>
    </row>
    <row r="8" spans="1:21" x14ac:dyDescent="0.35">
      <c r="A8" s="55" t="s">
        <v>64</v>
      </c>
      <c r="B8" s="97">
        <v>0</v>
      </c>
      <c r="C8" s="126">
        <f>SUMIFS(Data!$U:$U,Data!$A:$A,Data_Echipe!$A8,Data!$C:$C,Data_Echipe!C$1)</f>
        <v>1.7</v>
      </c>
      <c r="D8" s="97">
        <f>SUMIFS(Data!$U:$U,Data!$A:$A,Data_Echipe!$A8,Data!$C:$C,Data_Echipe!D$1)</f>
        <v>2.2068750000000001</v>
      </c>
      <c r="E8" s="97">
        <f>SUMIFS(Data!$U:$U,Data!$A:$A,Data_Echipe!$A8,Data!$C:$C,Data_Echipe!E$1)</f>
        <v>2.2149999999999999</v>
      </c>
      <c r="F8" s="126">
        <f>SUMIFS(Data!$U:$U,Data!$A:$A,Data_Echipe!$A8,Data!$C:$C,Data_Echipe!F$1)</f>
        <v>2.024375</v>
      </c>
      <c r="G8" s="97">
        <f>SUMIFS(Data!$U:$U,Data!$A:$A,Data_Echipe!$A8,Data!$C:$C,Data_Echipe!G$1)</f>
        <v>2.3312499999999998</v>
      </c>
      <c r="H8" s="97">
        <f>SUMIFS(Data!$U:$U,Data!$A:$A,Data_Echipe!$A8,Data!$C:$C,Data_Echipe!H$1)</f>
        <v>2.6375000000000002</v>
      </c>
      <c r="I8" s="126">
        <f>SUMIFS(Data!$U:$U,Data!$A:$A,Data_Echipe!$A8,Data!$C:$C,Data_Echipe!I$1)</f>
        <v>1.9618749999999998</v>
      </c>
      <c r="J8" s="97">
        <f>SUMIFS(Data!$U:$U,Data!$A:$A,Data_Echipe!$A8,Data!$C:$C,Data_Echipe!J$1)</f>
        <v>2.4031250000000002</v>
      </c>
      <c r="K8" s="97">
        <f>SUMIFS(Data!$U:$U,Data!$A:$A,Data_Echipe!$A8,Data!$C:$C,Data_Echipe!K$1)</f>
        <v>2.42625</v>
      </c>
      <c r="L8" s="126">
        <f>SUMIFS(Data!$U:$U,Data!$A:$A,Data_Echipe!$A8,Data!$C:$C,Data_Echipe!L$1)</f>
        <v>1.9025000000000001</v>
      </c>
      <c r="M8" s="97">
        <f>SUMIFS(Data!$U:$U,Data!$A:$A,Data_Echipe!$A8,Data!$C:$C,Data_Echipe!M$1)</f>
        <v>2.4562499999999998</v>
      </c>
      <c r="N8" s="126">
        <f>SUMIFS(Data!$U:$U,Data!$A:$A,Data_Echipe!$A8,Data!$C:$C,Data_Echipe!N$1)</f>
        <v>2.0499999999999998</v>
      </c>
      <c r="O8" s="97">
        <f>SUMIFS(Data!$U:$U,Data!$A:$A,Data_Echipe!$A8,Data!$C:$C,Data_Echipe!O$1)</f>
        <v>1.903125</v>
      </c>
      <c r="P8" s="97">
        <f>SUMIFS(Data!$U:$U,Data!$A:$A,Data_Echipe!$A8,Data!$C:$C,Data_Echipe!P$1)</f>
        <v>1.8968749999999999</v>
      </c>
      <c r="R8" s="109" t="str">
        <f t="shared" si="0"/>
        <v>UltraHaita lu' Borcan</v>
      </c>
    </row>
    <row r="9" spans="1:21" x14ac:dyDescent="0.35">
      <c r="A9" s="55" t="s">
        <v>247</v>
      </c>
      <c r="B9" s="97">
        <v>0</v>
      </c>
      <c r="C9" s="97">
        <f>SUMIFS(Data!$U:$U,Data!$A:$A,Data_Echipe!$A9,Data!$C:$C,Data_Echipe!C$1)</f>
        <v>2.2053571428571428</v>
      </c>
      <c r="D9" s="97">
        <f>SUMIFS(Data!$U:$U,Data!$A:$A,Data_Echipe!$A9,Data!$C:$C,Data_Echipe!D$1)</f>
        <v>2.3988095238095237</v>
      </c>
      <c r="E9" s="97">
        <f>SUMIFS(Data!$U:$U,Data!$A:$A,Data_Echipe!$A9,Data!$C:$C,Data_Echipe!E$1)</f>
        <v>2.956547619047619</v>
      </c>
      <c r="F9" s="97">
        <f>SUMIFS(Data!$U:$U,Data!$A:$A,Data_Echipe!$A9,Data!$C:$C,Data_Echipe!F$1)</f>
        <v>3.6711666666666667</v>
      </c>
      <c r="G9" s="126">
        <f>SUMIFS(Data!$U:$U,Data!$A:$A,Data_Echipe!$A9,Data!$C:$C,Data_Echipe!G$1)</f>
        <v>1.6035714285714284</v>
      </c>
      <c r="H9" s="97">
        <f>SUMIFS(Data!$U:$U,Data!$A:$A,Data_Echipe!$A9,Data!$C:$C,Data_Echipe!H$1)</f>
        <v>3.3873333333333333</v>
      </c>
      <c r="I9" s="97">
        <f>SUMIFS(Data!$U:$U,Data!$A:$A,Data_Echipe!$A9,Data!$C:$C,Data_Echipe!I$1)</f>
        <v>3.5380000000000003</v>
      </c>
      <c r="J9" s="97">
        <f>SUMIFS(Data!$U:$U,Data!$A:$A,Data_Echipe!$A9,Data!$C:$C,Data_Echipe!J$1)</f>
        <v>3.0811666666666668</v>
      </c>
      <c r="K9" s="97">
        <f>SUMIFS(Data!$U:$U,Data!$A:$A,Data_Echipe!$A9,Data!$C:$C,Data_Echipe!K$1)</f>
        <v>5.1843333333333339</v>
      </c>
      <c r="L9" s="97">
        <f>SUMIFS(Data!$U:$U,Data!$A:$A,Data_Echipe!$A9,Data!$C:$C,Data_Echipe!L$1)</f>
        <v>2.9319523809523806</v>
      </c>
      <c r="M9" s="97">
        <f>SUMIFS(Data!$U:$U,Data!$A:$A,Data_Echipe!$A9,Data!$C:$C,Data_Echipe!M$1)</f>
        <v>2.325595238095238</v>
      </c>
      <c r="N9" s="97">
        <f>SUMIFS(Data!$U:$U,Data!$A:$A,Data_Echipe!$A9,Data!$C:$C,Data_Echipe!N$1)</f>
        <v>4.7013333333333334</v>
      </c>
      <c r="O9" s="97">
        <f>SUMIFS(Data!$U:$U,Data!$A:$A,Data_Echipe!$A9,Data!$C:$C,Data_Echipe!O$1)</f>
        <v>1.9900238095238094</v>
      </c>
      <c r="P9" s="97">
        <f>SUMIFS(Data!$U:$U,Data!$A:$A,Data_Echipe!$A9,Data!$C:$C,Data_Echipe!P$1)</f>
        <v>2.7959999999999998</v>
      </c>
      <c r="R9" s="109" t="str">
        <f t="shared" si="0"/>
        <v>UltraHaita lu' Borcan</v>
      </c>
    </row>
    <row r="10" spans="1:21" x14ac:dyDescent="0.35">
      <c r="A10" s="55" t="s">
        <v>333</v>
      </c>
      <c r="B10" s="97">
        <v>0</v>
      </c>
      <c r="C10" s="97">
        <f>SUMIFS(Data!$U:$U,Data!$A:$A,Data_Echipe!$A10,Data!$C:$C,Data_Echipe!C$1)</f>
        <v>3.5</v>
      </c>
      <c r="D10" s="126">
        <f>SUMIFS(Data!$U:$U,Data!$A:$A,Data_Echipe!$A10,Data!$C:$C,Data_Echipe!D$1)</f>
        <v>2.0154761904761904</v>
      </c>
      <c r="E10" s="97">
        <f>SUMIFS(Data!$U:$U,Data!$A:$A,Data_Echipe!$A10,Data!$C:$C,Data_Echipe!E$1)</f>
        <v>2.3619047619047615</v>
      </c>
      <c r="F10" s="97">
        <f>SUMIFS(Data!$U:$U,Data!$A:$A,Data_Echipe!$A10,Data!$C:$C,Data_Echipe!F$1)</f>
        <v>2.2374999999999998</v>
      </c>
      <c r="G10" s="97">
        <f>SUMIFS(Data!$U:$U,Data!$A:$A,Data_Echipe!$A10,Data!$C:$C,Data_Echipe!G$1)</f>
        <v>2.674404761904762</v>
      </c>
      <c r="H10" s="97">
        <f>SUMIFS(Data!$U:$U,Data!$A:$A,Data_Echipe!$A10,Data!$C:$C,Data_Echipe!H$1)</f>
        <v>3.6375000000000002</v>
      </c>
      <c r="I10" s="97">
        <f>SUMIFS(Data!$U:$U,Data!$A:$A,Data_Echipe!$A10,Data!$C:$C,Data_Echipe!I$1)</f>
        <v>3.65</v>
      </c>
      <c r="J10" s="126">
        <f>SUMIFS(Data!$U:$U,Data!$A:$A,Data_Echipe!$A10,Data!$C:$C,Data_Echipe!J$1)</f>
        <v>2.331547619047619</v>
      </c>
      <c r="K10" s="126">
        <f>SUMIFS(Data!$U:$U,Data!$A:$A,Data_Echipe!$A10,Data!$C:$C,Data_Echipe!K$1)</f>
        <v>1.8607142857142858</v>
      </c>
      <c r="L10" s="97">
        <f>SUMIFS(Data!$U:$U,Data!$A:$A,Data_Echipe!$A10,Data!$C:$C,Data_Echipe!L$1)</f>
        <v>3.0625</v>
      </c>
      <c r="M10" s="97">
        <f>SUMIFS(Data!$U:$U,Data!$A:$A,Data_Echipe!$A10,Data!$C:$C,Data_Echipe!M$1)</f>
        <v>2.7333333333333334</v>
      </c>
      <c r="N10" s="97">
        <f>SUMIFS(Data!$U:$U,Data!$A:$A,Data_Echipe!$A10,Data!$C:$C,Data_Echipe!N$1)</f>
        <v>2.1124999999999998</v>
      </c>
      <c r="O10" s="97">
        <f>SUMIFS(Data!$U:$U,Data!$A:$A,Data_Echipe!$A10,Data!$C:$C,Data_Echipe!O$1)</f>
        <v>1.6797619047619048</v>
      </c>
      <c r="P10" s="97">
        <f>SUMIFS(Data!$U:$U,Data!$A:$A,Data_Echipe!$A10,Data!$C:$C,Data_Echipe!P$1)</f>
        <v>2.4726190476190477</v>
      </c>
      <c r="R10" s="109" t="str">
        <f t="shared" si="0"/>
        <v>UltraHaita lu' Borcan</v>
      </c>
    </row>
    <row r="11" spans="1:21" x14ac:dyDescent="0.35">
      <c r="A11" s="55" t="s">
        <v>346</v>
      </c>
      <c r="B11" s="97">
        <v>0</v>
      </c>
      <c r="C11" s="97">
        <f>SUMIFS(Data!$U:$U,Data!$A:$A,Data_Echipe!$A11,Data!$C:$C,Data_Echipe!C$1)</f>
        <v>5.9868333333333332</v>
      </c>
      <c r="D11" s="97">
        <f>SUMIFS(Data!$U:$U,Data!$A:$A,Data_Echipe!$A11,Data!$C:$C,Data_Echipe!D$1)</f>
        <v>4.4443333333333328</v>
      </c>
      <c r="E11" s="97">
        <f>SUMIFS(Data!$U:$U,Data!$A:$A,Data_Echipe!$A11,Data!$C:$C,Data_Echipe!E$1)</f>
        <v>4.2661666666666669</v>
      </c>
      <c r="F11" s="97">
        <f>SUMIFS(Data!$U:$U,Data!$A:$A,Data_Echipe!$A11,Data!$C:$C,Data_Echipe!F$1)</f>
        <v>7.200333333333333</v>
      </c>
      <c r="G11" s="97">
        <f>SUMIFS(Data!$U:$U,Data!$A:$A,Data_Echipe!$A11,Data!$C:$C,Data_Echipe!G$1)</f>
        <v>2.9422619047619047</v>
      </c>
      <c r="H11" s="126">
        <f>SUMIFS(Data!$U:$U,Data!$A:$A,Data_Echipe!$A11,Data!$C:$C,Data_Echipe!H$1)</f>
        <v>2.3132380952380953</v>
      </c>
      <c r="I11" s="97">
        <f>SUMIFS(Data!$U:$U,Data!$A:$A,Data_Echipe!$A11,Data!$C:$C,Data_Echipe!I$1)</f>
        <v>5.6556666666666668</v>
      </c>
      <c r="J11" s="97">
        <f>SUMIFS(Data!$U:$U,Data!$A:$A,Data_Echipe!$A11,Data!$C:$C,Data_Echipe!J$1)</f>
        <v>3.5089047619047622</v>
      </c>
      <c r="K11" s="97">
        <f>SUMIFS(Data!$U:$U,Data!$A:$A,Data_Echipe!$A11,Data!$C:$C,Data_Echipe!K$1)</f>
        <v>3.375</v>
      </c>
      <c r="L11" s="97">
        <f>SUMIFS(Data!$U:$U,Data!$A:$A,Data_Echipe!$A11,Data!$C:$C,Data_Echipe!L$1)</f>
        <v>6.0305</v>
      </c>
      <c r="M11" s="97">
        <f>SUMIFS(Data!$U:$U,Data!$A:$A,Data_Echipe!$A11,Data!$C:$C,Data_Echipe!M$1)</f>
        <v>3.5791666666666671</v>
      </c>
      <c r="N11" s="97">
        <f>SUMIFS(Data!$U:$U,Data!$A:$A,Data_Echipe!$A11,Data!$C:$C,Data_Echipe!N$1)</f>
        <v>2.6628333333333334</v>
      </c>
      <c r="O11" s="97">
        <f>SUMIFS(Data!$U:$U,Data!$A:$A,Data_Echipe!$A11,Data!$C:$C,Data_Echipe!O$1)</f>
        <v>0</v>
      </c>
      <c r="P11" s="126">
        <f>SUMIFS(Data!$U:$U,Data!$A:$A,Data_Echipe!$A11,Data!$C:$C,Data_Echipe!P$1)</f>
        <v>6.9206666666666674</v>
      </c>
      <c r="R11" s="109" t="str">
        <f t="shared" si="0"/>
        <v>UltraHaita lu' Borcan</v>
      </c>
    </row>
    <row r="12" spans="1:21" x14ac:dyDescent="0.35">
      <c r="A12" s="55" t="s">
        <v>227</v>
      </c>
      <c r="B12" s="97">
        <v>0</v>
      </c>
      <c r="C12" s="97">
        <f>SUMIFS(Data!$U:$U,Data!$A:$A,Data_Echipe!$A12,Data!$C:$C,Data_Echipe!C$1)</f>
        <v>5.0066666666666659</v>
      </c>
      <c r="D12" s="126">
        <f>SUMIFS(Data!$U:$U,Data!$A:$A,Data_Echipe!$A12,Data!$C:$C,Data_Echipe!D$1)</f>
        <v>5.8216666666666672</v>
      </c>
      <c r="E12" s="126">
        <f>SUMIFS(Data!$U:$U,Data!$A:$A,Data_Echipe!$A12,Data!$C:$C,Data_Echipe!E$1)</f>
        <v>6.315833333333333</v>
      </c>
      <c r="F12" s="126">
        <f>SUMIFS(Data!$U:$U,Data!$A:$A,Data_Echipe!$A12,Data!$C:$C,Data_Echipe!F$1)</f>
        <v>7.3274999999999997</v>
      </c>
      <c r="G12" s="126">
        <f>SUMIFS(Data!$U:$U,Data!$A:$A,Data_Echipe!$A12,Data!$C:$C,Data_Echipe!G$1)</f>
        <v>4.3624999999999998</v>
      </c>
      <c r="H12" s="126">
        <f>SUMIFS(Data!$U:$U,Data!$A:$A,Data_Echipe!$A12,Data!$C:$C,Data_Echipe!H$1)</f>
        <v>4.4836666666666662</v>
      </c>
      <c r="I12" s="97">
        <f>SUMIFS(Data!$U:$U,Data!$A:$A,Data_Echipe!$A12,Data!$C:$C,Data_Echipe!I$1)</f>
        <v>6.0914999999999999</v>
      </c>
      <c r="J12" s="97">
        <f>SUMIFS(Data!$U:$U,Data!$A:$A,Data_Echipe!$A12,Data!$C:$C,Data_Echipe!J$1)</f>
        <v>4.359</v>
      </c>
      <c r="K12" s="126">
        <f>SUMIFS(Data!$U:$U,Data!$A:$A,Data_Echipe!$A12,Data!$C:$C,Data_Echipe!K$1)</f>
        <v>7.9773333333333341</v>
      </c>
      <c r="L12" s="126">
        <f>SUMIFS(Data!$U:$U,Data!$A:$A,Data_Echipe!$A12,Data!$C:$C,Data_Echipe!L$1)</f>
        <v>6.8031666666666668</v>
      </c>
      <c r="M12" s="97">
        <f>SUMIFS(Data!$U:$U,Data!$A:$A,Data_Echipe!$A12,Data!$C:$C,Data_Echipe!M$1)</f>
        <v>4.5625</v>
      </c>
      <c r="N12" s="126">
        <f>SUMIFS(Data!$U:$U,Data!$A:$A,Data_Echipe!$A12,Data!$C:$C,Data_Echipe!N$1)</f>
        <v>6.070333333333334</v>
      </c>
      <c r="O12" s="97">
        <f>SUMIFS(Data!$U:$U,Data!$A:$A,Data_Echipe!$A12,Data!$C:$C,Data_Echipe!O$1)</f>
        <v>4.4863333333333326</v>
      </c>
      <c r="P12" s="97">
        <f>SUMIFS(Data!$U:$U,Data!$A:$A,Data_Echipe!$A12,Data!$C:$C,Data_Echipe!P$1)</f>
        <v>5.9919999999999991</v>
      </c>
      <c r="R12" s="109" t="str">
        <f t="shared" si="0"/>
        <v>UltraHaita lu' Borcan</v>
      </c>
    </row>
    <row r="13" spans="1:21" x14ac:dyDescent="0.35">
      <c r="A13" s="55" t="s">
        <v>177</v>
      </c>
      <c r="B13" s="97">
        <v>0</v>
      </c>
      <c r="C13" s="97">
        <f>SUMIFS(Data!$U:$U,Data!$A:$A,Data_Echipe!$A13,Data!$C:$C,Data_Echipe!C$1)</f>
        <v>2.1912500000000001</v>
      </c>
      <c r="D13" s="97">
        <f>SUMIFS(Data!$U:$U,Data!$A:$A,Data_Echipe!$A13,Data!$C:$C,Data_Echipe!D$1)</f>
        <v>2.1524999999999999</v>
      </c>
      <c r="E13" s="126">
        <f>SUMIFS(Data!$U:$U,Data!$A:$A,Data_Echipe!$A13,Data!$C:$C,Data_Echipe!E$1)</f>
        <v>2.0637499999999998</v>
      </c>
      <c r="F13" s="97">
        <f>SUMIFS(Data!$U:$U,Data!$A:$A,Data_Echipe!$A13,Data!$C:$C,Data_Echipe!F$1)</f>
        <v>2.0756250000000001</v>
      </c>
      <c r="G13" s="97">
        <f>SUMIFS(Data!$U:$U,Data!$A:$A,Data_Echipe!$A13,Data!$C:$C,Data_Echipe!G$1)</f>
        <v>3.5</v>
      </c>
      <c r="H13" s="97">
        <f>SUMIFS(Data!$U:$U,Data!$A:$A,Data_Echipe!$A13,Data!$C:$C,Data_Echipe!H$1)</f>
        <v>2.3306249999999999</v>
      </c>
      <c r="I13" s="97">
        <f>SUMIFS(Data!$U:$U,Data!$A:$A,Data_Echipe!$A13,Data!$C:$C,Data_Echipe!I$1)</f>
        <v>2.3149999999999999</v>
      </c>
      <c r="J13" s="97">
        <f>SUMIFS(Data!$U:$U,Data!$A:$A,Data_Echipe!$A13,Data!$C:$C,Data_Echipe!J$1)</f>
        <v>2.3262499999999999</v>
      </c>
      <c r="K13" s="97">
        <f>SUMIFS(Data!$U:$U,Data!$A:$A,Data_Echipe!$A13,Data!$C:$C,Data_Echipe!K$1)</f>
        <v>2.1881249999999999</v>
      </c>
      <c r="L13" s="97">
        <f>SUMIFS(Data!$U:$U,Data!$A:$A,Data_Echipe!$A13,Data!$C:$C,Data_Echipe!L$1)</f>
        <v>2.2625000000000002</v>
      </c>
      <c r="M13" s="126">
        <f>SUMIFS(Data!$U:$U,Data!$A:$A,Data_Echipe!$A13,Data!$C:$C,Data_Echipe!M$1)</f>
        <v>2.1262499999999998</v>
      </c>
      <c r="N13" s="97">
        <f>SUMIFS(Data!$U:$U,Data!$A:$A,Data_Echipe!$A13,Data!$C:$C,Data_Echipe!N$1)</f>
        <v>3.6</v>
      </c>
      <c r="O13" s="97">
        <f>SUMIFS(Data!$U:$U,Data!$A:$A,Data_Echipe!$A13,Data!$C:$C,Data_Echipe!O$1)</f>
        <v>2.0756250000000001</v>
      </c>
      <c r="P13" s="97">
        <f>SUMIFS(Data!$U:$U,Data!$A:$A,Data_Echipe!$A13,Data!$C:$C,Data_Echipe!P$1)</f>
        <v>1.975625</v>
      </c>
      <c r="R13" s="109" t="str">
        <f t="shared" si="0"/>
        <v>UltraHaita lu' Borcan</v>
      </c>
    </row>
    <row r="14" spans="1:21" x14ac:dyDescent="0.35">
      <c r="B14" s="97">
        <v>0</v>
      </c>
      <c r="C14" s="97">
        <f>SUMIFS(Data!$U:$U,Data!$A:$A,Data_Echipe!$A14,Data!$C:$C,Data_Echipe!C$1)</f>
        <v>0</v>
      </c>
      <c r="D14" s="97">
        <f>SUMIFS(Data!$U:$U,Data!$A:$A,Data_Echipe!$A14,Data!$C:$C,Data_Echipe!D$1)</f>
        <v>0</v>
      </c>
      <c r="E14" s="97">
        <f>SUMIFS(Data!$U:$U,Data!$A:$A,Data_Echipe!$A14,Data!$C:$C,Data_Echipe!E$1)</f>
        <v>0</v>
      </c>
      <c r="F14" s="97">
        <f>SUMIFS(Data!$U:$U,Data!$A:$A,Data_Echipe!$A14,Data!$C:$C,Data_Echipe!F$1)</f>
        <v>0</v>
      </c>
      <c r="G14" s="97">
        <f>SUMIFS(Data!$U:$U,Data!$A:$A,Data_Echipe!$A14,Data!$C:$C,Data_Echipe!G$1)</f>
        <v>0</v>
      </c>
      <c r="H14" s="97">
        <f>SUMIFS(Data!$U:$U,Data!$A:$A,Data_Echipe!$A14,Data!$C:$C,Data_Echipe!H$1)</f>
        <v>0</v>
      </c>
      <c r="I14" s="97">
        <f>SUMIFS(Data!$U:$U,Data!$A:$A,Data_Echipe!$A14,Data!$C:$C,Data_Echipe!I$1)</f>
        <v>0</v>
      </c>
      <c r="J14" s="97">
        <f>SUMIFS(Data!$U:$U,Data!$A:$A,Data_Echipe!$A14,Data!$C:$C,Data_Echipe!J$1)</f>
        <v>0</v>
      </c>
      <c r="K14" s="97">
        <f>SUMIFS(Data!$U:$U,Data!$A:$A,Data_Echipe!$A14,Data!$C:$C,Data_Echipe!K$1)</f>
        <v>0</v>
      </c>
      <c r="L14" s="97">
        <f>SUMIFS(Data!$U:$U,Data!$A:$A,Data_Echipe!$A14,Data!$C:$C,Data_Echipe!L$1)</f>
        <v>0</v>
      </c>
      <c r="M14" s="126">
        <f>SUMIFS(Data!$U:$U,Data!$A:$A,Data_Echipe!$A14,Data!$C:$C,Data_Echipe!M$1)</f>
        <v>0</v>
      </c>
      <c r="N14" s="97">
        <f>SUMIFS(Data!$U:$U,Data!$A:$A,Data_Echipe!$A14,Data!$C:$C,Data_Echipe!N$1)</f>
        <v>0</v>
      </c>
      <c r="O14" s="126">
        <f>SUMIFS(Data!$U:$U,Data!$A:$A,Data_Echipe!$A14,Data!$C:$C,Data_Echipe!O$1)</f>
        <v>0</v>
      </c>
      <c r="P14" s="97">
        <f>SUMIFS(Data!$U:$U,Data!$A:$A,Data_Echipe!$A14,Data!$C:$C,Data_Echipe!P$1)</f>
        <v>0</v>
      </c>
      <c r="R14" s="109" t="str">
        <f t="shared" si="0"/>
        <v>UltraHaita lu' Borcan</v>
      </c>
    </row>
    <row r="15" spans="1:21" x14ac:dyDescent="0.35">
      <c r="B15" s="97">
        <v>0</v>
      </c>
      <c r="C15" s="97">
        <f>SUMIFS(Data!$U:$U,Data!$A:$A,Data_Echipe!$A15,Data!$C:$C,Data_Echipe!C$1)</f>
        <v>0</v>
      </c>
      <c r="D15" s="97">
        <f>SUMIFS(Data!$U:$U,Data!$A:$A,Data_Echipe!$A15,Data!$C:$C,Data_Echipe!D$1)</f>
        <v>0</v>
      </c>
      <c r="E15" s="97">
        <f>SUMIFS(Data!$U:$U,Data!$A:$A,Data_Echipe!$A15,Data!$C:$C,Data_Echipe!E$1)</f>
        <v>0</v>
      </c>
      <c r="F15" s="97">
        <f>SUMIFS(Data!$U:$U,Data!$A:$A,Data_Echipe!$A15,Data!$C:$C,Data_Echipe!F$1)</f>
        <v>0</v>
      </c>
      <c r="G15" s="97">
        <f>SUMIFS(Data!$U:$U,Data!$A:$A,Data_Echipe!$A15,Data!$C:$C,Data_Echipe!G$1)</f>
        <v>0</v>
      </c>
      <c r="H15" s="97">
        <f>SUMIFS(Data!$U:$U,Data!$A:$A,Data_Echipe!$A15,Data!$C:$C,Data_Echipe!H$1)</f>
        <v>0</v>
      </c>
      <c r="I15" s="97">
        <f>SUMIFS(Data!$U:$U,Data!$A:$A,Data_Echipe!$A15,Data!$C:$C,Data_Echipe!I$1)</f>
        <v>0</v>
      </c>
      <c r="J15" s="97">
        <f>SUMIFS(Data!$U:$U,Data!$A:$A,Data_Echipe!$A15,Data!$C:$C,Data_Echipe!J$1)</f>
        <v>0</v>
      </c>
      <c r="K15" s="97">
        <f>SUMIFS(Data!$U:$U,Data!$A:$A,Data_Echipe!$A15,Data!$C:$C,Data_Echipe!K$1)</f>
        <v>0</v>
      </c>
      <c r="L15" s="97">
        <f>SUMIFS(Data!$U:$U,Data!$A:$A,Data_Echipe!$A15,Data!$C:$C,Data_Echipe!L$1)</f>
        <v>0</v>
      </c>
      <c r="M15" s="126">
        <f>SUMIFS(Data!$U:$U,Data!$A:$A,Data_Echipe!$A15,Data!$C:$C,Data_Echipe!M$1)</f>
        <v>0</v>
      </c>
      <c r="N15" s="97">
        <f>SUMIFS(Data!$U:$U,Data!$A:$A,Data_Echipe!$A15,Data!$C:$C,Data_Echipe!N$1)</f>
        <v>0</v>
      </c>
      <c r="O15" s="126">
        <f>SUMIFS(Data!$U:$U,Data!$A:$A,Data_Echipe!$A15,Data!$C:$C,Data_Echipe!O$1)</f>
        <v>0</v>
      </c>
      <c r="P15" s="97">
        <f>SUMIFS(Data!$U:$U,Data!$A:$A,Data_Echipe!$A15,Data!$C:$C,Data_Echipe!P$1)</f>
        <v>0</v>
      </c>
      <c r="R15" s="109" t="str">
        <f t="shared" si="0"/>
        <v>UltraHaita lu' Borcan</v>
      </c>
    </row>
    <row r="16" spans="1:21" x14ac:dyDescent="0.35">
      <c r="B16" s="97">
        <v>0</v>
      </c>
      <c r="C16" s="97">
        <f>SUMIFS(Data!$U:$U,Data!$A:$A,Data_Echipe!$A16,Data!$C:$C,Data_Echipe!C$1)</f>
        <v>0</v>
      </c>
      <c r="D16" s="97">
        <f>SUMIFS(Data!$U:$U,Data!$A:$A,Data_Echipe!$A16,Data!$C:$C,Data_Echipe!D$1)</f>
        <v>0</v>
      </c>
      <c r="E16" s="97">
        <f>SUMIFS(Data!$U:$U,Data!$A:$A,Data_Echipe!$A16,Data!$C:$C,Data_Echipe!E$1)</f>
        <v>0</v>
      </c>
      <c r="F16" s="97">
        <f>SUMIFS(Data!$U:$U,Data!$A:$A,Data_Echipe!$A16,Data!$C:$C,Data_Echipe!F$1)</f>
        <v>0</v>
      </c>
      <c r="G16" s="97">
        <f>SUMIFS(Data!$U:$U,Data!$A:$A,Data_Echipe!$A16,Data!$C:$C,Data_Echipe!G$1)</f>
        <v>0</v>
      </c>
      <c r="H16" s="97">
        <f>SUMIFS(Data!$U:$U,Data!$A:$A,Data_Echipe!$A16,Data!$C:$C,Data_Echipe!H$1)</f>
        <v>0</v>
      </c>
      <c r="I16" s="97">
        <f>SUMIFS(Data!$U:$U,Data!$A:$A,Data_Echipe!$A16,Data!$C:$C,Data_Echipe!I$1)</f>
        <v>0</v>
      </c>
      <c r="J16" s="97">
        <f>SUMIFS(Data!$U:$U,Data!$A:$A,Data_Echipe!$A16,Data!$C:$C,Data_Echipe!J$1)</f>
        <v>0</v>
      </c>
      <c r="K16" s="97">
        <f>SUMIFS(Data!$U:$U,Data!$A:$A,Data_Echipe!$A16,Data!$C:$C,Data_Echipe!K$1)</f>
        <v>0</v>
      </c>
      <c r="L16" s="97">
        <f>SUMIFS(Data!$U:$U,Data!$A:$A,Data_Echipe!$A16,Data!$C:$C,Data_Echipe!L$1)</f>
        <v>0</v>
      </c>
      <c r="M16" s="126">
        <f>SUMIFS(Data!$U:$U,Data!$A:$A,Data_Echipe!$A16,Data!$C:$C,Data_Echipe!M$1)</f>
        <v>0</v>
      </c>
      <c r="N16" s="97">
        <f>SUMIFS(Data!$U:$U,Data!$A:$A,Data_Echipe!$A16,Data!$C:$C,Data_Echipe!N$1)</f>
        <v>0</v>
      </c>
      <c r="O16" s="126">
        <f>SUMIFS(Data!$U:$U,Data!$A:$A,Data_Echipe!$A16,Data!$C:$C,Data_Echipe!O$1)</f>
        <v>0</v>
      </c>
      <c r="P16" s="97">
        <f>SUMIFS(Data!$U:$U,Data!$A:$A,Data_Echipe!$A16,Data!$C:$C,Data_Echipe!P$1)</f>
        <v>0</v>
      </c>
      <c r="R16" s="109" t="str">
        <f t="shared" si="0"/>
        <v>UltraHaita lu' Borcan</v>
      </c>
    </row>
    <row r="17" spans="1:19" x14ac:dyDescent="0.35">
      <c r="B17" s="97"/>
      <c r="C17" s="97"/>
      <c r="D17" s="97"/>
      <c r="E17" s="97"/>
      <c r="F17" s="97"/>
      <c r="G17" s="97"/>
      <c r="H17" s="97"/>
      <c r="I17" s="97"/>
      <c r="J17" s="97"/>
      <c r="K17" s="97"/>
      <c r="L17" s="97"/>
      <c r="M17" s="97"/>
      <c r="N17" s="97"/>
      <c r="O17" s="97"/>
      <c r="P17" s="97"/>
      <c r="R17" s="110"/>
    </row>
    <row r="18" spans="1:19" x14ac:dyDescent="0.35">
      <c r="B18" s="97"/>
      <c r="C18" s="97"/>
      <c r="D18" s="97"/>
      <c r="E18" s="97"/>
      <c r="F18" s="97"/>
      <c r="G18" s="97"/>
      <c r="H18" s="97"/>
      <c r="I18" s="97"/>
      <c r="J18" s="97"/>
      <c r="K18" s="97"/>
      <c r="L18" s="97"/>
      <c r="M18" s="97"/>
      <c r="N18" s="97"/>
      <c r="O18" s="97"/>
      <c r="P18" s="97"/>
      <c r="R18" s="110"/>
    </row>
    <row r="19" spans="1:19" x14ac:dyDescent="0.35">
      <c r="B19" s="97"/>
      <c r="C19" s="97"/>
      <c r="D19" s="97"/>
      <c r="E19" s="97"/>
      <c r="F19" s="97"/>
      <c r="G19" s="97"/>
      <c r="H19" s="97"/>
      <c r="I19" s="97"/>
      <c r="J19" s="97"/>
      <c r="K19" s="97"/>
      <c r="L19" s="97"/>
      <c r="M19" s="97"/>
      <c r="N19" s="97"/>
      <c r="O19" s="97"/>
      <c r="P19" s="97"/>
    </row>
    <row r="20" spans="1:19" s="46" customFormat="1" x14ac:dyDescent="0.35">
      <c r="A20" s="57" t="s">
        <v>325</v>
      </c>
      <c r="B20" s="47">
        <f>SUMPRODUCT(LARGE(B21:B34,{1,2,3,4}))/4</f>
        <v>0</v>
      </c>
      <c r="C20" s="47">
        <f>AVERAGE(C21,C23:C24,C25,C27:C31)</f>
        <v>3.8895582010582004</v>
      </c>
      <c r="D20" s="47">
        <f>AVERAGE(D21,D22,D25,D26,D27,D30,D32,D23,D28)</f>
        <v>3.6971917989417986</v>
      </c>
      <c r="E20" s="47">
        <f>AVERAGE(E21:E23,E25,E27:E30,E33:E34)</f>
        <v>3.5685023809523813</v>
      </c>
      <c r="F20" s="47">
        <f>AVERAGE(F21:F25,F27:F30,F33:F34)</f>
        <v>3.7836493506493509</v>
      </c>
      <c r="G20" s="47">
        <f>AVERAGE(G21,G23:G24,G26:G30,G32:G34)</f>
        <v>3.6051071428571428</v>
      </c>
      <c r="H20" s="47">
        <f>AVERAGE(H21:H25,H27:H30,H33:H34)</f>
        <v>3.9775616883116878</v>
      </c>
      <c r="I20" s="47">
        <f>AVERAGE(I21:I26,I28,I30,I32:I34)</f>
        <v>3.6468095238095244</v>
      </c>
      <c r="J20" s="47">
        <f>AVERAGE(J21:J25,J27:J30,J33:J34)</f>
        <v>3.2867499999999996</v>
      </c>
      <c r="K20" s="47">
        <f>AVERAGE(K21:K24,K27:K30,K32:K34)</f>
        <v>3.8079805194805192</v>
      </c>
      <c r="L20" s="47">
        <f>AVERAGE(L21:L22,L24,L26:L30,L33:L34)</f>
        <v>3.8950880952380964</v>
      </c>
      <c r="M20" s="47">
        <f>AVERAGE(M21:M24,M26:M29,M33:M34)</f>
        <v>3.6037488095238097</v>
      </c>
      <c r="N20" s="47">
        <f>AVERAGE(N21,N23:N24,N26:N30,N33:N34)</f>
        <v>3.2812148809523807</v>
      </c>
      <c r="O20" s="47">
        <f>AVERAGE(O23:O24,O26:O30,O32:O34)</f>
        <v>3.2720505952380945</v>
      </c>
      <c r="P20" s="47">
        <f>AVERAGE(P21,P23:P24,P26:P30,P33:P34)</f>
        <v>3.4238321428571425</v>
      </c>
      <c r="Q20" s="47">
        <f>SUM(C20:P20)</f>
        <v>50.739045129870121</v>
      </c>
      <c r="R20" s="108"/>
      <c r="S20" s="48"/>
    </row>
    <row r="21" spans="1:19" x14ac:dyDescent="0.35">
      <c r="A21" s="46" t="s">
        <v>225</v>
      </c>
      <c r="B21" s="97">
        <v>0</v>
      </c>
      <c r="C21" s="97">
        <f>SUMIFS(Data!$U:$U,Data!$A:$A,Data_Echipe!$A21,Data!$C:$C,Data_Echipe!C$1)</f>
        <v>4.5</v>
      </c>
      <c r="D21" s="97">
        <f>SUMIFS(Data!$U:$U,Data!$A:$A,Data_Echipe!$A21,Data!$C:$C,Data_Echipe!D$1)</f>
        <v>4.3220000000000001</v>
      </c>
      <c r="E21" s="97">
        <f>SUMIFS(Data!$U:$U,Data!$A:$A,Data_Echipe!$A21,Data!$C:$C,Data_Echipe!E$1)</f>
        <v>4</v>
      </c>
      <c r="F21" s="97">
        <f>SUMIFS(Data!$U:$U,Data!$A:$A,Data_Echipe!$A21,Data!$C:$C,Data_Echipe!F$1)</f>
        <v>4.2178333333333331</v>
      </c>
      <c r="G21" s="97">
        <f>SUMIFS(Data!$U:$U,Data!$A:$A,Data_Echipe!$A21,Data!$C:$C,Data_Echipe!G$1)</f>
        <v>4.3012916666666667</v>
      </c>
      <c r="H21" s="97">
        <f>SUMIFS(Data!$U:$U,Data!$A:$A,Data_Echipe!$A21,Data!$C:$C,Data_Echipe!H$1)</f>
        <v>3.8595833333333331</v>
      </c>
      <c r="I21" s="97">
        <f>SUMIFS(Data!$U:$U,Data!$A:$A,Data_Echipe!$A21,Data!$C:$C,Data_Echipe!I$1)</f>
        <v>4.3538333333333332</v>
      </c>
      <c r="J21" s="97">
        <f>SUMIFS(Data!$U:$U,Data!$A:$A,Data_Echipe!$A21,Data!$C:$C,Data_Echipe!J$1)</f>
        <v>3.7814166666666669</v>
      </c>
      <c r="K21" s="97">
        <f>SUMIFS(Data!$U:$U,Data!$A:$A,Data_Echipe!$A21,Data!$C:$C,Data_Echipe!K$1)</f>
        <v>4.3583333333333325</v>
      </c>
      <c r="L21" s="97">
        <f>SUMIFS(Data!$U:$U,Data!$A:$A,Data_Echipe!$A21,Data!$C:$C,Data_Echipe!L$1)</f>
        <v>4.2214999999999998</v>
      </c>
      <c r="M21" s="97">
        <f>SUMIFS(Data!$U:$U,Data!$A:$A,Data_Echipe!$A21,Data!$C:$C,Data_Echipe!M$1)</f>
        <v>4.1897500000000001</v>
      </c>
      <c r="N21" s="97">
        <f>SUMIFS(Data!$U:$U,Data!$A:$A,Data_Echipe!$A21,Data!$C:$C,Data_Echipe!N$1)</f>
        <v>2.9681250000000001</v>
      </c>
      <c r="O21" s="126">
        <f>SUMIFS(Data!$U:$U,Data!$A:$A,Data_Echipe!$A21,Data!$C:$C,Data_Echipe!O$1)</f>
        <v>3.2712500000000002</v>
      </c>
      <c r="P21" s="97">
        <f>SUMIFS(Data!$U:$U,Data!$A:$A,Data_Echipe!$A21,Data!$C:$C,Data_Echipe!P$1)</f>
        <v>2.4812500000000002</v>
      </c>
      <c r="R21" s="109" t="str">
        <f t="shared" ref="R21:R34" si="1">$A$20</f>
        <v>The GOATs</v>
      </c>
    </row>
    <row r="22" spans="1:19" x14ac:dyDescent="0.35">
      <c r="A22" s="55" t="s">
        <v>341</v>
      </c>
      <c r="B22" s="97">
        <v>0</v>
      </c>
      <c r="C22" s="126">
        <f>SUMIFS(Data!$U:$U,Data!$A:$A,Data_Echipe!$A22,Data!$C:$C,Data_Echipe!C$1)</f>
        <v>5.7293333333333329</v>
      </c>
      <c r="D22" s="97">
        <f>SUMIFS(Data!$U:$U,Data!$A:$A,Data_Echipe!$A22,Data!$C:$C,Data_Echipe!D$1)</f>
        <v>3.3049999999999997</v>
      </c>
      <c r="E22" s="97">
        <f>SUMIFS(Data!$U:$U,Data!$A:$A,Data_Echipe!$A22,Data!$C:$C,Data_Echipe!E$1)</f>
        <v>3.3064999999999998</v>
      </c>
      <c r="F22" s="97">
        <f>SUMIFS(Data!$U:$U,Data!$A:$A,Data_Echipe!$A22,Data!$C:$C,Data_Echipe!F$1)</f>
        <v>3.7131666666666669</v>
      </c>
      <c r="G22" s="126">
        <f>SUMIFS(Data!$U:$U,Data!$A:$A,Data_Echipe!$A22,Data!$C:$C,Data_Echipe!G$1)</f>
        <v>5.27</v>
      </c>
      <c r="H22" s="97">
        <f>SUMIFS(Data!$U:$U,Data!$A:$A,Data_Echipe!$A22,Data!$C:$C,Data_Echipe!H$1)</f>
        <v>6.3410714285714285</v>
      </c>
      <c r="I22" s="97">
        <f>SUMIFS(Data!$U:$U,Data!$A:$A,Data_Echipe!$A22,Data!$C:$C,Data_Echipe!I$1)</f>
        <v>4.5763333333333334</v>
      </c>
      <c r="J22" s="97">
        <f>SUMIFS(Data!$U:$U,Data!$A:$A,Data_Echipe!$A22,Data!$C:$C,Data_Echipe!J$1)</f>
        <v>3.3125</v>
      </c>
      <c r="K22" s="97">
        <f>SUMIFS(Data!$U:$U,Data!$A:$A,Data_Echipe!$A22,Data!$C:$C,Data_Echipe!K$1)</f>
        <v>5.633</v>
      </c>
      <c r="L22" s="97">
        <f>SUMIFS(Data!$U:$U,Data!$A:$A,Data_Echipe!$A22,Data!$C:$C,Data_Echipe!L$1)</f>
        <v>4.4339285714285719</v>
      </c>
      <c r="M22" s="97">
        <f>SUMIFS(Data!$U:$U,Data!$A:$A,Data_Echipe!$A22,Data!$C:$C,Data_Echipe!M$1)</f>
        <v>4.8053333333333335</v>
      </c>
      <c r="N22" s="126">
        <f>SUMIFS(Data!$U:$U,Data!$A:$A,Data_Echipe!$A22,Data!$C:$C,Data_Echipe!N$1)</f>
        <v>4.54</v>
      </c>
      <c r="O22" s="126">
        <f>SUMIFS(Data!$U:$U,Data!$A:$A,Data_Echipe!$A22,Data!$C:$C,Data_Echipe!O$1)</f>
        <v>4.9096666666666664</v>
      </c>
      <c r="P22" s="126">
        <f>SUMIFS(Data!$U:$U,Data!$A:$A,Data_Echipe!$A22,Data!$C:$C,Data_Echipe!P$1)</f>
        <v>5.5654761904761907</v>
      </c>
      <c r="R22" s="109" t="str">
        <f t="shared" si="1"/>
        <v>The GOATs</v>
      </c>
    </row>
    <row r="23" spans="1:19" x14ac:dyDescent="0.35">
      <c r="A23" s="55" t="s">
        <v>51</v>
      </c>
      <c r="B23" s="97">
        <v>0</v>
      </c>
      <c r="C23" s="97">
        <f>SUMIFS(Data!$U:$U,Data!$A:$A,Data_Echipe!$A23,Data!$C:$C,Data_Echipe!C$1)</f>
        <v>4.1906190476190472</v>
      </c>
      <c r="D23" s="97">
        <f>SUMIFS(Data!$U:$U,Data!$A:$A,Data_Echipe!$A23,Data!$C:$C,Data_Echipe!D$1)</f>
        <v>4.3885714285714279</v>
      </c>
      <c r="E23" s="97">
        <f>SUMIFS(Data!$U:$U,Data!$A:$A,Data_Echipe!$A23,Data!$C:$C,Data_Echipe!E$1)</f>
        <v>3.4886904761904765</v>
      </c>
      <c r="F23" s="97">
        <f>SUMIFS(Data!$U:$U,Data!$A:$A,Data_Echipe!$A23,Data!$C:$C,Data_Echipe!F$1)</f>
        <v>5.1035000000000004</v>
      </c>
      <c r="G23" s="97">
        <f>SUMIFS(Data!$U:$U,Data!$A:$A,Data_Echipe!$A23,Data!$C:$C,Data_Echipe!G$1)</f>
        <v>4.4865000000000004</v>
      </c>
      <c r="H23" s="97">
        <f>SUMIFS(Data!$U:$U,Data!$A:$A,Data_Echipe!$A23,Data!$C:$C,Data_Echipe!H$1)</f>
        <v>4.6859999999999999</v>
      </c>
      <c r="I23" s="97">
        <f>SUMIFS(Data!$U:$U,Data!$A:$A,Data_Echipe!$A23,Data!$C:$C,Data_Echipe!I$1)</f>
        <v>3.3988095238095237</v>
      </c>
      <c r="J23" s="97">
        <f>SUMIFS(Data!$U:$U,Data!$A:$A,Data_Echipe!$A23,Data!$C:$C,Data_Echipe!J$1)</f>
        <v>3.4737142857142853</v>
      </c>
      <c r="K23" s="97">
        <f>SUMIFS(Data!$U:$U,Data!$A:$A,Data_Echipe!$A23,Data!$C:$C,Data_Echipe!K$1)</f>
        <v>3.9702380952380953</v>
      </c>
      <c r="L23" s="126">
        <f>SUMIFS(Data!$U:$U,Data!$A:$A,Data_Echipe!$A23,Data!$C:$C,Data_Echipe!L$1)</f>
        <v>7.6048333333333336</v>
      </c>
      <c r="M23" s="97">
        <f>SUMIFS(Data!$U:$U,Data!$A:$A,Data_Echipe!$A23,Data!$C:$C,Data_Echipe!M$1)</f>
        <v>4.8678571428571429</v>
      </c>
      <c r="N23" s="97">
        <f>SUMIFS(Data!$U:$U,Data!$A:$A,Data_Echipe!$A23,Data!$C:$C,Data_Echipe!N$1)</f>
        <v>4.4365000000000006</v>
      </c>
      <c r="O23" s="97">
        <f>SUMIFS(Data!$U:$U,Data!$A:$A,Data_Echipe!$A23,Data!$C:$C,Data_Echipe!O$1)</f>
        <v>3.5860000000000003</v>
      </c>
      <c r="P23" s="97">
        <f>SUMIFS(Data!$U:$U,Data!$A:$A,Data_Echipe!$A23,Data!$C:$C,Data_Echipe!P$1)</f>
        <v>3.4004761904761907</v>
      </c>
      <c r="R23" s="109" t="str">
        <f t="shared" si="1"/>
        <v>The GOATs</v>
      </c>
    </row>
    <row r="24" spans="1:19" x14ac:dyDescent="0.35">
      <c r="A24" s="55" t="s">
        <v>47</v>
      </c>
      <c r="B24" s="97">
        <v>0</v>
      </c>
      <c r="C24" s="97">
        <f>SUMIFS(Data!$U:$U,Data!$A:$A,Data_Echipe!$A24,Data!$C:$C,Data_Echipe!C$1)</f>
        <v>4.25</v>
      </c>
      <c r="D24" s="126">
        <f>SUMIFS(Data!$U:$U,Data!$A:$A,Data_Echipe!$A24,Data!$C:$C,Data_Echipe!D$1)</f>
        <v>1.5</v>
      </c>
      <c r="E24" s="126">
        <f>SUMIFS(Data!$U:$U,Data!$A:$A,Data_Echipe!$A24,Data!$C:$C,Data_Echipe!E$1)</f>
        <v>0</v>
      </c>
      <c r="F24" s="97">
        <f>SUMIFS(Data!$U:$U,Data!$A:$A,Data_Echipe!$A24,Data!$C:$C,Data_Echipe!F$1)</f>
        <v>2.611904761904762</v>
      </c>
      <c r="G24" s="97">
        <f>SUMIFS(Data!$U:$U,Data!$A:$A,Data_Echipe!$A24,Data!$C:$C,Data_Echipe!G$1)</f>
        <v>3.6875</v>
      </c>
      <c r="H24" s="97">
        <f>SUMIFS(Data!$U:$U,Data!$A:$A,Data_Echipe!$A24,Data!$C:$C,Data_Echipe!H$1)</f>
        <v>3.4059523809523808</v>
      </c>
      <c r="I24" s="97">
        <f>SUMIFS(Data!$U:$U,Data!$A:$A,Data_Echipe!$A24,Data!$C:$C,Data_Echipe!I$1)</f>
        <v>3.2755952380952378</v>
      </c>
      <c r="J24" s="97">
        <f>SUMIFS(Data!$U:$U,Data!$A:$A,Data_Echipe!$A24,Data!$C:$C,Data_Echipe!J$1)</f>
        <v>4.0625</v>
      </c>
      <c r="K24" s="97">
        <f>SUMIFS(Data!$U:$U,Data!$A:$A,Data_Echipe!$A24,Data!$C:$C,Data_Echipe!K$1)</f>
        <v>3.236904761904762</v>
      </c>
      <c r="L24" s="97">
        <f>SUMIFS(Data!$U:$U,Data!$A:$A,Data_Echipe!$A24,Data!$C:$C,Data_Echipe!L$1)</f>
        <v>3.7547619047619043</v>
      </c>
      <c r="M24" s="97">
        <f>SUMIFS(Data!$U:$U,Data!$A:$A,Data_Echipe!$A24,Data!$C:$C,Data_Echipe!M$1)</f>
        <v>3.4077380952380953</v>
      </c>
      <c r="N24" s="97">
        <f>SUMIFS(Data!$U:$U,Data!$A:$A,Data_Echipe!$A24,Data!$C:$C,Data_Echipe!N$1)</f>
        <v>3.4023809523809523</v>
      </c>
      <c r="O24" s="97">
        <f>SUMIFS(Data!$U:$U,Data!$A:$A,Data_Echipe!$A24,Data!$C:$C,Data_Echipe!O$1)</f>
        <v>2.5339285714285715</v>
      </c>
      <c r="P24" s="97">
        <f>SUMIFS(Data!$U:$U,Data!$A:$A,Data_Echipe!$A24,Data!$C:$C,Data_Echipe!P$1)</f>
        <v>2.1016666666666666</v>
      </c>
      <c r="R24" s="109" t="str">
        <f t="shared" si="1"/>
        <v>The GOATs</v>
      </c>
    </row>
    <row r="25" spans="1:19" x14ac:dyDescent="0.35">
      <c r="A25" s="55" t="s">
        <v>284</v>
      </c>
      <c r="B25" s="97">
        <v>0</v>
      </c>
      <c r="C25" s="97">
        <f>SUMIFS(Data!$U:$U,Data!$A:$A,Data_Echipe!$A25,Data!$C:$C,Data_Echipe!C$1)</f>
        <v>2.9855238095238095</v>
      </c>
      <c r="D25" s="97">
        <f>SUMIFS(Data!$U:$U,Data!$A:$A,Data_Echipe!$A25,Data!$C:$C,Data_Echipe!D$1)</f>
        <v>3.6751904761904761</v>
      </c>
      <c r="E25" s="97">
        <f>SUMIFS(Data!$U:$U,Data!$A:$A,Data_Echipe!$A25,Data!$C:$C,Data_Echipe!E$1)</f>
        <v>3.1868571428571428</v>
      </c>
      <c r="F25" s="97">
        <f>SUMIFS(Data!$U:$U,Data!$A:$A,Data_Echipe!$A25,Data!$C:$C,Data_Echipe!F$1)</f>
        <v>1.820238095238095</v>
      </c>
      <c r="G25" s="126">
        <f>SUMIFS(Data!$U:$U,Data!$A:$A,Data_Echipe!$A25,Data!$C:$C,Data_Echipe!G$1)</f>
        <v>1.5</v>
      </c>
      <c r="H25" s="97">
        <f>SUMIFS(Data!$U:$U,Data!$A:$A,Data_Echipe!$A25,Data!$C:$C,Data_Echipe!H$1)</f>
        <v>2.1398571428571431</v>
      </c>
      <c r="I25" s="97">
        <f>SUMIFS(Data!$U:$U,Data!$A:$A,Data_Echipe!$A25,Data!$C:$C,Data_Echipe!I$1)</f>
        <v>3.4419285714285714</v>
      </c>
      <c r="J25" s="97">
        <f>SUMIFS(Data!$U:$U,Data!$A:$A,Data_Echipe!$A25,Data!$C:$C,Data_Echipe!J$1)</f>
        <v>2.2065000000000001</v>
      </c>
      <c r="K25" s="126">
        <f>SUMIFS(Data!$U:$U,Data!$A:$A,Data_Echipe!$A25,Data!$C:$C,Data_Echipe!K$1)</f>
        <v>1.9804761904761905</v>
      </c>
      <c r="L25" s="97">
        <f>SUMIFS(Data!$U:$U,Data!$A:$A,Data_Echipe!$A25,Data!$C:$C,Data_Echipe!L$1)</f>
        <v>0</v>
      </c>
      <c r="M25" s="97">
        <f>SUMIFS(Data!$U:$U,Data!$A:$A,Data_Echipe!$A25,Data!$C:$C,Data_Echipe!M$1)</f>
        <v>0</v>
      </c>
      <c r="N25" s="126">
        <f>SUMIFS(Data!$U:$U,Data!$A:$A,Data_Echipe!$A25,Data!$C:$C,Data_Echipe!N$1)</f>
        <v>0.3125</v>
      </c>
      <c r="O25" s="97">
        <f>SUMIFS(Data!$U:$U,Data!$A:$A,Data_Echipe!$A25,Data!$C:$C,Data_Echipe!O$1)</f>
        <v>0</v>
      </c>
      <c r="P25" s="97">
        <f>SUMIFS(Data!$U:$U,Data!$A:$A,Data_Echipe!$A25,Data!$C:$C,Data_Echipe!P$1)</f>
        <v>0</v>
      </c>
      <c r="R25" s="109" t="str">
        <f t="shared" si="1"/>
        <v>The GOATs</v>
      </c>
    </row>
    <row r="26" spans="1:19" x14ac:dyDescent="0.35">
      <c r="A26" s="55" t="s">
        <v>283</v>
      </c>
      <c r="B26" s="97">
        <v>0</v>
      </c>
      <c r="C26" s="126">
        <f>SUMIFS(Data!$U:$U,Data!$A:$A,Data_Echipe!$A26,Data!$C:$C,Data_Echipe!C$1)</f>
        <v>2.5880476190476194</v>
      </c>
      <c r="D26" s="97">
        <f>SUMIFS(Data!$U:$U,Data!$A:$A,Data_Echipe!$A26,Data!$C:$C,Data_Echipe!D$1)</f>
        <v>3.8173333333333335</v>
      </c>
      <c r="E26" s="126">
        <f>SUMIFS(Data!$U:$U,Data!$A:$A,Data_Echipe!$A26,Data!$C:$C,Data_Echipe!E$1)</f>
        <v>5.1546666666666665</v>
      </c>
      <c r="F26" s="126">
        <f>SUMIFS(Data!$U:$U,Data!$A:$A,Data_Echipe!$A26,Data!$C:$C,Data_Echipe!F$1)</f>
        <v>6.1755000000000004</v>
      </c>
      <c r="G26" s="97">
        <f>SUMIFS(Data!$U:$U,Data!$A:$A,Data_Echipe!$A26,Data!$C:$C,Data_Echipe!G$1)</f>
        <v>4.4089999999999998</v>
      </c>
      <c r="H26" s="126">
        <f>SUMIFS(Data!$U:$U,Data!$A:$A,Data_Echipe!$A26,Data!$C:$C,Data_Echipe!H$1)</f>
        <v>8.1646666666666672</v>
      </c>
      <c r="I26" s="97">
        <f>SUMIFS(Data!$U:$U,Data!$A:$A,Data_Echipe!$A26,Data!$C:$C,Data_Echipe!I$1)</f>
        <v>4.3896666666666668</v>
      </c>
      <c r="J26" s="126">
        <f>SUMIFS(Data!$U:$U,Data!$A:$A,Data_Echipe!$A26,Data!$C:$C,Data_Echipe!J$1)</f>
        <v>4.8441666666666663</v>
      </c>
      <c r="K26" s="126">
        <f>SUMIFS(Data!$U:$U,Data!$A:$A,Data_Echipe!$A26,Data!$C:$C,Data_Echipe!K$1)</f>
        <v>5.8573333333333331</v>
      </c>
      <c r="L26" s="97">
        <f>SUMIFS(Data!$U:$U,Data!$A:$A,Data_Echipe!$A26,Data!$C:$C,Data_Echipe!L$1)</f>
        <v>4.8555000000000001</v>
      </c>
      <c r="M26" s="97">
        <f>SUMIFS(Data!$U:$U,Data!$A:$A,Data_Echipe!$A26,Data!$C:$C,Data_Echipe!M$1)</f>
        <v>4</v>
      </c>
      <c r="N26" s="97">
        <f>SUMIFS(Data!$U:$U,Data!$A:$A,Data_Echipe!$A26,Data!$C:$C,Data_Echipe!N$1)</f>
        <v>2.7322380952380954</v>
      </c>
      <c r="O26" s="97">
        <f>SUMIFS(Data!$U:$U,Data!$A:$A,Data_Echipe!$A26,Data!$C:$C,Data_Echipe!O$1)</f>
        <v>4.7923333333333336</v>
      </c>
      <c r="P26" s="97">
        <f>SUMIFS(Data!$U:$U,Data!$A:$A,Data_Echipe!$A26,Data!$C:$C,Data_Echipe!P$1)</f>
        <v>4.6116666666666664</v>
      </c>
      <c r="R26" s="109" t="str">
        <f t="shared" si="1"/>
        <v>The GOATs</v>
      </c>
    </row>
    <row r="27" spans="1:19" x14ac:dyDescent="0.35">
      <c r="A27" s="55" t="s">
        <v>137</v>
      </c>
      <c r="B27" s="97">
        <v>0</v>
      </c>
      <c r="C27" s="97">
        <f>SUMIFS(Data!$U:$U,Data!$A:$A,Data_Echipe!$A27,Data!$C:$C,Data_Echipe!C$1)</f>
        <v>3.6723333333333334</v>
      </c>
      <c r="D27" s="97">
        <f>SUMIFS(Data!$U:$U,Data!$A:$A,Data_Echipe!$A27,Data!$C:$C,Data_Echipe!D$1)</f>
        <v>3.2164999999999999</v>
      </c>
      <c r="E27" s="97">
        <f>SUMIFS(Data!$U:$U,Data!$A:$A,Data_Echipe!$A27,Data!$C:$C,Data_Echipe!E$1)</f>
        <v>2.4195714285714285</v>
      </c>
      <c r="F27" s="97">
        <f>SUMIFS(Data!$U:$U,Data!$A:$A,Data_Echipe!$A27,Data!$C:$C,Data_Echipe!F$1)</f>
        <v>2.4624999999999999</v>
      </c>
      <c r="G27" s="97">
        <f>SUMIFS(Data!$U:$U,Data!$A:$A,Data_Echipe!$A27,Data!$C:$C,Data_Echipe!G$1)</f>
        <v>2.7285714285714286</v>
      </c>
      <c r="H27" s="97">
        <f>SUMIFS(Data!$U:$U,Data!$A:$A,Data_Echipe!$A27,Data!$C:$C,Data_Echipe!H$1)</f>
        <v>3.1672619047619048</v>
      </c>
      <c r="I27" s="126">
        <f>SUMIFS(Data!$U:$U,Data!$A:$A,Data_Echipe!$A27,Data!$C:$C,Data_Echipe!I$1)</f>
        <v>1.5</v>
      </c>
      <c r="J27" s="97">
        <f>SUMIFS(Data!$U:$U,Data!$A:$A,Data_Echipe!$A27,Data!$C:$C,Data_Echipe!J$1)</f>
        <v>2.703095238095238</v>
      </c>
      <c r="K27" s="97">
        <f>SUMIFS(Data!$U:$U,Data!$A:$A,Data_Echipe!$A27,Data!$C:$C,Data_Echipe!K$1)</f>
        <v>3.3056904761904762</v>
      </c>
      <c r="L27" s="97">
        <f>SUMIFS(Data!$U:$U,Data!$A:$A,Data_Echipe!$A27,Data!$C:$C,Data_Echipe!L$1)</f>
        <v>3.301190476190476</v>
      </c>
      <c r="M27" s="97">
        <f>SUMIFS(Data!$U:$U,Data!$A:$A,Data_Echipe!$A27,Data!$C:$C,Data_Echipe!M$1)</f>
        <v>2.4827380952380951</v>
      </c>
      <c r="N27" s="97">
        <f>SUMIFS(Data!$U:$U,Data!$A:$A,Data_Echipe!$A27,Data!$C:$C,Data_Echipe!N$1)</f>
        <v>2.9708333333333332</v>
      </c>
      <c r="O27" s="97">
        <f>SUMIFS(Data!$U:$U,Data!$A:$A,Data_Echipe!$A27,Data!$C:$C,Data_Echipe!O$1)</f>
        <v>2.6499285714285716</v>
      </c>
      <c r="P27" s="97">
        <f>SUMIFS(Data!$U:$U,Data!$A:$A,Data_Echipe!$A27,Data!$C:$C,Data_Echipe!P$1)</f>
        <v>3.7843333333333335</v>
      </c>
      <c r="R27" s="109" t="str">
        <f t="shared" si="1"/>
        <v>The GOATs</v>
      </c>
    </row>
    <row r="28" spans="1:19" x14ac:dyDescent="0.35">
      <c r="A28" s="55" t="s">
        <v>203</v>
      </c>
      <c r="B28" s="97">
        <v>0</v>
      </c>
      <c r="C28" s="97">
        <f>SUMIFS(Data!$U:$U,Data!$A:$A,Data_Echipe!$A28,Data!$C:$C,Data_Echipe!C$1)</f>
        <v>3.9375</v>
      </c>
      <c r="D28" s="97">
        <f>SUMIFS(Data!$U:$U,Data!$A:$A,Data_Echipe!$A28,Data!$C:$C,Data_Echipe!D$1)</f>
        <v>4.3698333333333332</v>
      </c>
      <c r="E28" s="97">
        <f>SUMIFS(Data!$U:$U,Data!$A:$A,Data_Echipe!$A28,Data!$C:$C,Data_Echipe!E$1)</f>
        <v>3.424404761904762</v>
      </c>
      <c r="F28" s="97">
        <f>SUMIFS(Data!$U:$U,Data!$A:$A,Data_Echipe!$A28,Data!$C:$C,Data_Echipe!F$1)</f>
        <v>4.6230000000000002</v>
      </c>
      <c r="G28" s="97">
        <f>SUMIFS(Data!$U:$U,Data!$A:$A,Data_Echipe!$A28,Data!$C:$C,Data_Echipe!G$1)</f>
        <v>3.875</v>
      </c>
      <c r="H28" s="97">
        <f>SUMIFS(Data!$U:$U,Data!$A:$A,Data_Echipe!$A28,Data!$C:$C,Data_Echipe!H$1)</f>
        <v>3.2422619047619046</v>
      </c>
      <c r="I28" s="97">
        <f>SUMIFS(Data!$U:$U,Data!$A:$A,Data_Echipe!$A28,Data!$C:$C,Data_Echipe!I$1)</f>
        <v>3.25</v>
      </c>
      <c r="J28" s="97">
        <f>SUMIFS(Data!$U:$U,Data!$A:$A,Data_Echipe!$A28,Data!$C:$C,Data_Echipe!J$1)</f>
        <v>2.6055000000000001</v>
      </c>
      <c r="K28" s="97">
        <f>SUMIFS(Data!$U:$U,Data!$A:$A,Data_Echipe!$A28,Data!$C:$C,Data_Echipe!K$1)</f>
        <v>3.2068571428571429</v>
      </c>
      <c r="L28" s="97">
        <f>SUMIFS(Data!$U:$U,Data!$A:$A,Data_Echipe!$A28,Data!$C:$C,Data_Echipe!L$1)</f>
        <v>3.8595238095238096</v>
      </c>
      <c r="M28" s="97">
        <f>SUMIFS(Data!$U:$U,Data!$A:$A,Data_Echipe!$A28,Data!$C:$C,Data_Echipe!M$1)</f>
        <v>3.3517857142857141</v>
      </c>
      <c r="N28" s="97">
        <f>SUMIFS(Data!$U:$U,Data!$A:$A,Data_Echipe!$A28,Data!$C:$C,Data_Echipe!N$1)</f>
        <v>3.7208333333333332</v>
      </c>
      <c r="O28" s="97">
        <f>SUMIFS(Data!$U:$U,Data!$A:$A,Data_Echipe!$A28,Data!$C:$C,Data_Echipe!O$1)</f>
        <v>2.8166666666666664</v>
      </c>
      <c r="P28" s="97">
        <f>SUMIFS(Data!$U:$U,Data!$A:$A,Data_Echipe!$A28,Data!$C:$C,Data_Echipe!P$1)</f>
        <v>4.5</v>
      </c>
      <c r="R28" s="109" t="str">
        <f t="shared" si="1"/>
        <v>The GOATs</v>
      </c>
    </row>
    <row r="29" spans="1:19" x14ac:dyDescent="0.35">
      <c r="A29" s="55" t="s">
        <v>49</v>
      </c>
      <c r="B29" s="97">
        <v>0</v>
      </c>
      <c r="C29" s="97">
        <f>SUMIFS(Data!$U:$U,Data!$A:$A,Data_Echipe!$A29,Data!$C:$C,Data_Echipe!C$1)</f>
        <v>4.0660714285714281</v>
      </c>
      <c r="D29" s="126">
        <f>SUMIFS(Data!$U:$U,Data!$A:$A,Data_Echipe!$A29,Data!$C:$C,Data_Echipe!D$1)</f>
        <v>5.1878333333333337</v>
      </c>
      <c r="E29" s="97">
        <f>SUMIFS(Data!$U:$U,Data!$A:$A,Data_Echipe!$A29,Data!$C:$C,Data_Echipe!E$1)</f>
        <v>4.3820000000000006</v>
      </c>
      <c r="F29" s="97">
        <f>SUMIFS(Data!$U:$U,Data!$A:$A,Data_Echipe!$A29,Data!$C:$C,Data_Echipe!F$1)</f>
        <v>4.6789999999999994</v>
      </c>
      <c r="G29" s="97">
        <f>SUMIFS(Data!$U:$U,Data!$A:$A,Data_Echipe!$A29,Data!$C:$C,Data_Echipe!G$1)</f>
        <v>3.9196666666666666</v>
      </c>
      <c r="H29" s="97">
        <f>SUMIFS(Data!$U:$U,Data!$A:$A,Data_Echipe!$A29,Data!$C:$C,Data_Echipe!H$1)</f>
        <v>4.9736666666666665</v>
      </c>
      <c r="I29" s="126">
        <f>SUMIFS(Data!$U:$U,Data!$A:$A,Data_Echipe!$A29,Data!$C:$C,Data_Echipe!I$1)</f>
        <v>6.2263333333333337</v>
      </c>
      <c r="J29" s="97">
        <f>SUMIFS(Data!$U:$U,Data!$A:$A,Data_Echipe!$A29,Data!$C:$C,Data_Echipe!J$1)</f>
        <v>4.5625</v>
      </c>
      <c r="K29" s="97">
        <f>SUMIFS(Data!$U:$U,Data!$A:$A,Data_Echipe!$A29,Data!$C:$C,Data_Echipe!K$1)</f>
        <v>4.4664999999999999</v>
      </c>
      <c r="L29" s="97">
        <f>SUMIFS(Data!$U:$U,Data!$A:$A,Data_Echipe!$A29,Data!$C:$C,Data_Echipe!L$1)</f>
        <v>4.5625</v>
      </c>
      <c r="M29" s="97">
        <f>SUMIFS(Data!$U:$U,Data!$A:$A,Data_Echipe!$A29,Data!$C:$C,Data_Echipe!M$1)</f>
        <v>3.7930000000000001</v>
      </c>
      <c r="N29" s="97">
        <f>SUMIFS(Data!$U:$U,Data!$A:$A,Data_Echipe!$A29,Data!$C:$C,Data_Echipe!N$1)</f>
        <v>3.4963571428571427</v>
      </c>
      <c r="O29" s="97">
        <f>SUMIFS(Data!$U:$U,Data!$A:$A,Data_Echipe!$A29,Data!$C:$C,Data_Echipe!O$1)</f>
        <v>4.4891666666666667</v>
      </c>
      <c r="P29" s="97">
        <f>SUMIFS(Data!$U:$U,Data!$A:$A,Data_Echipe!$A29,Data!$C:$C,Data_Echipe!P$1)</f>
        <v>3.6345238095238095</v>
      </c>
      <c r="R29" s="109" t="str">
        <f t="shared" si="1"/>
        <v>The GOATs</v>
      </c>
    </row>
    <row r="30" spans="1:19" x14ac:dyDescent="0.35">
      <c r="A30" s="55" t="s">
        <v>366</v>
      </c>
      <c r="B30" s="97">
        <v>0</v>
      </c>
      <c r="C30" s="97">
        <f>SUMIFS(Data!$U:$U,Data!$A:$A,Data_Echipe!$A30,Data!$C:$C,Data_Echipe!C$1)</f>
        <v>4.1676666666666664</v>
      </c>
      <c r="D30" s="97">
        <f>SUMIFS(Data!$U:$U,Data!$A:$A,Data_Echipe!$A30,Data!$C:$C,Data_Echipe!D$1)</f>
        <v>3.644047619047619</v>
      </c>
      <c r="E30" s="97">
        <f>SUMIFS(Data!$U:$U,Data!$A:$A,Data_Echipe!$A30,Data!$C:$C,Data_Echipe!E$1)</f>
        <v>4.3776666666666673</v>
      </c>
      <c r="F30" s="97">
        <f>SUMIFS(Data!$U:$U,Data!$A:$A,Data_Echipe!$A30,Data!$C:$C,Data_Echipe!F$1)</f>
        <v>3.375</v>
      </c>
      <c r="G30" s="97">
        <f>SUMIFS(Data!$U:$U,Data!$A:$A,Data_Echipe!$A30,Data!$C:$C,Data_Echipe!G$1)</f>
        <v>3.6890000000000001</v>
      </c>
      <c r="H30" s="97">
        <f>SUMIFS(Data!$U:$U,Data!$A:$A,Data_Echipe!$A30,Data!$C:$C,Data_Echipe!H$1)</f>
        <v>4.3321428571428573</v>
      </c>
      <c r="I30" s="97">
        <f>SUMIFS(Data!$U:$U,Data!$A:$A,Data_Echipe!$A30,Data!$C:$C,Data_Echipe!I$1)</f>
        <v>3.9410714285714286</v>
      </c>
      <c r="J30" s="97">
        <f>SUMIFS(Data!$U:$U,Data!$A:$A,Data_Echipe!$A30,Data!$C:$C,Data_Echipe!J$1)</f>
        <v>4.3053333333333335</v>
      </c>
      <c r="K30" s="97">
        <f>SUMIFS(Data!$U:$U,Data!$A:$A,Data_Echipe!$A30,Data!$C:$C,Data_Echipe!K$1)</f>
        <v>4.4870000000000001</v>
      </c>
      <c r="L30" s="97">
        <f>SUMIFS(Data!$U:$U,Data!$A:$A,Data_Echipe!$A30,Data!$C:$C,Data_Echipe!L$1)</f>
        <v>3.9089999999999998</v>
      </c>
      <c r="M30" s="126">
        <f>SUMIFS(Data!$U:$U,Data!$A:$A,Data_Echipe!$A30,Data!$C:$C,Data_Echipe!M$1)</f>
        <v>5.2408333333333337</v>
      </c>
      <c r="N30" s="97">
        <f>SUMIFS(Data!$U:$U,Data!$A:$A,Data_Echipe!$A30,Data!$C:$C,Data_Echipe!N$1)</f>
        <v>3.8467619047619048</v>
      </c>
      <c r="O30" s="97">
        <f>SUMIFS(Data!$U:$U,Data!$A:$A,Data_Echipe!$A30,Data!$C:$C,Data_Echipe!O$1)</f>
        <v>4.5803571428571423</v>
      </c>
      <c r="P30" s="97">
        <f>SUMIFS(Data!$U:$U,Data!$A:$A,Data_Echipe!$A30,Data!$C:$C,Data_Echipe!P$1)</f>
        <v>3.9976190476190472</v>
      </c>
      <c r="R30" s="109" t="str">
        <f t="shared" si="1"/>
        <v>The GOATs</v>
      </c>
    </row>
    <row r="31" spans="1:19" x14ac:dyDescent="0.35">
      <c r="A31" s="148" t="s">
        <v>337</v>
      </c>
      <c r="B31" s="149">
        <v>0</v>
      </c>
      <c r="C31" s="149">
        <f>SUMIFS(Data!$U:$U,Data!$A:$A,Data_Echipe!$A31,Data!$C:$C,Data_Echipe!C$1)</f>
        <v>3.2363095238095236</v>
      </c>
      <c r="D31" s="149">
        <f>SUMIFS(Data!$U:$U,Data!$A:$A,Data_Echipe!$A31,Data!$C:$C,Data_Echipe!D$1)</f>
        <v>0</v>
      </c>
      <c r="E31" s="149">
        <f>SUMIFS(Data!$U:$U,Data!$A:$A,Data_Echipe!$A31,Data!$C:$C,Data_Echipe!E$1)</f>
        <v>0</v>
      </c>
      <c r="F31" s="149"/>
      <c r="G31" s="149"/>
      <c r="H31" s="149"/>
      <c r="I31" s="149"/>
      <c r="J31" s="149"/>
      <c r="K31" s="149"/>
      <c r="L31" s="149"/>
      <c r="M31" s="149"/>
      <c r="N31" s="149"/>
      <c r="O31" s="150"/>
      <c r="P31" s="149"/>
      <c r="R31" s="109" t="str">
        <f t="shared" si="1"/>
        <v>The GOATs</v>
      </c>
    </row>
    <row r="32" spans="1:19" x14ac:dyDescent="0.35">
      <c r="A32" s="55" t="s">
        <v>383</v>
      </c>
      <c r="B32" s="97">
        <v>0</v>
      </c>
      <c r="C32" s="97">
        <v>0</v>
      </c>
      <c r="D32" s="97">
        <f>SUMIFS(Data!$U:$U,Data!$A:$A,Data_Echipe!$A32,Data!$C:$C,Data_Echipe!D$1)</f>
        <v>2.5362499999999999</v>
      </c>
      <c r="E32" s="126">
        <f>SUMIFS(Data!$U:$U,Data!$A:$A,Data_Echipe!$A32,Data!$C:$C,Data_Echipe!E$1)</f>
        <v>1.5</v>
      </c>
      <c r="F32" s="126">
        <f>SUMIFS(Data!$U:$U,Data!$A:$A,Data_Echipe!$A32,Data!$C:$C,Data_Echipe!F$1)</f>
        <v>1.6875</v>
      </c>
      <c r="G32" s="97">
        <f>SUMIFS(Data!$U:$U,Data!$A:$A,Data_Echipe!$A32,Data!$C:$C,Data_Echipe!G$1)</f>
        <v>1.940625</v>
      </c>
      <c r="H32" s="126">
        <f>SUMIFS(Data!$U:$U,Data!$A:$A,Data_Echipe!$A32,Data!$C:$C,Data_Echipe!H$1)</f>
        <v>2.0637499999999998</v>
      </c>
      <c r="I32" s="97">
        <f>SUMIFS(Data!$U:$U,Data!$A:$A,Data_Echipe!$A32,Data!$C:$C,Data_Echipe!I$1)</f>
        <v>2.5825</v>
      </c>
      <c r="J32" s="126">
        <f>SUMIFS(Data!$U:$U,Data!$A:$A,Data_Echipe!$A32,Data!$C:$C,Data_Echipe!J$1)</f>
        <v>2.3149999999999999</v>
      </c>
      <c r="K32" s="97">
        <f>SUMIFS(Data!$U:$U,Data!$A:$A,Data_Echipe!$A32,Data!$C:$C,Data_Echipe!K$1)</f>
        <v>3.411</v>
      </c>
      <c r="L32" s="126">
        <f>SUMIFS(Data!$U:$U,Data!$A:$A,Data_Echipe!$A32,Data!$C:$C,Data_Echipe!L$1)</f>
        <v>2.69</v>
      </c>
      <c r="M32" s="126">
        <f>SUMIFS(Data!$U:$U,Data!$A:$A,Data_Echipe!$A32,Data!$C:$C,Data_Echipe!M$1)</f>
        <v>1.5</v>
      </c>
      <c r="N32" s="97">
        <f>SUMIFS(Data!$U:$U,Data!$A:$A,Data_Echipe!$A32,Data!$C:$C,Data_Echipe!N$1)</f>
        <v>0</v>
      </c>
      <c r="O32" s="97">
        <f>SUMIFS(Data!$U:$U,Data!$A:$A,Data_Echipe!$A32,Data!$C:$C,Data_Echipe!O$1)</f>
        <v>1.5631249999999999</v>
      </c>
      <c r="P32" s="126">
        <f>SUMIFS(Data!$U:$U,Data!$A:$A,Data_Echipe!$A32,Data!$C:$C,Data_Echipe!P$1)</f>
        <v>1.3462499999999999</v>
      </c>
      <c r="R32" s="109" t="str">
        <f t="shared" si="1"/>
        <v>The GOATs</v>
      </c>
    </row>
    <row r="33" spans="1:18" x14ac:dyDescent="0.35">
      <c r="A33" s="55" t="s">
        <v>125</v>
      </c>
      <c r="B33" s="97">
        <v>0</v>
      </c>
      <c r="C33" s="97">
        <f>SUMIFS(Data!$U:$U,Data!$A:$A,Data_Echipe!$A33,Data!$C:$C,Data_Echipe!C$1)</f>
        <v>0</v>
      </c>
      <c r="D33" s="97">
        <f>SUMIFS(Data!$U:$U,Data!$A:$A,Data_Echipe!$A33,Data!$C:$C,Data_Echipe!D$1)</f>
        <v>0</v>
      </c>
      <c r="E33" s="97">
        <f>SUMIFS(Data!$U:$U,Data!$A:$A,Data_Echipe!$A33,Data!$C:$C,Data_Echipe!E$1)</f>
        <v>3.7958333333333334</v>
      </c>
      <c r="F33" s="97">
        <f>SUMIFS(Data!$U:$U,Data!$A:$A,Data_Echipe!$A33,Data!$C:$C,Data_Echipe!F$1)</f>
        <v>3.6791666666666667</v>
      </c>
      <c r="G33" s="97">
        <f>SUMIFS(Data!$U:$U,Data!$A:$A,Data_Echipe!$A33,Data!$C:$C,Data_Echipe!G$1)</f>
        <v>2.9558571428571425</v>
      </c>
      <c r="H33" s="97">
        <f>SUMIFS(Data!$U:$U,Data!$A:$A,Data_Echipe!$A33,Data!$C:$C,Data_Echipe!H$1)</f>
        <v>2.3235476190476194</v>
      </c>
      <c r="I33" s="97">
        <f>SUMIFS(Data!$U:$U,Data!$A:$A,Data_Echipe!$A33,Data!$C:$C,Data_Echipe!I$1)</f>
        <v>3.6708333333333334</v>
      </c>
      <c r="J33" s="97">
        <f>SUMIFS(Data!$U:$U,Data!$A:$A,Data_Echipe!$A33,Data!$C:$C,Data_Echipe!J$1)</f>
        <v>2.3273809523809526</v>
      </c>
      <c r="K33" s="97">
        <f>SUMIFS(Data!$U:$U,Data!$A:$A,Data_Echipe!$A33,Data!$C:$C,Data_Echipe!K$1)</f>
        <v>2.3297619047619049</v>
      </c>
      <c r="L33" s="97">
        <f>SUMIFS(Data!$U:$U,Data!$A:$A,Data_Echipe!$A33,Data!$C:$C,Data_Echipe!L$1)</f>
        <v>3.1404761904761904</v>
      </c>
      <c r="M33" s="97">
        <f>SUMIFS(Data!$U:$U,Data!$A:$A,Data_Echipe!$A33,Data!$C:$C,Data_Echipe!M$1)</f>
        <v>2.9982142857142859</v>
      </c>
      <c r="N33" s="97">
        <f>SUMIFS(Data!$U:$U,Data!$A:$A,Data_Echipe!$A33,Data!$C:$C,Data_Echipe!N$1)</f>
        <v>2.1916666666666664</v>
      </c>
      <c r="O33" s="97">
        <f>SUMIFS(Data!$U:$U,Data!$A:$A,Data_Echipe!$A33,Data!$C:$C,Data_Echipe!O$1)</f>
        <v>2.270833333333333</v>
      </c>
      <c r="P33" s="97">
        <f>SUMIFS(Data!$U:$U,Data!$A:$A,Data_Echipe!$A33,Data!$C:$C,Data_Echipe!P$1)</f>
        <v>3.5005952380952383</v>
      </c>
      <c r="R33" s="109" t="str">
        <f t="shared" si="1"/>
        <v>The GOATs</v>
      </c>
    </row>
    <row r="34" spans="1:18" x14ac:dyDescent="0.35">
      <c r="A34" s="55" t="s">
        <v>403</v>
      </c>
      <c r="B34" s="97">
        <v>0</v>
      </c>
      <c r="C34" s="97">
        <f>SUMIFS(Data!$U:$U,Data!$A:$A,Data_Echipe!$A34,Data!$C:$C,Data_Echipe!C$1)</f>
        <v>0</v>
      </c>
      <c r="D34" s="97">
        <f>SUMIFS(Data!$U:$U,Data!$A:$A,Data_Echipe!$A34,Data!$C:$C,Data_Echipe!D$1)</f>
        <v>0</v>
      </c>
      <c r="E34" s="97">
        <f>SUMIFS(Data!$U:$U,Data!$A:$A,Data_Echipe!$A34,Data!$C:$C,Data_Echipe!E$1)</f>
        <v>3.3035000000000001</v>
      </c>
      <c r="F34" s="97">
        <f>SUMIFS(Data!$U:$U,Data!$A:$A,Data_Echipe!$A34,Data!$C:$C,Data_Echipe!F$1)</f>
        <v>5.3348333333333331</v>
      </c>
      <c r="G34" s="97">
        <f>SUMIFS(Data!$U:$U,Data!$A:$A,Data_Echipe!$A34,Data!$C:$C,Data_Echipe!G$1)</f>
        <v>3.6631666666666667</v>
      </c>
      <c r="H34" s="97">
        <f>SUMIFS(Data!$U:$U,Data!$A:$A,Data_Echipe!$A34,Data!$C:$C,Data_Echipe!H$1)</f>
        <v>5.2818333333333332</v>
      </c>
      <c r="I34" s="97">
        <f>SUMIFS(Data!$U:$U,Data!$A:$A,Data_Echipe!$A34,Data!$C:$C,Data_Echipe!I$1)</f>
        <v>3.2343333333333333</v>
      </c>
      <c r="J34" s="97">
        <f>SUMIFS(Data!$U:$U,Data!$A:$A,Data_Echipe!$A34,Data!$C:$C,Data_Echipe!J$1)</f>
        <v>2.8138095238095238</v>
      </c>
      <c r="K34" s="97">
        <f>SUMIFS(Data!$U:$U,Data!$A:$A,Data_Echipe!$A34,Data!$C:$C,Data_Echipe!K$1)</f>
        <v>3.4824999999999999</v>
      </c>
      <c r="L34" s="97">
        <f>SUMIFS(Data!$U:$U,Data!$A:$A,Data_Echipe!$A34,Data!$C:$C,Data_Echipe!L$1)</f>
        <v>2.9125000000000001</v>
      </c>
      <c r="M34" s="97">
        <f>SUMIFS(Data!$U:$U,Data!$A:$A,Data_Echipe!$A34,Data!$C:$C,Data_Echipe!M$1)</f>
        <v>2.1410714285714283</v>
      </c>
      <c r="N34" s="97">
        <f>SUMIFS(Data!$U:$U,Data!$A:$A,Data_Echipe!$A34,Data!$C:$C,Data_Echipe!N$1)</f>
        <v>3.0464523809523807</v>
      </c>
      <c r="O34" s="97">
        <f>SUMIFS(Data!$U:$U,Data!$A:$A,Data_Echipe!$A34,Data!$C:$C,Data_Echipe!O$1)</f>
        <v>3.4381666666666666</v>
      </c>
      <c r="P34" s="97">
        <f>SUMIFS(Data!$U:$U,Data!$A:$A,Data_Echipe!$A34,Data!$C:$C,Data_Echipe!P$1)</f>
        <v>2.2261904761904763</v>
      </c>
      <c r="R34" s="109" t="str">
        <f t="shared" si="1"/>
        <v>The GOATs</v>
      </c>
    </row>
    <row r="36" spans="1:18" x14ac:dyDescent="0.35">
      <c r="B36" s="97"/>
      <c r="C36" s="97"/>
      <c r="D36" s="97"/>
      <c r="E36" s="97"/>
      <c r="F36" s="97"/>
      <c r="G36" s="97"/>
      <c r="H36" s="97"/>
      <c r="I36" s="97"/>
      <c r="J36" s="97"/>
      <c r="K36" s="97"/>
      <c r="L36" s="97"/>
      <c r="M36" s="97"/>
      <c r="N36" s="97"/>
      <c r="O36" s="97"/>
      <c r="P36" s="97"/>
      <c r="R36" s="110"/>
    </row>
    <row r="37" spans="1:18" x14ac:dyDescent="0.35">
      <c r="B37" s="97"/>
      <c r="C37" s="97"/>
      <c r="D37" s="97"/>
      <c r="E37" s="97"/>
      <c r="F37" s="97"/>
      <c r="G37" s="97"/>
      <c r="H37" s="97"/>
      <c r="I37" s="97"/>
      <c r="J37" s="97"/>
      <c r="K37" s="97"/>
      <c r="L37" s="97"/>
      <c r="M37" s="97"/>
      <c r="N37" s="97"/>
      <c r="O37" s="97"/>
      <c r="P37" s="97"/>
    </row>
    <row r="38" spans="1:18" x14ac:dyDescent="0.35">
      <c r="A38" s="57" t="s">
        <v>326</v>
      </c>
      <c r="B38" s="47">
        <f>SUMPRODUCT(LARGE(B39:B52,{1,2,3,4}))/4</f>
        <v>0</v>
      </c>
      <c r="C38" s="47">
        <f>AVERAGE(C39:C41,C43:C44,C45,C47:C50)</f>
        <v>2.7864309523809516</v>
      </c>
      <c r="D38" s="47">
        <f>AVERAGE(D39:D45,D47,D48,D49)</f>
        <v>2.9068785714285714</v>
      </c>
      <c r="E38" s="47">
        <f>AVERAGE(E39:E40,E42:E45,E47:E50)</f>
        <v>3.0365869047619052</v>
      </c>
      <c r="F38" s="47">
        <f>AVERAGE(F39:F42,F44:F45,F47:F50)</f>
        <v>3.1740214285714288</v>
      </c>
      <c r="G38" s="47">
        <f>AVERAGE(G40:G42,G45:G49,G44)</f>
        <v>3.1434814814814813</v>
      </c>
      <c r="H38" s="47">
        <f>AVERAGE(H40:H42,H44:H47,H50)</f>
        <v>3.3395781249999996</v>
      </c>
      <c r="I38" s="47">
        <f>AVERAGE(I40,I42,I44:I50)</f>
        <v>3.3096666666666663</v>
      </c>
      <c r="J38" s="47">
        <f>AVERAGE(J39,J41,J44:J49,J43)</f>
        <v>3.1039980158730156</v>
      </c>
      <c r="K38" s="47">
        <f>AVERAGE(K39:K40,K42:K47,K49:K50)</f>
        <v>3.3379416666666666</v>
      </c>
      <c r="L38" s="47">
        <f>AVERAGE(L39:L45,L47,L49)</f>
        <v>3.4212149470899469</v>
      </c>
      <c r="M38" s="47">
        <f>AVERAGE(M39:M46,M49:M50)</f>
        <v>4.002908333333334</v>
      </c>
      <c r="N38" s="47">
        <f>AVERAGE(N41:N43,N46:N50)</f>
        <v>3.2924724702380952</v>
      </c>
      <c r="O38" s="47">
        <f>AVERAGE(O39:O41,O44:O45,O48:O50)</f>
        <v>2.9093511904761904</v>
      </c>
      <c r="P38" s="47">
        <f>AVERAGE(P39,P41,P43,P45:P50)</f>
        <v>3.1560978835978832</v>
      </c>
      <c r="Q38" s="47">
        <f>SUM(B38:P38)</f>
        <v>44.920628637566139</v>
      </c>
      <c r="R38" s="108"/>
    </row>
    <row r="39" spans="1:18" x14ac:dyDescent="0.35">
      <c r="A39" s="46" t="s">
        <v>205</v>
      </c>
      <c r="B39" s="97">
        <v>0</v>
      </c>
      <c r="C39" s="97">
        <f>SUMIFS(Data!$U:$U,Data!$A:$A,Data_Echipe!$A39,Data!$C:$C,Data_Echipe!C$1)</f>
        <v>3.1015238095238096</v>
      </c>
      <c r="D39" s="97">
        <f>SUMIFS(Data!$U:$U,Data!$A:$A,Data_Echipe!$A39,Data!$C:$C,Data_Echipe!D$1)</f>
        <v>4.3961666666666668</v>
      </c>
      <c r="E39" s="97">
        <f>SUMIFS(Data!$U:$U,Data!$A:$A,Data_Echipe!$A39,Data!$C:$C,Data_Echipe!E$1)</f>
        <v>3.6516190476190475</v>
      </c>
      <c r="F39" s="97">
        <f>SUMIFS(Data!$U:$U,Data!$A:$A,Data_Echipe!$A39,Data!$C:$C,Data_Echipe!F$1)</f>
        <v>4.450333333333333</v>
      </c>
      <c r="G39" s="126">
        <f>SUMIFS(Data!$U:$U,Data!$A:$A,Data_Echipe!$A39,Data!$C:$C,Data_Echipe!G$1)</f>
        <v>4.8643333333333327</v>
      </c>
      <c r="H39" s="126">
        <f>SUMIFS(Data!$U:$U,Data!$A:$A,Data_Echipe!$A39,Data!$C:$C,Data_Echipe!H$1)</f>
        <v>4.7945000000000002</v>
      </c>
      <c r="I39" s="126">
        <f>SUMIFS(Data!$U:$U,Data!$A:$A,Data_Echipe!$A39,Data!$C:$C,Data_Echipe!I$1)</f>
        <v>5.9779761904761903</v>
      </c>
      <c r="J39" s="97">
        <f>SUMIFS(Data!$U:$U,Data!$A:$A,Data_Echipe!$A39,Data!$C:$C,Data_Echipe!J$1)</f>
        <v>4.16</v>
      </c>
      <c r="K39" s="97">
        <f>SUMIFS(Data!$U:$U,Data!$A:$A,Data_Echipe!$A39,Data!$C:$C,Data_Echipe!K$1)</f>
        <v>4.0236666666666663</v>
      </c>
      <c r="L39" s="97">
        <f>SUMIFS(Data!$U:$U,Data!$A:$A,Data_Echipe!$A39,Data!$C:$C,Data_Echipe!L$1)</f>
        <v>4.3023333333333333</v>
      </c>
      <c r="M39" s="97">
        <f>SUMIFS(Data!$U:$U,Data!$A:$A,Data_Echipe!$A39,Data!$C:$C,Data_Echipe!M$1)</f>
        <v>4.6046666666666667</v>
      </c>
      <c r="N39" s="126">
        <f>SUMIFS(Data!$U:$U,Data!$A:$A,Data_Echipe!$A39,Data!$C:$C,Data_Echipe!N$1)</f>
        <v>5.9761904761904763</v>
      </c>
      <c r="O39" s="97">
        <f>SUMIFS(Data!$U:$U,Data!$A:$A,Data_Echipe!$A39,Data!$C:$C,Data_Echipe!O$1)</f>
        <v>4.5547619047619046</v>
      </c>
      <c r="P39" s="97">
        <f>SUMIFS(Data!$U:$U,Data!$A:$A,Data_Echipe!$A39,Data!$C:$C,Data_Echipe!P$1)</f>
        <v>3.333619047619047</v>
      </c>
      <c r="R39" s="109" t="str">
        <f>$A$38</f>
        <v>Almost Kenyan Runners</v>
      </c>
    </row>
    <row r="40" spans="1:18" x14ac:dyDescent="0.35">
      <c r="A40" s="55" t="s">
        <v>279</v>
      </c>
      <c r="B40" s="97">
        <v>0</v>
      </c>
      <c r="C40" s="97">
        <f>SUMIFS(Data!$U:$U,Data!$A:$A,Data_Echipe!$A40,Data!$C:$C,Data_Echipe!C$1)</f>
        <v>3.0463095238095241</v>
      </c>
      <c r="D40" s="97">
        <f>SUMIFS(Data!$U:$U,Data!$A:$A,Data_Echipe!$A40,Data!$C:$C,Data_Echipe!D$1)</f>
        <v>3.3934523809523807</v>
      </c>
      <c r="E40" s="97">
        <f>SUMIFS(Data!$U:$U,Data!$A:$A,Data_Echipe!$A40,Data!$C:$C,Data_Echipe!E$1)</f>
        <v>3.7736428571428573</v>
      </c>
      <c r="F40" s="97">
        <f>SUMIFS(Data!$U:$U,Data!$A:$A,Data_Echipe!$A40,Data!$C:$C,Data_Echipe!F$1)</f>
        <v>4.0999999999999996</v>
      </c>
      <c r="G40" s="97">
        <f>SUMIFS(Data!$U:$U,Data!$A:$A,Data_Echipe!$A40,Data!$C:$C,Data_Echipe!G$1)</f>
        <v>3.9440476190476188</v>
      </c>
      <c r="H40" s="97">
        <f>SUMIFS(Data!$U:$U,Data!$A:$A,Data_Echipe!$A40,Data!$C:$C,Data_Echipe!H$1)</f>
        <v>3.5455000000000001</v>
      </c>
      <c r="I40" s="97">
        <f>SUMIFS(Data!$U:$U,Data!$A:$A,Data_Echipe!$A40,Data!$C:$C,Data_Echipe!I$1)</f>
        <v>4.023309523809524</v>
      </c>
      <c r="J40" s="126">
        <f>SUMIFS(Data!$U:$U,Data!$A:$A,Data_Echipe!$A40,Data!$C:$C,Data_Echipe!J$1)</f>
        <v>4.6686666666666667</v>
      </c>
      <c r="K40" s="97">
        <f>SUMIFS(Data!$U:$U,Data!$A:$A,Data_Echipe!$A40,Data!$C:$C,Data_Echipe!K$1)</f>
        <v>4.0816666666666661</v>
      </c>
      <c r="L40" s="97">
        <f>SUMIFS(Data!$U:$U,Data!$A:$A,Data_Echipe!$A40,Data!$C:$C,Data_Echipe!L$1)</f>
        <v>2.8744047619047617</v>
      </c>
      <c r="M40" s="97">
        <f>SUMIFS(Data!$U:$U,Data!$A:$A,Data_Echipe!$A40,Data!$C:$C,Data_Echipe!M$1)</f>
        <v>4.4089285714285715</v>
      </c>
      <c r="N40" s="97">
        <f>SUMIFS(Data!$U:$U,Data!$A:$A,Data_Echipe!$A40,Data!$C:$C,Data_Echipe!N$1)</f>
        <v>0</v>
      </c>
      <c r="O40" s="97">
        <f>SUMIFS(Data!$U:$U,Data!$A:$A,Data_Echipe!$A40,Data!$C:$C,Data_Echipe!O$1)</f>
        <v>3.1693333333333333</v>
      </c>
      <c r="P40" s="97">
        <f>SUMIFS(Data!$U:$U,Data!$A:$A,Data_Echipe!$A40,Data!$C:$C,Data_Echipe!P$1)</f>
        <v>0</v>
      </c>
      <c r="R40" s="109" t="str">
        <f t="shared" ref="R40:R52" si="2">$A$38</f>
        <v>Almost Kenyan Runners</v>
      </c>
    </row>
    <row r="41" spans="1:18" x14ac:dyDescent="0.35">
      <c r="A41" s="55" t="s">
        <v>41</v>
      </c>
      <c r="B41" s="97">
        <v>0</v>
      </c>
      <c r="C41" s="97">
        <f>SUMIFS(Data!$U:$U,Data!$A:$A,Data_Echipe!$A41,Data!$C:$C,Data_Echipe!C$1)</f>
        <v>2.3738095238095238</v>
      </c>
      <c r="D41" s="97">
        <f>SUMIFS(Data!$U:$U,Data!$A:$A,Data_Echipe!$A41,Data!$C:$C,Data_Echipe!D$1)</f>
        <v>2.1667380952380952</v>
      </c>
      <c r="E41" s="126">
        <f>SUMIFS(Data!$U:$U,Data!$A:$A,Data_Echipe!$A41,Data!$C:$C,Data_Echipe!E$1)</f>
        <v>1.5904761904761904</v>
      </c>
      <c r="F41" s="97">
        <f>SUMIFS(Data!$U:$U,Data!$A:$A,Data_Echipe!$A41,Data!$C:$C,Data_Echipe!F$1)</f>
        <v>1.5089285714285714</v>
      </c>
      <c r="G41" s="97">
        <f>SUMIFS(Data!$U:$U,Data!$A:$A,Data_Echipe!$A41,Data!$C:$C,Data_Echipe!G$1)</f>
        <v>1.5</v>
      </c>
      <c r="H41" s="97">
        <f>SUMIFS(Data!$U:$U,Data!$A:$A,Data_Echipe!$A41,Data!$C:$C,Data_Echipe!H$1)</f>
        <v>3.0279285714285713</v>
      </c>
      <c r="I41" s="126">
        <f>SUMIFS(Data!$U:$U,Data!$A:$A,Data_Echipe!$A41,Data!$C:$C,Data_Echipe!I$1)</f>
        <v>2.2089285714285714</v>
      </c>
      <c r="J41" s="97">
        <f>SUMIFS(Data!$U:$U,Data!$A:$A,Data_Echipe!$A41,Data!$C:$C,Data_Echipe!J$1)</f>
        <v>2.7684523809523807</v>
      </c>
      <c r="K41" s="126">
        <f>SUMIFS(Data!$U:$U,Data!$A:$A,Data_Echipe!$A41,Data!$C:$C,Data_Echipe!K$1)</f>
        <v>2.2404761904761905</v>
      </c>
      <c r="L41" s="97">
        <f>SUMIFS(Data!$U:$U,Data!$A:$A,Data_Echipe!$A41,Data!$C:$C,Data_Echipe!L$1)</f>
        <v>3.2351190476190474</v>
      </c>
      <c r="M41" s="97">
        <f>SUMIFS(Data!$U:$U,Data!$A:$A,Data_Echipe!$A41,Data!$C:$C,Data_Echipe!M$1)</f>
        <v>3.0726190476190478</v>
      </c>
      <c r="N41" s="97">
        <f>SUMIFS(Data!$U:$U,Data!$A:$A,Data_Echipe!$A41,Data!$C:$C,Data_Echipe!N$1)</f>
        <v>3.3690476190476191</v>
      </c>
      <c r="O41" s="97">
        <f>SUMIFS(Data!$U:$U,Data!$A:$A,Data_Echipe!$A41,Data!$C:$C,Data_Echipe!O$1)</f>
        <v>2.236904761904762</v>
      </c>
      <c r="P41" s="97">
        <f>SUMIFS(Data!$U:$U,Data!$A:$A,Data_Echipe!$A41,Data!$C:$C,Data_Echipe!P$1)</f>
        <v>2.9750000000000001</v>
      </c>
      <c r="R41" s="109" t="str">
        <f t="shared" si="2"/>
        <v>Almost Kenyan Runners</v>
      </c>
    </row>
    <row r="42" spans="1:18" x14ac:dyDescent="0.35">
      <c r="A42" s="55" t="s">
        <v>59</v>
      </c>
      <c r="B42" s="97">
        <v>0</v>
      </c>
      <c r="C42" s="126">
        <f>SUMIFS(Data!$U:$U,Data!$A:$A,Data_Echipe!$A42,Data!$C:$C,Data_Echipe!C$1)</f>
        <v>1.7267857142857141</v>
      </c>
      <c r="D42" s="97">
        <f>SUMIFS(Data!$U:$U,Data!$A:$A,Data_Echipe!$A42,Data!$C:$C,Data_Echipe!D$1)</f>
        <v>2.1541666666666668</v>
      </c>
      <c r="E42" s="97">
        <f>SUMIFS(Data!$U:$U,Data!$A:$A,Data_Echipe!$A42,Data!$C:$C,Data_Echipe!E$1)</f>
        <v>3.3267857142857142</v>
      </c>
      <c r="F42" s="97">
        <f>SUMIFS(Data!$U:$U,Data!$A:$A,Data_Echipe!$A42,Data!$C:$C,Data_Echipe!F$1)</f>
        <v>2.8023809523809522</v>
      </c>
      <c r="G42" s="97">
        <f>SUMIFS(Data!$U:$U,Data!$A:$A,Data_Echipe!$A42,Data!$C:$C,Data_Echipe!G$1)</f>
        <v>4.0744047619047619</v>
      </c>
      <c r="H42" s="97">
        <f>SUMIFS(Data!$U:$U,Data!$A:$A,Data_Echipe!$A42,Data!$C:$C,Data_Echipe!H$1)</f>
        <v>2.6951666666666667</v>
      </c>
      <c r="I42" s="97">
        <f>SUMIFS(Data!$U:$U,Data!$A:$A,Data_Echipe!$A42,Data!$C:$C,Data_Echipe!I$1)</f>
        <v>3.3482142857142856</v>
      </c>
      <c r="J42" s="126">
        <f>SUMIFS(Data!$U:$U,Data!$A:$A,Data_Echipe!$A42,Data!$C:$C,Data_Echipe!J$1)</f>
        <v>1.9812619047619047</v>
      </c>
      <c r="K42" s="97">
        <f>SUMIFS(Data!$U:$U,Data!$A:$A,Data_Echipe!$A42,Data!$C:$C,Data_Echipe!K$1)</f>
        <v>2.4538809523809522</v>
      </c>
      <c r="L42" s="97">
        <f>SUMIFS(Data!$U:$U,Data!$A:$A,Data_Echipe!$A42,Data!$C:$C,Data_Echipe!L$1)</f>
        <v>4.3513333333333337</v>
      </c>
      <c r="M42" s="97">
        <f>SUMIFS(Data!$U:$U,Data!$A:$A,Data_Echipe!$A42,Data!$C:$C,Data_Echipe!M$1)</f>
        <v>3.8885952380952382</v>
      </c>
      <c r="N42" s="97">
        <f>SUMIFS(Data!$U:$U,Data!$A:$A,Data_Echipe!$A42,Data!$C:$C,Data_Echipe!N$1)</f>
        <v>2.3601190476190474</v>
      </c>
      <c r="O42" s="97">
        <f>SUMIFS(Data!$U:$U,Data!$A:$A,Data_Echipe!$A42,Data!$C:$C,Data_Echipe!O$1)</f>
        <v>0</v>
      </c>
      <c r="P42" s="126">
        <f>SUMIFS(Data!$U:$U,Data!$A:$A,Data_Echipe!$A42,Data!$C:$C,Data_Echipe!P$1)</f>
        <v>3.6874761904761906</v>
      </c>
      <c r="R42" s="109" t="str">
        <f t="shared" si="2"/>
        <v>Almost Kenyan Runners</v>
      </c>
    </row>
    <row r="43" spans="1:18" x14ac:dyDescent="0.35">
      <c r="A43" s="55" t="s">
        <v>241</v>
      </c>
      <c r="B43" s="97">
        <v>0</v>
      </c>
      <c r="C43" s="97">
        <f>SUMIFS(Data!$U:$U,Data!$A:$A,Data_Echipe!$A43,Data!$C:$C,Data_Echipe!C$1)</f>
        <v>2.3762499999999998</v>
      </c>
      <c r="D43" s="97">
        <f>SUMIFS(Data!$U:$U,Data!$A:$A,Data_Echipe!$A43,Data!$C:$C,Data_Echipe!D$1)</f>
        <v>1.9228333333333334</v>
      </c>
      <c r="E43" s="97">
        <f>SUMIFS(Data!$U:$U,Data!$A:$A,Data_Echipe!$A43,Data!$C:$C,Data_Echipe!E$1)</f>
        <v>1.8393333333333335</v>
      </c>
      <c r="F43" s="126">
        <f>SUMIFS(Data!$U:$U,Data!$A:$A,Data_Echipe!$A43,Data!$C:$C,Data_Echipe!F$1)</f>
        <v>1.5</v>
      </c>
      <c r="G43" s="126">
        <f>SUMIFS(Data!$U:$U,Data!$A:$A,Data_Echipe!$A43,Data!$C:$C,Data_Echipe!G$1)</f>
        <v>1.3812500000000001</v>
      </c>
      <c r="H43" s="97">
        <f>SUMIFS(Data!$U:$U,Data!$A:$A,Data_Echipe!$A43,Data!$C:$C,Data_Echipe!H$1)</f>
        <v>0</v>
      </c>
      <c r="I43" s="97">
        <f>SUMIFS(Data!$U:$U,Data!$A:$A,Data_Echipe!$A43,Data!$C:$C,Data_Echipe!I$1)</f>
        <v>0</v>
      </c>
      <c r="J43" s="97">
        <f>SUMIFS(Data!$U:$U,Data!$A:$A,Data_Echipe!$A43,Data!$C:$C,Data_Echipe!J$1)</f>
        <v>2.5006249999999999</v>
      </c>
      <c r="K43" s="97">
        <f>SUMIFS(Data!$U:$U,Data!$A:$A,Data_Echipe!$A43,Data!$C:$C,Data_Echipe!K$1)</f>
        <v>2.3787500000000001</v>
      </c>
      <c r="L43" s="97">
        <f>SUMIFS(Data!$U:$U,Data!$A:$A,Data_Echipe!$A43,Data!$C:$C,Data_Echipe!L$1)</f>
        <v>1.6881249999999999</v>
      </c>
      <c r="M43" s="97">
        <f>SUMIFS(Data!$U:$U,Data!$A:$A,Data_Echipe!$A43,Data!$C:$C,Data_Echipe!M$1)</f>
        <v>2.09375</v>
      </c>
      <c r="N43" s="97">
        <f>SUMIFS(Data!$U:$U,Data!$A:$A,Data_Echipe!$A43,Data!$C:$C,Data_Echipe!N$1)</f>
        <v>2.5030833333333335</v>
      </c>
      <c r="O43" s="97">
        <f>SUMIFS(Data!$U:$U,Data!$A:$A,Data_Echipe!$A43,Data!$C:$C,Data_Echipe!O$1)</f>
        <v>2.71875</v>
      </c>
      <c r="P43" s="97">
        <f>SUMIFS(Data!$U:$U,Data!$A:$A,Data_Echipe!$A43,Data!$C:$C,Data_Echipe!P$1)</f>
        <v>2.1757083333333331</v>
      </c>
      <c r="R43" s="109" t="str">
        <f t="shared" si="2"/>
        <v>Almost Kenyan Runners</v>
      </c>
    </row>
    <row r="44" spans="1:18" x14ac:dyDescent="0.35">
      <c r="A44" s="55" t="s">
        <v>128</v>
      </c>
      <c r="B44" s="97">
        <v>0</v>
      </c>
      <c r="C44" s="97">
        <f>SUMIFS(Data!$U:$U,Data!$A:$A,Data_Echipe!$A44,Data!$C:$C,Data_Echipe!C$1)</f>
        <v>4.2346666666666666</v>
      </c>
      <c r="D44" s="97">
        <f>SUMIFS(Data!$U:$U,Data!$A:$A,Data_Echipe!$A44,Data!$C:$C,Data_Echipe!D$1)</f>
        <v>3.6196666666666668</v>
      </c>
      <c r="E44" s="97">
        <f>SUMIFS(Data!$U:$U,Data!$A:$A,Data_Echipe!$A44,Data!$C:$C,Data_Echipe!E$1)</f>
        <v>3.65</v>
      </c>
      <c r="F44" s="97">
        <f>SUMIFS(Data!$U:$U,Data!$A:$A,Data_Echipe!$A44,Data!$C:$C,Data_Echipe!F$1)</f>
        <v>3.617666666666667</v>
      </c>
      <c r="G44" s="97">
        <f>SUMIFS(Data!$U:$U,Data!$A:$A,Data_Echipe!$A44,Data!$C:$C,Data_Echipe!G$1)</f>
        <v>3.8250000000000002</v>
      </c>
      <c r="H44" s="97">
        <f>SUMIFS(Data!$U:$U,Data!$A:$A,Data_Echipe!$A44,Data!$C:$C,Data_Echipe!H$1)</f>
        <v>3.9403333333333332</v>
      </c>
      <c r="I44" s="97">
        <f>SUMIFS(Data!$U:$U,Data!$A:$A,Data_Echipe!$A44,Data!$C:$C,Data_Echipe!I$1)</f>
        <v>3.0482142857142858</v>
      </c>
      <c r="J44" s="97">
        <f>SUMIFS(Data!$U:$U,Data!$A:$A,Data_Echipe!$A44,Data!$C:$C,Data_Echipe!J$1)</f>
        <v>3.3012857142857142</v>
      </c>
      <c r="K44" s="97">
        <f>SUMIFS(Data!$U:$U,Data!$A:$A,Data_Echipe!$A44,Data!$C:$C,Data_Echipe!K$1)</f>
        <v>3.5979999999999999</v>
      </c>
      <c r="L44" s="97">
        <f>SUMIFS(Data!$U:$U,Data!$A:$A,Data_Echipe!$A44,Data!$C:$C,Data_Echipe!L$1)</f>
        <v>3.6680000000000001</v>
      </c>
      <c r="M44" s="97">
        <f>SUMIFS(Data!$U:$U,Data!$A:$A,Data_Echipe!$A44,Data!$C:$C,Data_Echipe!M$1)</f>
        <v>3.125</v>
      </c>
      <c r="N44" s="126">
        <f>SUMIFS(Data!$U:$U,Data!$A:$A,Data_Echipe!$A44,Data!$C:$C,Data_Echipe!N$1)</f>
        <v>1.6547619047619047</v>
      </c>
      <c r="O44" s="97">
        <f>SUMIFS(Data!$U:$U,Data!$A:$A,Data_Echipe!$A44,Data!$C:$C,Data_Echipe!O$1)</f>
        <v>4</v>
      </c>
      <c r="P44" s="126">
        <f>SUMIFS(Data!$U:$U,Data!$A:$A,Data_Echipe!$A44,Data!$C:$C,Data_Echipe!P$1)</f>
        <v>1.7797619047619047</v>
      </c>
      <c r="R44" s="109" t="str">
        <f t="shared" si="2"/>
        <v>Almost Kenyan Runners</v>
      </c>
    </row>
    <row r="45" spans="1:18" x14ac:dyDescent="0.35">
      <c r="A45" s="55" t="s">
        <v>120</v>
      </c>
      <c r="B45" s="97">
        <v>0</v>
      </c>
      <c r="C45" s="97">
        <f>SUMIFS(Data!$U:$U,Data!$A:$A,Data_Echipe!$A45,Data!$C:$C,Data_Echipe!C$1)</f>
        <v>3.0085952380952379</v>
      </c>
      <c r="D45" s="97">
        <f>SUMIFS(Data!$U:$U,Data!$A:$A,Data_Echipe!$A45,Data!$C:$C,Data_Echipe!D$1)</f>
        <v>3.1774999999999998</v>
      </c>
      <c r="E45" s="97">
        <f>SUMIFS(Data!$U:$U,Data!$A:$A,Data_Echipe!$A45,Data!$C:$C,Data_Echipe!E$1)</f>
        <v>3.2639523809523809</v>
      </c>
      <c r="F45" s="97">
        <f>SUMIFS(Data!$U:$U,Data!$A:$A,Data_Echipe!$A45,Data!$C:$C,Data_Echipe!F$1)</f>
        <v>3.2535714285714286</v>
      </c>
      <c r="G45" s="97">
        <f>SUMIFS(Data!$U:$U,Data!$A:$A,Data_Echipe!$A45,Data!$C:$C,Data_Echipe!G$1)</f>
        <v>3.2789999999999999</v>
      </c>
      <c r="H45" s="97">
        <f>SUMIFS(Data!$U:$U,Data!$A:$A,Data_Echipe!$A45,Data!$C:$C,Data_Echipe!H$1)</f>
        <v>4.1321428571428571</v>
      </c>
      <c r="I45" s="97">
        <f>SUMIFS(Data!$U:$U,Data!$A:$A,Data_Echipe!$A45,Data!$C:$C,Data_Echipe!I$1)</f>
        <v>3.5</v>
      </c>
      <c r="J45" s="97">
        <f>SUMIFS(Data!$U:$U,Data!$A:$A,Data_Echipe!$A45,Data!$C:$C,Data_Echipe!J$1)</f>
        <v>3.125</v>
      </c>
      <c r="K45" s="97">
        <f>SUMIFS(Data!$U:$U,Data!$A:$A,Data_Echipe!$A45,Data!$C:$C,Data_Echipe!K$1)</f>
        <v>3.875</v>
      </c>
      <c r="L45" s="97">
        <f>SUMIFS(Data!$U:$U,Data!$A:$A,Data_Echipe!$A45,Data!$C:$C,Data_Echipe!L$1)</f>
        <v>3.6053571428571427</v>
      </c>
      <c r="M45" s="97">
        <f>SUMIFS(Data!$U:$U,Data!$A:$A,Data_Echipe!$A45,Data!$C:$C,Data_Echipe!M$1)</f>
        <v>3.875</v>
      </c>
      <c r="N45" s="97">
        <f>SUMIFS(Data!$U:$U,Data!$A:$A,Data_Echipe!$A45,Data!$C:$C,Data_Echipe!N$1)</f>
        <v>2.4559523809523811</v>
      </c>
      <c r="O45" s="97">
        <f>SUMIFS(Data!$U:$U,Data!$A:$A,Data_Echipe!$A45,Data!$C:$C,Data_Echipe!O$1)</f>
        <v>2.8160714285714286</v>
      </c>
      <c r="P45" s="97">
        <f>SUMIFS(Data!$U:$U,Data!$A:$A,Data_Echipe!$A45,Data!$C:$C,Data_Echipe!P$1)</f>
        <v>2.961904761904762</v>
      </c>
      <c r="R45" s="109" t="str">
        <f t="shared" si="2"/>
        <v>Almost Kenyan Runners</v>
      </c>
    </row>
    <row r="46" spans="1:18" x14ac:dyDescent="0.35">
      <c r="A46" s="55" t="s">
        <v>78</v>
      </c>
      <c r="B46" s="97">
        <v>0</v>
      </c>
      <c r="C46" s="126">
        <f>SUMIFS(Data!$U:$U,Data!$A:$A,Data_Echipe!$A46,Data!$C:$C,Data_Echipe!C$1)</f>
        <v>5.522333333333334</v>
      </c>
      <c r="D46" s="126">
        <f>SUMIFS(Data!$U:$U,Data!$A:$A,Data_Echipe!$A46,Data!$C:$C,Data_Echipe!D$1)</f>
        <v>4.7116666666666669</v>
      </c>
      <c r="E46" s="126">
        <f>SUMIFS(Data!$U:$U,Data!$A:$A,Data_Echipe!$A46,Data!$C:$C,Data_Echipe!E$1)</f>
        <v>5.8560000000000008</v>
      </c>
      <c r="F46" s="126">
        <f>SUMIFS(Data!$U:$U,Data!$A:$A,Data_Echipe!$A46,Data!$C:$C,Data_Echipe!F$1)</f>
        <v>5.5136666666666674</v>
      </c>
      <c r="G46" s="97">
        <f>SUMIFS(Data!$U:$U,Data!$A:$A,Data_Echipe!$A46,Data!$C:$C,Data_Echipe!G$1)</f>
        <v>3.0956666666666668</v>
      </c>
      <c r="H46" s="97">
        <f>SUMIFS(Data!$U:$U,Data!$A:$A,Data_Echipe!$A46,Data!$C:$C,Data_Echipe!H$1)</f>
        <v>3.7384999999999997</v>
      </c>
      <c r="I46" s="97">
        <f>SUMIFS(Data!$U:$U,Data!$A:$A,Data_Echipe!$A46,Data!$C:$C,Data_Echipe!I$1)</f>
        <v>3.5054999999999996</v>
      </c>
      <c r="J46" s="97">
        <f>SUMIFS(Data!$U:$U,Data!$A:$A,Data_Echipe!$A46,Data!$C:$C,Data_Echipe!J$1)</f>
        <v>3.1413333333333333</v>
      </c>
      <c r="K46" s="97">
        <f>SUMIFS(Data!$U:$U,Data!$A:$A,Data_Echipe!$A46,Data!$C:$C,Data_Echipe!K$1)</f>
        <v>3.3116666666666665</v>
      </c>
      <c r="L46" s="126">
        <f>SUMIFS(Data!$U:$U,Data!$A:$A,Data_Echipe!$A46,Data!$C:$C,Data_Echipe!L$1)</f>
        <v>4.9138333333333337</v>
      </c>
      <c r="M46" s="97">
        <f>SUMIFS(Data!$U:$U,Data!$A:$A,Data_Echipe!$A46,Data!$C:$C,Data_Echipe!M$1)</f>
        <v>8.4996666666666663</v>
      </c>
      <c r="N46" s="97">
        <f>SUMIFS(Data!$U:$U,Data!$A:$A,Data_Echipe!$A46,Data!$C:$C,Data_Echipe!N$1)</f>
        <v>5.6431666666666667</v>
      </c>
      <c r="O46" s="126">
        <f>SUMIFS(Data!$U:$U,Data!$A:$A,Data_Echipe!$A46,Data!$C:$C,Data_Echipe!O$1)</f>
        <v>5.5873333333333335</v>
      </c>
      <c r="P46" s="97">
        <f>SUMIFS(Data!$U:$U,Data!$A:$A,Data_Echipe!$A46,Data!$C:$C,Data_Echipe!P$1)</f>
        <v>5.9521666666666668</v>
      </c>
      <c r="R46" s="109" t="str">
        <f t="shared" si="2"/>
        <v>Almost Kenyan Runners</v>
      </c>
    </row>
    <row r="47" spans="1:18" x14ac:dyDescent="0.35">
      <c r="A47" s="55" t="s">
        <v>248</v>
      </c>
      <c r="B47" s="97">
        <v>0</v>
      </c>
      <c r="C47" s="97">
        <f>SUMIFS(Data!$U:$U,Data!$A:$A,Data_Echipe!$A47,Data!$C:$C,Data_Echipe!C$1)</f>
        <v>3.3035714285714284</v>
      </c>
      <c r="D47" s="97">
        <f>SUMIFS(Data!$U:$U,Data!$A:$A,Data_Echipe!$A47,Data!$C:$C,Data_Echipe!D$1)</f>
        <v>3.9376666666666669</v>
      </c>
      <c r="E47" s="97">
        <f>SUMIFS(Data!$U:$U,Data!$A:$A,Data_Echipe!$A47,Data!$C:$C,Data_Echipe!E$1)</f>
        <v>3.3541666666666665</v>
      </c>
      <c r="F47" s="97">
        <f>SUMIFS(Data!$U:$U,Data!$A:$A,Data_Echipe!$A47,Data!$C:$C,Data_Echipe!F$1)</f>
        <v>3.4031666666666665</v>
      </c>
      <c r="G47" s="97">
        <f>SUMIFS(Data!$U:$U,Data!$A:$A,Data_Echipe!$A47,Data!$C:$C,Data_Echipe!G$1)</f>
        <v>3.0458333333333334</v>
      </c>
      <c r="H47" s="97">
        <f>SUMIFS(Data!$U:$U,Data!$A:$A,Data_Echipe!$A47,Data!$C:$C,Data_Echipe!H$1)</f>
        <v>2.9464285714285712</v>
      </c>
      <c r="I47" s="97">
        <f>SUMIFS(Data!$U:$U,Data!$A:$A,Data_Echipe!$A47,Data!$C:$C,Data_Echipe!I$1)</f>
        <v>2.6607142857142856</v>
      </c>
      <c r="J47" s="97">
        <f>SUMIFS(Data!$U:$U,Data!$A:$A,Data_Echipe!$A47,Data!$C:$C,Data_Echipe!J$1)</f>
        <v>3.4125000000000001</v>
      </c>
      <c r="K47" s="97">
        <f>SUMIFS(Data!$U:$U,Data!$A:$A,Data_Echipe!$A47,Data!$C:$C,Data_Echipe!K$1)</f>
        <v>2.1767857142857143</v>
      </c>
      <c r="L47" s="97">
        <f>SUMIFS(Data!$U:$U,Data!$A:$A,Data_Echipe!$A47,Data!$C:$C,Data_Echipe!L$1)</f>
        <v>3.706142857142857</v>
      </c>
      <c r="M47" s="126">
        <f>SUMIFS(Data!$U:$U,Data!$A:$A,Data_Echipe!$A47,Data!$C:$C,Data_Echipe!M$1)</f>
        <v>9.4193333333333342</v>
      </c>
      <c r="N47" s="97">
        <f>SUMIFS(Data!$U:$U,Data!$A:$A,Data_Echipe!$A47,Data!$C:$C,Data_Echipe!N$1)</f>
        <v>3.1098333333333334</v>
      </c>
      <c r="O47" s="126">
        <f>SUMIFS(Data!$U:$U,Data!$A:$A,Data_Echipe!$A47,Data!$C:$C,Data_Echipe!O$1)</f>
        <v>1.4285714285714286</v>
      </c>
      <c r="P47" s="97">
        <f>SUMIFS(Data!$U:$U,Data!$A:$A,Data_Echipe!$A47,Data!$C:$C,Data_Echipe!P$1)</f>
        <v>1.7833333333333334</v>
      </c>
      <c r="R47" s="109" t="str">
        <f t="shared" si="2"/>
        <v>Almost Kenyan Runners</v>
      </c>
    </row>
    <row r="48" spans="1:18" x14ac:dyDescent="0.35">
      <c r="A48" s="55" t="s">
        <v>359</v>
      </c>
      <c r="B48" s="97">
        <v>0</v>
      </c>
      <c r="C48" s="97">
        <f>SUMIFS(Data!$U:$U,Data!$A:$A,Data_Echipe!$A48,Data!$C:$C,Data_Echipe!C$1)</f>
        <v>1.9285714285714286</v>
      </c>
      <c r="D48" s="97">
        <f>SUMIFS(Data!$U:$U,Data!$A:$A,Data_Echipe!$A48,Data!$C:$C,Data_Echipe!D$1)</f>
        <v>2.1130952380952381</v>
      </c>
      <c r="E48" s="97">
        <f>SUMIFS(Data!$U:$U,Data!$A:$A,Data_Echipe!$A48,Data!$C:$C,Data_Echipe!E$1)</f>
        <v>2.4702380952380949</v>
      </c>
      <c r="F48" s="97">
        <f>SUMIFS(Data!$U:$U,Data!$A:$A,Data_Echipe!$A48,Data!$C:$C,Data_Echipe!F$1)</f>
        <v>2.1726190476190474</v>
      </c>
      <c r="G48" s="97">
        <f>SUMIFS(Data!$U:$U,Data!$A:$A,Data_Echipe!$A48,Data!$C:$C,Data_Echipe!G$1)</f>
        <v>2.9053571428571425</v>
      </c>
      <c r="H48" s="126">
        <f>SUMIFS(Data!$U:$U,Data!$A:$A,Data_Echipe!$A48,Data!$C:$C,Data_Echipe!H$1)</f>
        <v>2.3345238095238097</v>
      </c>
      <c r="I48" s="97">
        <f>SUMIFS(Data!$U:$U,Data!$A:$A,Data_Echipe!$A48,Data!$C:$C,Data_Echipe!I$1)</f>
        <v>3.5873333333333335</v>
      </c>
      <c r="J48" s="97">
        <f>SUMIFS(Data!$U:$U,Data!$A:$A,Data_Echipe!$A48,Data!$C:$C,Data_Echipe!J$1)</f>
        <v>2.8857142857142857</v>
      </c>
      <c r="K48" s="126">
        <f>SUMIFS(Data!$U:$U,Data!$A:$A,Data_Echipe!$A48,Data!$C:$C,Data_Echipe!K$1)</f>
        <v>4.484</v>
      </c>
      <c r="L48" s="126">
        <f>SUMIFS(Data!$U:$U,Data!$A:$A,Data_Echipe!$A48,Data!$C:$C,Data_Echipe!L$1)</f>
        <v>1.5</v>
      </c>
      <c r="M48" s="126">
        <f>SUMIFS(Data!$U:$U,Data!$A:$A,Data_Echipe!$A48,Data!$C:$C,Data_Echipe!M$1)</f>
        <v>1.842857142857143</v>
      </c>
      <c r="N48" s="97">
        <f>SUMIFS(Data!$U:$U,Data!$A:$A,Data_Echipe!$A48,Data!$C:$C,Data_Echipe!N$1)</f>
        <v>3.069142857142857</v>
      </c>
      <c r="O48" s="97">
        <f>SUMIFS(Data!$U:$U,Data!$A:$A,Data_Echipe!$A48,Data!$C:$C,Data_Echipe!O$1)</f>
        <v>1.8666666666666667</v>
      </c>
      <c r="P48" s="97">
        <f>SUMIFS(Data!$U:$U,Data!$A:$A,Data_Echipe!$A48,Data!$C:$C,Data_Echipe!P$1)</f>
        <v>3.3246666666666664</v>
      </c>
      <c r="R48" s="109" t="str">
        <f t="shared" si="2"/>
        <v>Almost Kenyan Runners</v>
      </c>
    </row>
    <row r="49" spans="1:18" x14ac:dyDescent="0.35">
      <c r="A49" s="55" t="s">
        <v>368</v>
      </c>
      <c r="B49" s="97">
        <v>0</v>
      </c>
      <c r="C49" s="97">
        <f>SUMIFS(Data!$U:$U,Data!$A:$A,Data_Echipe!$A49,Data!$C:$C,Data_Echipe!C$1)</f>
        <v>1.7547619047619047</v>
      </c>
      <c r="D49" s="97">
        <f>SUMIFS(Data!$U:$U,Data!$A:$A,Data_Echipe!$A49,Data!$C:$C,Data_Echipe!D$1)</f>
        <v>2.1875</v>
      </c>
      <c r="E49" s="97">
        <f>SUMIFS(Data!$U:$U,Data!$A:$A,Data_Echipe!$A49,Data!$C:$C,Data_Echipe!E$1)</f>
        <v>2.1898809523809524</v>
      </c>
      <c r="F49" s="97">
        <f>SUMIFS(Data!$U:$U,Data!$A:$A,Data_Echipe!$A49,Data!$C:$C,Data_Echipe!F$1)</f>
        <v>3.1190476190476191</v>
      </c>
      <c r="G49" s="97">
        <f>SUMIFS(Data!$U:$U,Data!$A:$A,Data_Echipe!$A49,Data!$C:$C,Data_Echipe!G$1)</f>
        <v>2.6220238095238093</v>
      </c>
      <c r="H49" s="97">
        <f>SUMIFS(Data!$U:$U,Data!$A:$A,Data_Echipe!$A49,Data!$C:$C,Data_Echipe!H$1)</f>
        <v>0</v>
      </c>
      <c r="I49" s="97">
        <f>SUMIFS(Data!$U:$U,Data!$A:$A,Data_Echipe!$A49,Data!$C:$C,Data_Echipe!I$1)</f>
        <v>2.9898809523809522</v>
      </c>
      <c r="J49" s="97">
        <f>SUMIFS(Data!$U:$U,Data!$A:$A,Data_Echipe!$A49,Data!$C:$C,Data_Echipe!J$1)</f>
        <v>2.6410714285714283</v>
      </c>
      <c r="K49" s="97">
        <f>SUMIFS(Data!$U:$U,Data!$A:$A,Data_Echipe!$A49,Data!$C:$C,Data_Echipe!K$1)</f>
        <v>3.875</v>
      </c>
      <c r="L49" s="97">
        <f>SUMIFS(Data!$U:$U,Data!$A:$A,Data_Echipe!$A49,Data!$C:$C,Data_Echipe!L$1)</f>
        <v>3.3601190476190474</v>
      </c>
      <c r="M49" s="97">
        <f>SUMIFS(Data!$U:$U,Data!$A:$A,Data_Echipe!$A49,Data!$C:$C,Data_Echipe!M$1)</f>
        <v>2.7386904761904765</v>
      </c>
      <c r="N49" s="97">
        <f>SUMIFS(Data!$U:$U,Data!$A:$A,Data_Echipe!$A49,Data!$C:$C,Data_Echipe!N$1)</f>
        <v>2.8047619047619046</v>
      </c>
      <c r="O49" s="97">
        <f>SUMIFS(Data!$U:$U,Data!$A:$A,Data_Echipe!$A49,Data!$C:$C,Data_Echipe!O$1)</f>
        <v>2.4910714285714284</v>
      </c>
      <c r="P49" s="97">
        <f>SUMIFS(Data!$U:$U,Data!$A:$A,Data_Echipe!$A49,Data!$C:$C,Data_Echipe!P$1)</f>
        <v>3.3303571428571428</v>
      </c>
      <c r="R49" s="109" t="str">
        <f t="shared" si="2"/>
        <v>Almost Kenyan Runners</v>
      </c>
    </row>
    <row r="50" spans="1:18" x14ac:dyDescent="0.35">
      <c r="A50" s="55" t="s">
        <v>170</v>
      </c>
      <c r="B50" s="97">
        <v>0</v>
      </c>
      <c r="C50" s="97">
        <f>SUMIFS(Data!$U:$U,Data!$A:$A,Data_Echipe!$A50,Data!$C:$C,Data_Echipe!C$1)</f>
        <v>2.7362500000000001</v>
      </c>
      <c r="D50" s="126">
        <f>SUMIFS(Data!$U:$U,Data!$A:$A,Data_Echipe!$A50,Data!$C:$C,Data_Echipe!D$1)</f>
        <v>1.3599999999999999</v>
      </c>
      <c r="E50" s="97">
        <f>SUMIFS(Data!$U:$U,Data!$A:$A,Data_Echipe!$A50,Data!$C:$C,Data_Echipe!E$1)</f>
        <v>2.8462499999999999</v>
      </c>
      <c r="F50" s="97">
        <f>SUMIFS(Data!$U:$U,Data!$A:$A,Data_Echipe!$A50,Data!$C:$C,Data_Echipe!F$1)</f>
        <v>3.3125</v>
      </c>
      <c r="G50" s="97">
        <f>SUMIFS(Data!$U:$U,Data!$A:$A,Data_Echipe!$A50,Data!$C:$C,Data_Echipe!G$1)</f>
        <v>0</v>
      </c>
      <c r="H50" s="97">
        <f>SUMIFS(Data!$U:$U,Data!$A:$A,Data_Echipe!$A50,Data!$C:$C,Data_Echipe!H$1)</f>
        <v>2.6906249999999998</v>
      </c>
      <c r="I50" s="97">
        <f>SUMIFS(Data!$U:$U,Data!$A:$A,Data_Echipe!$A50,Data!$C:$C,Data_Echipe!I$1)</f>
        <v>3.1238333333333332</v>
      </c>
      <c r="J50" s="97">
        <f>SUMIFS(Data!$U:$U,Data!$A:$A,Data_Echipe!$A50,Data!$C:$C,Data_Echipe!J$1)</f>
        <v>0</v>
      </c>
      <c r="K50" s="97">
        <f>SUMIFS(Data!$U:$U,Data!$A:$A,Data_Echipe!$A50,Data!$C:$C,Data_Echipe!K$1)</f>
        <v>3.605</v>
      </c>
      <c r="L50" s="97">
        <f>SUMIFS(Data!$U:$U,Data!$A:$A,Data_Echipe!$A50,Data!$C:$C,Data_Echipe!L$1)</f>
        <v>0</v>
      </c>
      <c r="M50" s="97">
        <f>SUMIFS(Data!$U:$U,Data!$A:$A,Data_Echipe!$A50,Data!$C:$C,Data_Echipe!M$1)</f>
        <v>3.7221666666666668</v>
      </c>
      <c r="N50" s="97">
        <f>SUMIFS(Data!$U:$U,Data!$A:$A,Data_Echipe!$A50,Data!$C:$C,Data_Echipe!N$1)</f>
        <v>3.4806249999999999</v>
      </c>
      <c r="O50" s="97">
        <f>SUMIFS(Data!$U:$U,Data!$A:$A,Data_Echipe!$A50,Data!$C:$C,Data_Echipe!O$1)</f>
        <v>2.14</v>
      </c>
      <c r="P50" s="97">
        <f>SUMIFS(Data!$U:$U,Data!$A:$A,Data_Echipe!$A50,Data!$C:$C,Data_Echipe!P$1)</f>
        <v>2.5681250000000002</v>
      </c>
      <c r="R50" s="109" t="str">
        <f t="shared" si="2"/>
        <v>Almost Kenyan Runners</v>
      </c>
    </row>
    <row r="51" spans="1:18" x14ac:dyDescent="0.35">
      <c r="B51" s="97">
        <v>0</v>
      </c>
      <c r="C51" s="97">
        <f>SUMIFS(Data!$U:$U,Data!$A:$A,Data_Echipe!$A51,Data!$C:$C,Data_Echipe!C$1)</f>
        <v>0</v>
      </c>
      <c r="D51" s="97">
        <f>SUMIFS(Data!$U:$U,Data!$A:$A,Data_Echipe!$A51,Data!$C:$C,Data_Echipe!D$1)</f>
        <v>0</v>
      </c>
      <c r="E51" s="97">
        <f>SUMIFS(Data!$U:$U,Data!$A:$A,Data_Echipe!$A51,Data!$C:$C,Data_Echipe!E$1)</f>
        <v>0</v>
      </c>
      <c r="F51" s="97">
        <f>SUMIFS(Data!$U:$U,Data!$A:$A,Data_Echipe!$A51,Data!$C:$C,Data_Echipe!F$1)</f>
        <v>0</v>
      </c>
      <c r="G51" s="97">
        <f>SUMIFS(Data!$U:$U,Data!$A:$A,Data_Echipe!$A51,Data!$C:$C,Data_Echipe!G$1)</f>
        <v>0</v>
      </c>
      <c r="H51" s="97">
        <f>SUMIFS(Data!$U:$U,Data!$A:$A,Data_Echipe!$A51,Data!$C:$C,Data_Echipe!H$1)</f>
        <v>0</v>
      </c>
      <c r="I51" s="97">
        <f>SUMIFS(Data!$U:$U,Data!$A:$A,Data_Echipe!$A51,Data!$C:$C,Data_Echipe!I$1)</f>
        <v>0</v>
      </c>
      <c r="J51" s="97">
        <f>SUMIFS(Data!$U:$U,Data!$A:$A,Data_Echipe!$A51,Data!$C:$C,Data_Echipe!J$1)</f>
        <v>0</v>
      </c>
      <c r="K51" s="97">
        <f>SUMIFS(Data!$U:$U,Data!$A:$A,Data_Echipe!$A51,Data!$C:$C,Data_Echipe!K$1)</f>
        <v>0</v>
      </c>
      <c r="L51" s="97">
        <f>SUMIFS(Data!$U:$U,Data!$A:$A,Data_Echipe!$A51,Data!$C:$C,Data_Echipe!L$1)</f>
        <v>0</v>
      </c>
      <c r="M51" s="126">
        <f>SUMIFS(Data!$U:$U,Data!$A:$A,Data_Echipe!$A51,Data!$C:$C,Data_Echipe!M$1)</f>
        <v>0</v>
      </c>
      <c r="N51" s="97">
        <f>SUMIFS(Data!$U:$U,Data!$A:$A,Data_Echipe!$A51,Data!$C:$C,Data_Echipe!N$1)</f>
        <v>0</v>
      </c>
      <c r="O51" s="126">
        <f>SUMIFS(Data!$U:$U,Data!$A:$A,Data_Echipe!$A51,Data!$C:$C,Data_Echipe!O$1)</f>
        <v>0</v>
      </c>
      <c r="P51" s="97">
        <f>SUMIFS(Data!$U:$U,Data!$A:$A,Data_Echipe!$A51,Data!$C:$C,Data_Echipe!P$1)</f>
        <v>0</v>
      </c>
      <c r="R51" s="109" t="str">
        <f t="shared" si="2"/>
        <v>Almost Kenyan Runners</v>
      </c>
    </row>
    <row r="52" spans="1:18" x14ac:dyDescent="0.35">
      <c r="B52" s="97">
        <v>0</v>
      </c>
      <c r="C52" s="97">
        <f>SUMIFS(Data!$U:$U,Data!$A:$A,Data_Echipe!$A52,Data!$C:$C,Data_Echipe!C$1)</f>
        <v>0</v>
      </c>
      <c r="D52" s="97">
        <f>SUMIFS(Data!$U:$U,Data!$A:$A,Data_Echipe!$A52,Data!$C:$C,Data_Echipe!D$1)</f>
        <v>0</v>
      </c>
      <c r="E52" s="97">
        <f>SUMIFS(Data!$U:$U,Data!$A:$A,Data_Echipe!$A52,Data!$C:$C,Data_Echipe!E$1)</f>
        <v>0</v>
      </c>
      <c r="F52" s="97">
        <f>SUMIFS(Data!$U:$U,Data!$A:$A,Data_Echipe!$A52,Data!$C:$C,Data_Echipe!F$1)</f>
        <v>0</v>
      </c>
      <c r="G52" s="97">
        <f>SUMIFS(Data!$U:$U,Data!$A:$A,Data_Echipe!$A52,Data!$C:$C,Data_Echipe!G$1)</f>
        <v>0</v>
      </c>
      <c r="H52" s="97">
        <f>SUMIFS(Data!$U:$U,Data!$A:$A,Data_Echipe!$A52,Data!$C:$C,Data_Echipe!H$1)</f>
        <v>0</v>
      </c>
      <c r="I52" s="97">
        <f>SUMIFS(Data!$U:$U,Data!$A:$A,Data_Echipe!$A52,Data!$C:$C,Data_Echipe!I$1)</f>
        <v>0</v>
      </c>
      <c r="J52" s="97">
        <f>SUMIFS(Data!$U:$U,Data!$A:$A,Data_Echipe!$A52,Data!$C:$C,Data_Echipe!J$1)</f>
        <v>0</v>
      </c>
      <c r="K52" s="97">
        <f>SUMIFS(Data!$U:$U,Data!$A:$A,Data_Echipe!$A52,Data!$C:$C,Data_Echipe!K$1)</f>
        <v>0</v>
      </c>
      <c r="L52" s="97">
        <f>SUMIFS(Data!$U:$U,Data!$A:$A,Data_Echipe!$A52,Data!$C:$C,Data_Echipe!L$1)</f>
        <v>0</v>
      </c>
      <c r="M52" s="126">
        <f>SUMIFS(Data!$U:$U,Data!$A:$A,Data_Echipe!$A52,Data!$C:$C,Data_Echipe!M$1)</f>
        <v>0</v>
      </c>
      <c r="N52" s="97">
        <f>SUMIFS(Data!$U:$U,Data!$A:$A,Data_Echipe!$A52,Data!$C:$C,Data_Echipe!N$1)</f>
        <v>0</v>
      </c>
      <c r="O52" s="126">
        <f>SUMIFS(Data!$U:$U,Data!$A:$A,Data_Echipe!$A52,Data!$C:$C,Data_Echipe!O$1)</f>
        <v>0</v>
      </c>
      <c r="P52" s="97">
        <f>SUMIFS(Data!$U:$U,Data!$A:$A,Data_Echipe!$A52,Data!$C:$C,Data_Echipe!P$1)</f>
        <v>0</v>
      </c>
      <c r="R52" s="109" t="str">
        <f t="shared" si="2"/>
        <v>Almost Kenyan Runners</v>
      </c>
    </row>
    <row r="55" spans="1:18" x14ac:dyDescent="0.35">
      <c r="A55" s="57" t="s">
        <v>327</v>
      </c>
      <c r="B55" s="47">
        <f>SUMPRODUCT(LARGE(B56:B69,{1,2,3,4}))/4</f>
        <v>0</v>
      </c>
      <c r="C55" s="47">
        <f>AVERAGE(C56:C58,C60:C65)</f>
        <v>2.7662757936507933</v>
      </c>
      <c r="D55" s="47">
        <f>AVERAGE(D56:D62,D66)</f>
        <v>2.6388660714285712</v>
      </c>
      <c r="E55" s="47">
        <f>AVERAGE(E56:E57,E59:E62,E66:E67)</f>
        <v>3.2051517857142859</v>
      </c>
      <c r="F55" s="47">
        <f>AVERAGE(F56:F62,F66:F67)</f>
        <v>2.726831349206349</v>
      </c>
      <c r="G55" s="47">
        <f>AVERAGE(G56:G57,G59:G63,G64,G67,G67)</f>
        <v>2.8227898809523806</v>
      </c>
      <c r="H55" s="47">
        <f>AVERAGE(H56:H58,H60:H64,H67)</f>
        <v>2.8605105820105821</v>
      </c>
      <c r="I55" s="47">
        <f>AVERAGE(I56:I61,I63:I64,I66)</f>
        <v>3.155299603174603</v>
      </c>
      <c r="J55" s="47">
        <f>AVERAGE(J57,J58:J63,J66:J67)</f>
        <v>2.7819775132275129</v>
      </c>
      <c r="K55" s="47">
        <f>AVERAGE(K56:K63,K66)</f>
        <v>2.7030714285714286</v>
      </c>
      <c r="L55" s="47">
        <f>AVERAGE(L56:L62,L64,L67)</f>
        <v>2.8338399470899467</v>
      </c>
      <c r="M55" s="47">
        <f>AVERAGE(M56:M63,M66)</f>
        <v>3.1061183862433861</v>
      </c>
      <c r="N55" s="47">
        <f>AVERAGE(N56:N57,N59:N63)</f>
        <v>3.799380952380953</v>
      </c>
      <c r="O55" s="47">
        <f>AVERAGE(O56:O58,O60:O63,O66)</f>
        <v>2.6752886904761901</v>
      </c>
      <c r="P55" s="47">
        <f>AVERAGE(P56:P63,P67)</f>
        <v>2.4927962962962962</v>
      </c>
      <c r="Q55" s="47">
        <f>SUM(B55:P55)</f>
        <v>40.568198280423282</v>
      </c>
      <c r="R55" s="108"/>
    </row>
    <row r="56" spans="1:18" x14ac:dyDescent="0.35">
      <c r="A56" s="46" t="s">
        <v>132</v>
      </c>
      <c r="B56" s="97">
        <v>0</v>
      </c>
      <c r="C56" s="97">
        <f>SUMIFS(Data!$U:$U,Data!$A:$A,Data_Echipe!$A56,Data!$C:$C,Data_Echipe!C$1)</f>
        <v>3.3726666666666669</v>
      </c>
      <c r="D56" s="97">
        <f>SUMIFS(Data!$U:$U,Data!$A:$A,Data_Echipe!$A56,Data!$C:$C,Data_Echipe!D$1)</f>
        <v>2.4375</v>
      </c>
      <c r="E56" s="97">
        <f>SUMIFS(Data!$U:$U,Data!$A:$A,Data_Echipe!$A56,Data!$C:$C,Data_Echipe!E$1)</f>
        <v>3.9305000000000003</v>
      </c>
      <c r="F56" s="97">
        <f>SUMIFS(Data!$U:$U,Data!$A:$A,Data_Echipe!$A56,Data!$C:$C,Data_Echipe!F$1)</f>
        <v>2.8554166666666667</v>
      </c>
      <c r="G56" s="97">
        <f>SUMIFS(Data!$U:$U,Data!$A:$A,Data_Echipe!$A56,Data!$C:$C,Data_Echipe!G$1)</f>
        <v>2.9456250000000002</v>
      </c>
      <c r="H56" s="97">
        <f>SUMIFS(Data!$U:$U,Data!$A:$A,Data_Echipe!$A56,Data!$C:$C,Data_Echipe!H$1)</f>
        <v>2.2537500000000001</v>
      </c>
      <c r="I56" s="97">
        <f>SUMIFS(Data!$U:$U,Data!$A:$A,Data_Echipe!$A56,Data!$C:$C,Data_Echipe!I$1)</f>
        <v>3.7925</v>
      </c>
      <c r="J56" s="126">
        <f>SUMIFS(Data!$U:$U,Data!$A:$A,Data_Echipe!$A56,Data!$C:$C,Data_Echipe!J$1)</f>
        <v>3.7438333333333333</v>
      </c>
      <c r="K56" s="97">
        <f>SUMIFS(Data!$U:$U,Data!$A:$A,Data_Echipe!$A56,Data!$C:$C,Data_Echipe!K$1)</f>
        <v>2.4787499999999998</v>
      </c>
      <c r="L56" s="97">
        <f>SUMIFS(Data!$U:$U,Data!$A:$A,Data_Echipe!$A56,Data!$C:$C,Data_Echipe!L$1)</f>
        <v>3.8125</v>
      </c>
      <c r="M56" s="97">
        <f>SUMIFS(Data!$U:$U,Data!$A:$A,Data_Echipe!$A56,Data!$C:$C,Data_Echipe!M$1)</f>
        <v>2.5018750000000001</v>
      </c>
      <c r="N56" s="97">
        <f>SUMIFS(Data!$U:$U,Data!$A:$A,Data_Echipe!$A56,Data!$C:$C,Data_Echipe!N$1)</f>
        <v>3.7311666666666667</v>
      </c>
      <c r="O56" s="97">
        <f>SUMIFS(Data!$U:$U,Data!$A:$A,Data_Echipe!$A56,Data!$C:$C,Data_Echipe!O$1)</f>
        <v>2.1924999999999999</v>
      </c>
      <c r="P56" s="97">
        <f>SUMIFS(Data!$U:$U,Data!$A:$A,Data_Echipe!$A56,Data!$C:$C,Data_Echipe!P$1)</f>
        <v>2.0012499999999998</v>
      </c>
      <c r="R56" s="125" t="str">
        <f>$A$55</f>
        <v>MedgidiaRunning</v>
      </c>
    </row>
    <row r="57" spans="1:18" x14ac:dyDescent="0.35">
      <c r="A57" s="55" t="s">
        <v>331</v>
      </c>
      <c r="B57" s="97">
        <v>0</v>
      </c>
      <c r="C57" s="97">
        <f>SUMIFS(Data!$U:$U,Data!$A:$A,Data_Echipe!$A57,Data!$C:$C,Data_Echipe!C$1)</f>
        <v>3.1887500000000002</v>
      </c>
      <c r="D57" s="97">
        <f>SUMIFS(Data!$U:$U,Data!$A:$A,Data_Echipe!$A57,Data!$C:$C,Data_Echipe!D$1)</f>
        <v>2.9837500000000001</v>
      </c>
      <c r="E57" s="97">
        <f>SUMIFS(Data!$U:$U,Data!$A:$A,Data_Echipe!$A57,Data!$C:$C,Data_Echipe!E$1)</f>
        <v>3.6871666666666667</v>
      </c>
      <c r="F57" s="97">
        <f>SUMIFS(Data!$U:$U,Data!$A:$A,Data_Echipe!$A57,Data!$C:$C,Data_Echipe!F$1)</f>
        <v>2.7825000000000002</v>
      </c>
      <c r="G57" s="97">
        <f>SUMIFS(Data!$U:$U,Data!$A:$A,Data_Echipe!$A57,Data!$C:$C,Data_Echipe!G$1)</f>
        <v>2.660625</v>
      </c>
      <c r="H57" s="97">
        <f>SUMIFS(Data!$U:$U,Data!$A:$A,Data_Echipe!$A57,Data!$C:$C,Data_Echipe!H$1)</f>
        <v>2.5125000000000002</v>
      </c>
      <c r="I57" s="97">
        <f>SUMIFS(Data!$U:$U,Data!$A:$A,Data_Echipe!$A57,Data!$C:$C,Data_Echipe!I$1)</f>
        <v>3.3669166666666666</v>
      </c>
      <c r="J57" s="97">
        <f>SUMIFS(Data!$U:$U,Data!$A:$A,Data_Echipe!$A57,Data!$C:$C,Data_Echipe!J$1)</f>
        <v>2.4387499999999998</v>
      </c>
      <c r="K57" s="97">
        <f>SUMIFS(Data!$U:$U,Data!$A:$A,Data_Echipe!$A57,Data!$C:$C,Data_Echipe!K$1)</f>
        <v>2.598125</v>
      </c>
      <c r="L57" s="97">
        <f>SUMIFS(Data!$U:$U,Data!$A:$A,Data_Echipe!$A57,Data!$C:$C,Data_Echipe!L$1)</f>
        <v>2.8912499999999999</v>
      </c>
      <c r="M57" s="97">
        <f>SUMIFS(Data!$U:$U,Data!$A:$A,Data_Echipe!$A57,Data!$C:$C,Data_Echipe!M$1)</f>
        <v>2.9934583333333333</v>
      </c>
      <c r="N57" s="97">
        <f>SUMIFS(Data!$U:$U,Data!$A:$A,Data_Echipe!$A57,Data!$C:$C,Data_Echipe!N$1)</f>
        <v>3.9188333333333332</v>
      </c>
      <c r="O57" s="97">
        <f>SUMIFS(Data!$U:$U,Data!$A:$A,Data_Echipe!$A57,Data!$C:$C,Data_Echipe!O$1)</f>
        <v>3.15625</v>
      </c>
      <c r="P57" s="97">
        <f>SUMIFS(Data!$U:$U,Data!$A:$A,Data_Echipe!$A57,Data!$C:$C,Data_Echipe!P$1)</f>
        <v>2.5643750000000001</v>
      </c>
      <c r="R57" s="125" t="str">
        <f t="shared" ref="R57:R69" si="3">$A$55</f>
        <v>MedgidiaRunning</v>
      </c>
    </row>
    <row r="58" spans="1:18" x14ac:dyDescent="0.35">
      <c r="A58" s="55" t="s">
        <v>332</v>
      </c>
      <c r="B58" s="97">
        <v>0</v>
      </c>
      <c r="C58" s="97">
        <f>SUMIFS(Data!$U:$U,Data!$A:$A,Data_Echipe!$A58,Data!$C:$C,Data_Echipe!C$1)</f>
        <v>3.788095238095238</v>
      </c>
      <c r="D58" s="97">
        <f>SUMIFS(Data!$U:$U,Data!$A:$A,Data_Echipe!$A58,Data!$C:$C,Data_Echipe!D$1)</f>
        <v>2.9958333333333331</v>
      </c>
      <c r="E58" s="126">
        <f>SUMIFS(Data!$U:$U,Data!$A:$A,Data_Echipe!$A58,Data!$C:$C,Data_Echipe!E$1)</f>
        <v>4.2598333333333338</v>
      </c>
      <c r="F58" s="97">
        <f>SUMIFS(Data!$U:$U,Data!$A:$A,Data_Echipe!$A58,Data!$C:$C,Data_Echipe!F$1)</f>
        <v>3.851</v>
      </c>
      <c r="G58" s="126">
        <f>SUMIFS(Data!$U:$U,Data!$A:$A,Data_Echipe!$A58,Data!$C:$C,Data_Echipe!G$1)</f>
        <v>3.7970238095238096</v>
      </c>
      <c r="H58" s="97">
        <f>SUMIFS(Data!$U:$U,Data!$A:$A,Data_Echipe!$A58,Data!$C:$C,Data_Echipe!H$1)</f>
        <v>3.612452380952381</v>
      </c>
      <c r="I58" s="97">
        <f>SUMIFS(Data!$U:$U,Data!$A:$A,Data_Echipe!$A58,Data!$C:$C,Data_Echipe!I$1)</f>
        <v>3.2688333333333333</v>
      </c>
      <c r="J58" s="97">
        <f>SUMIFS(Data!$U:$U,Data!$A:$A,Data_Echipe!$A58,Data!$C:$C,Data_Echipe!J$1)</f>
        <v>3.0175476190476189</v>
      </c>
      <c r="K58" s="97">
        <f>SUMIFS(Data!$U:$U,Data!$A:$A,Data_Echipe!$A58,Data!$C:$C,Data_Echipe!K$1)</f>
        <v>3.2458333333333331</v>
      </c>
      <c r="L58" s="97">
        <f>SUMIFS(Data!$U:$U,Data!$A:$A,Data_Echipe!$A58,Data!$C:$C,Data_Echipe!L$1)</f>
        <v>3.0642857142857141</v>
      </c>
      <c r="M58" s="97">
        <f>SUMIFS(Data!$U:$U,Data!$A:$A,Data_Echipe!$A58,Data!$C:$C,Data_Echipe!M$1)</f>
        <v>3.6707857142857141</v>
      </c>
      <c r="N58" s="126">
        <f>SUMIFS(Data!$U:$U,Data!$A:$A,Data_Echipe!$A58,Data!$C:$C,Data_Echipe!N$1)</f>
        <v>4.5333333333333332</v>
      </c>
      <c r="O58" s="97">
        <f>SUMIFS(Data!$U:$U,Data!$A:$A,Data_Echipe!$A58,Data!$C:$C,Data_Echipe!O$1)</f>
        <v>2.9958333333333331</v>
      </c>
      <c r="P58" s="97">
        <f>SUMIFS(Data!$U:$U,Data!$A:$A,Data_Echipe!$A58,Data!$C:$C,Data_Echipe!P$1)</f>
        <v>3.2458333333333331</v>
      </c>
      <c r="R58" s="125" t="str">
        <f t="shared" si="3"/>
        <v>MedgidiaRunning</v>
      </c>
    </row>
    <row r="59" spans="1:18" x14ac:dyDescent="0.35">
      <c r="A59" s="55" t="s">
        <v>339</v>
      </c>
      <c r="B59" s="97">
        <v>0</v>
      </c>
      <c r="C59" s="126">
        <f>SUMIFS(Data!$U:$U,Data!$A:$A,Data_Echipe!$A59,Data!$C:$C,Data_Echipe!C$1)</f>
        <v>3.8693333333333335</v>
      </c>
      <c r="D59" s="97">
        <f>SUMIFS(Data!$U:$U,Data!$A:$A,Data_Echipe!$A59,Data!$C:$C,Data_Echipe!D$1)</f>
        <v>2.026904761904762</v>
      </c>
      <c r="E59" s="97">
        <f>SUMIFS(Data!$U:$U,Data!$A:$A,Data_Echipe!$A59,Data!$C:$C,Data_Echipe!E$1)</f>
        <v>3.5783095238095237</v>
      </c>
      <c r="F59" s="97">
        <f>SUMIFS(Data!$U:$U,Data!$A:$A,Data_Echipe!$A59,Data!$C:$C,Data_Echipe!F$1)</f>
        <v>2.5220238095238097</v>
      </c>
      <c r="G59" s="97">
        <f>SUMIFS(Data!$U:$U,Data!$A:$A,Data_Echipe!$A59,Data!$C:$C,Data_Echipe!G$1)</f>
        <v>3.2095238095238097</v>
      </c>
      <c r="H59" s="126">
        <f>SUMIFS(Data!$U:$U,Data!$A:$A,Data_Echipe!$A59,Data!$C:$C,Data_Echipe!H$1)</f>
        <v>4.6040000000000001</v>
      </c>
      <c r="I59" s="97">
        <f>SUMIFS(Data!$U:$U,Data!$A:$A,Data_Echipe!$A59,Data!$C:$C,Data_Echipe!I$1)</f>
        <v>3.5099047619047616</v>
      </c>
      <c r="J59" s="97">
        <f>SUMIFS(Data!$U:$U,Data!$A:$A,Data_Echipe!$A59,Data!$C:$C,Data_Echipe!J$1)</f>
        <v>2.7833333333333332</v>
      </c>
      <c r="K59" s="97">
        <f>SUMIFS(Data!$U:$U,Data!$A:$A,Data_Echipe!$A59,Data!$C:$C,Data_Echipe!K$1)</f>
        <v>3.0737857142857141</v>
      </c>
      <c r="L59" s="97">
        <f>SUMIFS(Data!$U:$U,Data!$A:$A,Data_Echipe!$A59,Data!$C:$C,Data_Echipe!L$1)</f>
        <v>4</v>
      </c>
      <c r="M59" s="97">
        <f>SUMIFS(Data!$U:$U,Data!$A:$A,Data_Echipe!$A59,Data!$C:$C,Data_Echipe!M$1)</f>
        <v>3.363</v>
      </c>
      <c r="N59" s="97">
        <f>SUMIFS(Data!$U:$U,Data!$A:$A,Data_Echipe!$A59,Data!$C:$C,Data_Echipe!N$1)</f>
        <v>5.1583333333333332</v>
      </c>
      <c r="O59" s="126">
        <f>SUMIFS(Data!$U:$U,Data!$A:$A,Data_Echipe!$A59,Data!$C:$C,Data_Echipe!O$1)</f>
        <v>3.2196666666666665</v>
      </c>
      <c r="P59" s="97">
        <f>SUMIFS(Data!$U:$U,Data!$A:$A,Data_Echipe!$A59,Data!$C:$C,Data_Echipe!P$1)</f>
        <v>2.3029761904761905</v>
      </c>
      <c r="R59" s="125" t="str">
        <f t="shared" si="3"/>
        <v>MedgidiaRunning</v>
      </c>
    </row>
    <row r="60" spans="1:18" x14ac:dyDescent="0.35">
      <c r="A60" s="55" t="s">
        <v>345</v>
      </c>
      <c r="B60" s="97">
        <v>0</v>
      </c>
      <c r="C60" s="97">
        <f>SUMIFS(Data!$U:$U,Data!$A:$A,Data_Echipe!$A60,Data!$C:$C,Data_Echipe!C$1)</f>
        <v>2.292583333333333</v>
      </c>
      <c r="D60" s="97">
        <f>SUMIFS(Data!$U:$U,Data!$A:$A,Data_Echipe!$A60,Data!$C:$C,Data_Echipe!D$1)</f>
        <v>3.046875</v>
      </c>
      <c r="E60" s="97">
        <f>SUMIFS(Data!$U:$U,Data!$A:$A,Data_Echipe!$A60,Data!$C:$C,Data_Echipe!E$1)</f>
        <v>1.8787500000000001</v>
      </c>
      <c r="F60" s="97">
        <f>SUMIFS(Data!$U:$U,Data!$A:$A,Data_Echipe!$A60,Data!$C:$C,Data_Echipe!F$1)</f>
        <v>2.3142499999999999</v>
      </c>
      <c r="G60" s="97">
        <f>SUMIFS(Data!$U:$U,Data!$A:$A,Data_Echipe!$A60,Data!$C:$C,Data_Echipe!G$1)</f>
        <v>2.6256249999999999</v>
      </c>
      <c r="H60" s="97">
        <f>SUMIFS(Data!$U:$U,Data!$A:$A,Data_Echipe!$A60,Data!$C:$C,Data_Echipe!H$1)</f>
        <v>2.375</v>
      </c>
      <c r="I60" s="97">
        <f>SUMIFS(Data!$U:$U,Data!$A:$A,Data_Echipe!$A60,Data!$C:$C,Data_Echipe!I$1)</f>
        <v>2.9381249999999999</v>
      </c>
      <c r="J60" s="97">
        <f>SUMIFS(Data!$U:$U,Data!$A:$A,Data_Echipe!$A60,Data!$C:$C,Data_Echipe!J$1)</f>
        <v>3.3</v>
      </c>
      <c r="K60" s="97">
        <f>SUMIFS(Data!$U:$U,Data!$A:$A,Data_Echipe!$A60,Data!$C:$C,Data_Echipe!K$1)</f>
        <v>1.5</v>
      </c>
      <c r="L60" s="97">
        <f>SUMIFS(Data!$U:$U,Data!$A:$A,Data_Echipe!$A60,Data!$C:$C,Data_Echipe!L$1)</f>
        <v>2.4169999999999998</v>
      </c>
      <c r="M60" s="97">
        <f>SUMIFS(Data!$U:$U,Data!$A:$A,Data_Echipe!$A60,Data!$C:$C,Data_Echipe!M$1)</f>
        <v>2.7506249999999999</v>
      </c>
      <c r="N60" s="97">
        <f>SUMIFS(Data!$U:$U,Data!$A:$A,Data_Echipe!$A60,Data!$C:$C,Data_Echipe!N$1)</f>
        <v>2.9935</v>
      </c>
      <c r="O60" s="97">
        <f>SUMIFS(Data!$U:$U,Data!$A:$A,Data_Echipe!$A60,Data!$C:$C,Data_Echipe!O$1)</f>
        <v>2.0649999999999999</v>
      </c>
      <c r="P60" s="97">
        <f>SUMIFS(Data!$U:$U,Data!$A:$A,Data_Echipe!$A60,Data!$C:$C,Data_Echipe!P$1)</f>
        <v>2.5041666666666669</v>
      </c>
      <c r="R60" s="125" t="str">
        <f t="shared" si="3"/>
        <v>MedgidiaRunning</v>
      </c>
    </row>
    <row r="61" spans="1:18" x14ac:dyDescent="0.35">
      <c r="A61" s="55" t="s">
        <v>347</v>
      </c>
      <c r="B61" s="97">
        <v>0</v>
      </c>
      <c r="C61" s="97">
        <f>SUMIFS(Data!$U:$U,Data!$A:$A,Data_Echipe!$A61,Data!$C:$C,Data_Echipe!C$1)</f>
        <v>2.5525000000000002</v>
      </c>
      <c r="D61" s="97">
        <f>SUMIFS(Data!$U:$U,Data!$A:$A,Data_Echipe!$A61,Data!$C:$C,Data_Echipe!D$1)</f>
        <v>2.4450416666666666</v>
      </c>
      <c r="E61" s="97">
        <f>SUMIFS(Data!$U:$U,Data!$A:$A,Data_Echipe!$A61,Data!$C:$C,Data_Echipe!E$1)</f>
        <v>2.9660000000000002</v>
      </c>
      <c r="F61" s="97">
        <f>SUMIFS(Data!$U:$U,Data!$A:$A,Data_Echipe!$A61,Data!$C:$C,Data_Echipe!F$1)</f>
        <v>2.475625</v>
      </c>
      <c r="G61" s="97">
        <f>SUMIFS(Data!$U:$U,Data!$A:$A,Data_Echipe!$A61,Data!$C:$C,Data_Echipe!G$1)</f>
        <v>2.9746666666666663</v>
      </c>
      <c r="H61" s="97">
        <f>SUMIFS(Data!$U:$U,Data!$A:$A,Data_Echipe!$A61,Data!$C:$C,Data_Echipe!H$1)</f>
        <v>3.6978333333333335</v>
      </c>
      <c r="I61" s="97">
        <f>SUMIFS(Data!$U:$U,Data!$A:$A,Data_Echipe!$A61,Data!$C:$C,Data_Echipe!I$1)</f>
        <v>2.94</v>
      </c>
      <c r="J61" s="97">
        <f>SUMIFS(Data!$U:$U,Data!$A:$A,Data_Echipe!$A61,Data!$C:$C,Data_Echipe!J$1)</f>
        <v>2.6536666666666666</v>
      </c>
      <c r="K61" s="97">
        <f>SUMIFS(Data!$U:$U,Data!$A:$A,Data_Echipe!$A61,Data!$C:$C,Data_Echipe!K$1)</f>
        <v>2.913125</v>
      </c>
      <c r="L61" s="97">
        <f>SUMIFS(Data!$U:$U,Data!$A:$A,Data_Echipe!$A61,Data!$C:$C,Data_Echipe!L$1)</f>
        <v>2.9424999999999999</v>
      </c>
      <c r="M61" s="97">
        <f>SUMIFS(Data!$U:$U,Data!$A:$A,Data_Echipe!$A61,Data!$C:$C,Data_Echipe!M$1)</f>
        <v>3.2531249999999998</v>
      </c>
      <c r="N61" s="97">
        <f>SUMIFS(Data!$U:$U,Data!$A:$A,Data_Echipe!$A61,Data!$C:$C,Data_Echipe!N$1)</f>
        <v>3.3774999999999999</v>
      </c>
      <c r="O61" s="97">
        <f>SUMIFS(Data!$U:$U,Data!$A:$A,Data_Echipe!$A61,Data!$C:$C,Data_Echipe!O$1)</f>
        <v>2.9206249999999998</v>
      </c>
      <c r="P61" s="97">
        <f>SUMIFS(Data!$U:$U,Data!$A:$A,Data_Echipe!$A61,Data!$C:$C,Data_Echipe!P$1)</f>
        <v>2.5816249999999998</v>
      </c>
      <c r="R61" s="125" t="str">
        <f t="shared" si="3"/>
        <v>MedgidiaRunning</v>
      </c>
    </row>
    <row r="62" spans="1:18" x14ac:dyDescent="0.35">
      <c r="A62" s="55" t="s">
        <v>356</v>
      </c>
      <c r="B62" s="97">
        <v>0</v>
      </c>
      <c r="C62" s="97">
        <f>SUMIFS(Data!$U:$U,Data!$A:$A,Data_Echipe!$A62,Data!$C:$C,Data_Echipe!C$1)</f>
        <v>1.8607142857142858</v>
      </c>
      <c r="D62" s="97">
        <f>SUMIFS(Data!$U:$U,Data!$A:$A,Data_Echipe!$A62,Data!$C:$C,Data_Echipe!D$1)</f>
        <v>3.024142857142857</v>
      </c>
      <c r="E62" s="97">
        <f>SUMIFS(Data!$U:$U,Data!$A:$A,Data_Echipe!$A62,Data!$C:$C,Data_Echipe!E$1)</f>
        <v>2.8494047619047618</v>
      </c>
      <c r="F62" s="97">
        <f>SUMIFS(Data!$U:$U,Data!$A:$A,Data_Echipe!$A62,Data!$C:$C,Data_Echipe!F$1)</f>
        <v>3.5174761904761906</v>
      </c>
      <c r="G62" s="97">
        <f>SUMIFS(Data!$U:$U,Data!$A:$A,Data_Echipe!$A62,Data!$C:$C,Data_Echipe!G$1)</f>
        <v>2.7208333333333332</v>
      </c>
      <c r="H62" s="97">
        <f>SUMIFS(Data!$U:$U,Data!$A:$A,Data_Echipe!$A62,Data!$C:$C,Data_Echipe!H$1)</f>
        <v>2.5678571428571431</v>
      </c>
      <c r="I62" s="126">
        <f>SUMIFS(Data!$U:$U,Data!$A:$A,Data_Echipe!$A62,Data!$C:$C,Data_Echipe!I$1)</f>
        <v>3.7216666666666667</v>
      </c>
      <c r="J62" s="97">
        <f>SUMIFS(Data!$U:$U,Data!$A:$A,Data_Echipe!$A62,Data!$C:$C,Data_Echipe!J$1)</f>
        <v>3.3476666666666666</v>
      </c>
      <c r="K62" s="97">
        <f>SUMIFS(Data!$U:$U,Data!$A:$A,Data_Echipe!$A62,Data!$C:$C,Data_Echipe!K$1)</f>
        <v>2.4101190476190477</v>
      </c>
      <c r="L62" s="97">
        <f>SUMIFS(Data!$U:$U,Data!$A:$A,Data_Echipe!$A62,Data!$C:$C,Data_Echipe!L$1)</f>
        <v>3.3589285714285713</v>
      </c>
      <c r="M62" s="97">
        <f>SUMIFS(Data!$U:$U,Data!$A:$A,Data_Echipe!$A62,Data!$C:$C,Data_Echipe!M$1)</f>
        <v>3.1875</v>
      </c>
      <c r="N62" s="97">
        <f>SUMIFS(Data!$U:$U,Data!$A:$A,Data_Echipe!$A62,Data!$C:$C,Data_Echipe!N$1)</f>
        <v>3.5505</v>
      </c>
      <c r="O62" s="97">
        <f>SUMIFS(Data!$U:$U,Data!$A:$A,Data_Echipe!$A62,Data!$C:$C,Data_Echipe!O$1)</f>
        <v>2.8380952380952378</v>
      </c>
      <c r="P62" s="97">
        <f>SUMIFS(Data!$U:$U,Data!$A:$A,Data_Echipe!$A62,Data!$C:$C,Data_Echipe!P$1)</f>
        <v>2.4261904761904765</v>
      </c>
      <c r="R62" s="125" t="str">
        <f t="shared" si="3"/>
        <v>MedgidiaRunning</v>
      </c>
    </row>
    <row r="63" spans="1:18" x14ac:dyDescent="0.35">
      <c r="A63" s="55" t="s">
        <v>378</v>
      </c>
      <c r="B63" s="97">
        <v>0</v>
      </c>
      <c r="C63" s="97">
        <f>SUMIFS(Data!$U:$U,Data!$A:$A,Data_Echipe!$A63,Data!$C:$C,Data_Echipe!C$1)</f>
        <v>2.5006249999999999</v>
      </c>
      <c r="D63" s="126">
        <f>SUMIFS(Data!$U:$U,Data!$A:$A,Data_Echipe!$A63,Data!$C:$C,Data_Echipe!D$1)</f>
        <v>1.5</v>
      </c>
      <c r="E63" s="97">
        <f>SUMIFS(Data!$U:$U,Data!$A:$A,Data_Echipe!$A63,Data!$C:$C,Data_Echipe!E$1)</f>
        <v>0</v>
      </c>
      <c r="F63" s="126">
        <f>SUMIFS(Data!$U:$U,Data!$A:$A,Data_Echipe!$A63,Data!$C:$C,Data_Echipe!F$1)</f>
        <v>2.9412500000000001</v>
      </c>
      <c r="G63" s="97">
        <f>SUMIFS(Data!$U:$U,Data!$A:$A,Data_Echipe!$A63,Data!$C:$C,Data_Echipe!G$1)</f>
        <v>2.4708333333333332</v>
      </c>
      <c r="H63" s="97">
        <f>SUMIFS(Data!$U:$U,Data!$A:$A,Data_Echipe!$A63,Data!$C:$C,Data_Echipe!H$1)</f>
        <v>3.1317499999999998</v>
      </c>
      <c r="I63" s="97">
        <f>SUMIFS(Data!$U:$U,Data!$A:$A,Data_Echipe!$A63,Data!$C:$C,Data_Echipe!I$1)</f>
        <v>3.3162500000000001</v>
      </c>
      <c r="J63" s="97">
        <f>SUMIFS(Data!$U:$U,Data!$A:$A,Data_Echipe!$A63,Data!$C:$C,Data_Echipe!J$1)</f>
        <v>2.9922499999999999</v>
      </c>
      <c r="K63" s="97">
        <f>SUMIFS(Data!$U:$U,Data!$A:$A,Data_Echipe!$A63,Data!$C:$C,Data_Echipe!K$1)</f>
        <v>3.5674999999999999</v>
      </c>
      <c r="L63" s="126">
        <f>SUMIFS(Data!$U:$U,Data!$A:$A,Data_Echipe!$A63,Data!$C:$C,Data_Echipe!L$1)</f>
        <v>4.55</v>
      </c>
      <c r="M63" s="97">
        <f>SUMIFS(Data!$U:$U,Data!$A:$A,Data_Echipe!$A63,Data!$C:$C,Data_Echipe!M$1)</f>
        <v>3.4229583333333338</v>
      </c>
      <c r="N63" s="97">
        <f>SUMIFS(Data!$U:$U,Data!$A:$A,Data_Echipe!$A63,Data!$C:$C,Data_Echipe!N$1)</f>
        <v>3.8658333333333332</v>
      </c>
      <c r="O63" s="97">
        <f>SUMIFS(Data!$U:$U,Data!$A:$A,Data_Echipe!$A63,Data!$C:$C,Data_Echipe!O$1)</f>
        <v>3.6256249999999999</v>
      </c>
      <c r="P63" s="97">
        <f>SUMIFS(Data!$U:$U,Data!$A:$A,Data_Echipe!$A63,Data!$C:$C,Data_Echipe!P$1)</f>
        <v>3.1262499999999998</v>
      </c>
      <c r="R63" s="125" t="str">
        <f t="shared" si="3"/>
        <v>MedgidiaRunning</v>
      </c>
    </row>
    <row r="64" spans="1:18" x14ac:dyDescent="0.35">
      <c r="A64" s="55" t="s">
        <v>369</v>
      </c>
      <c r="B64" s="97">
        <v>0</v>
      </c>
      <c r="C64" s="97">
        <f>SUMIFS(Data!$U:$U,Data!$A:$A,Data_Echipe!$A64,Data!$C:$C,Data_Echipe!C$1)</f>
        <v>3.5476904761904762</v>
      </c>
      <c r="D64" s="126">
        <f>SUMIFS(Data!$U:$U,Data!$A:$A,Data_Echipe!$A64,Data!$C:$C,Data_Echipe!D$1)</f>
        <v>3.2090952380952378</v>
      </c>
      <c r="E64" s="126">
        <f>SUMIFS(Data!$U:$U,Data!$A:$A,Data_Echipe!$A64,Data!$C:$C,Data_Echipe!E$1)</f>
        <v>1.5</v>
      </c>
      <c r="F64" s="97">
        <f>SUMIFS(Data!$U:$U,Data!$A:$A,Data_Echipe!$A64,Data!$C:$C,Data_Echipe!F$1)</f>
        <v>0</v>
      </c>
      <c r="G64" s="97">
        <f>SUMIFS(Data!$U:$U,Data!$A:$A,Data_Echipe!$A64,Data!$C:$C,Data_Echipe!G$1)</f>
        <v>3.0826666666666664</v>
      </c>
      <c r="H64" s="97">
        <f>SUMIFS(Data!$U:$U,Data!$A:$A,Data_Echipe!$A64,Data!$C:$C,Data_Echipe!H$1)</f>
        <v>2.7184523809523808</v>
      </c>
      <c r="I64" s="97">
        <f>SUMIFS(Data!$U:$U,Data!$A:$A,Data_Echipe!$A64,Data!$C:$C,Data_Echipe!I$1)</f>
        <v>2.9739761904761908</v>
      </c>
      <c r="J64" s="126">
        <f>SUMIFS(Data!$U:$U,Data!$A:$A,Data_Echipe!$A64,Data!$C:$C,Data_Echipe!J$1)</f>
        <v>1.950595238095238</v>
      </c>
      <c r="K64" s="126">
        <f>SUMIFS(Data!$U:$U,Data!$A:$A,Data_Echipe!$A64,Data!$C:$C,Data_Echipe!K$1)</f>
        <v>3.8716666666666666</v>
      </c>
      <c r="L64" s="97">
        <f>SUMIFS(Data!$U:$U,Data!$A:$A,Data_Echipe!$A64,Data!$C:$C,Data_Echipe!L$1)</f>
        <v>1.4255952380952381</v>
      </c>
      <c r="M64" s="126">
        <f>SUMIFS(Data!$U:$U,Data!$A:$A,Data_Echipe!$A64,Data!$C:$C,Data_Echipe!M$1)</f>
        <v>3.8166666666666669</v>
      </c>
      <c r="N64" s="97">
        <f>SUMIFS(Data!$U:$U,Data!$A:$A,Data_Echipe!$A64,Data!$C:$C,Data_Echipe!N$1)</f>
        <v>0</v>
      </c>
      <c r="O64" s="126">
        <f>SUMIFS(Data!$U:$U,Data!$A:$A,Data_Echipe!$A64,Data!$C:$C,Data_Echipe!O$1)</f>
        <v>0</v>
      </c>
      <c r="P64" s="126">
        <f>SUMIFS(Data!$U:$U,Data!$A:$A,Data_Echipe!$A64,Data!$C:$C,Data_Echipe!P$1)</f>
        <v>3.625</v>
      </c>
      <c r="R64" s="125" t="str">
        <f t="shared" si="3"/>
        <v>MedgidiaRunning</v>
      </c>
    </row>
    <row r="65" spans="1:18" x14ac:dyDescent="0.35">
      <c r="A65" s="148" t="s">
        <v>365</v>
      </c>
      <c r="B65" s="149">
        <v>0</v>
      </c>
      <c r="C65" s="97">
        <f>SUMIFS(Data!$U:$U,Data!$A:$A,Data_Echipe!$A65,Data!$C:$C,Data_Echipe!C$1)</f>
        <v>1.7928571428571429</v>
      </c>
      <c r="D65" s="149">
        <f>SUMIFS(Data!$U:$U,Data!$A:$A,Data_Echipe!$A65,Data!$C:$C,Data_Echipe!D$1)</f>
        <v>0</v>
      </c>
      <c r="E65" s="149">
        <f>SUMIFS(Data!$U:$U,Data!$A:$A,Data_Echipe!$A65,Data!$C:$C,Data_Echipe!E$1)</f>
        <v>0</v>
      </c>
      <c r="F65" s="150">
        <f>SUMIFS(Data!$U:$U,Data!$A:$A,Data_Echipe!$A65,Data!$C:$C,Data_Echipe!F$1)</f>
        <v>1.7577380952380952</v>
      </c>
      <c r="G65" s="149">
        <f>SUMIFS(Data!$U:$U,Data!$A:$A,Data_Echipe!$A65,Data!$C:$C,Data_Echipe!G$1)</f>
        <v>0</v>
      </c>
      <c r="H65" s="149">
        <f>SUMIFS(Data!$U:$U,Data!$A:$A,Data_Echipe!$A65,Data!$C:$C,Data_Echipe!H$1)</f>
        <v>0</v>
      </c>
      <c r="I65" s="149">
        <f>SUMIFS(Data!$U:$U,Data!$A:$A,Data_Echipe!$A65,Data!$C:$C,Data_Echipe!I$1)</f>
        <v>0</v>
      </c>
      <c r="J65" s="149">
        <f>SUMIFS(Data!$U:$U,Data!$A:$A,Data_Echipe!$A65,Data!$C:$C,Data_Echipe!J$1)</f>
        <v>0</v>
      </c>
      <c r="K65" s="149">
        <f>SUMIFS(Data!$U:$U,Data!$A:$A,Data_Echipe!$A65,Data!$C:$C,Data_Echipe!K$1)</f>
        <v>0</v>
      </c>
      <c r="L65" s="149">
        <f>SUMIFS(Data!$U:$U,Data!$A:$A,Data_Echipe!$A65,Data!$C:$C,Data_Echipe!L$1)</f>
        <v>0</v>
      </c>
      <c r="M65" s="149">
        <f>SUMIFS(Data!$U:$U,Data!$A:$A,Data_Echipe!$A65,Data!$C:$C,Data_Echipe!M$1)</f>
        <v>0</v>
      </c>
      <c r="N65" s="149">
        <f>SUMIFS(Data!$U:$U,Data!$A:$A,Data_Echipe!$A65,Data!$C:$C,Data_Echipe!N$1)</f>
        <v>0</v>
      </c>
      <c r="O65" s="150">
        <f>SUMIFS(Data!$U:$U,Data!$A:$A,Data_Echipe!$A65,Data!$C:$C,Data_Echipe!O$1)</f>
        <v>0</v>
      </c>
      <c r="P65" s="149">
        <f>SUMIFS(Data!$U:$U,Data!$A:$A,Data_Echipe!$A65,Data!$C:$C,Data_Echipe!P$1)</f>
        <v>0</v>
      </c>
      <c r="Q65" s="148"/>
      <c r="R65" s="148" t="str">
        <f t="shared" si="3"/>
        <v>MedgidiaRunning</v>
      </c>
    </row>
    <row r="66" spans="1:18" x14ac:dyDescent="0.35">
      <c r="A66" s="55" t="s">
        <v>296</v>
      </c>
      <c r="B66" s="97">
        <v>0</v>
      </c>
      <c r="C66" s="126">
        <f>SUMIFS(Data!$U:$U,Data!$A:$A,Data_Echipe!$A66,Data!$C:$C,Data_Echipe!C$1)</f>
        <v>0.85288095238095241</v>
      </c>
      <c r="D66" s="97">
        <f>SUMIFS(Data!$U:$U,Data!$A:$A,Data_Echipe!$A66,Data!$C:$C,Data_Echipe!D$1)</f>
        <v>2.1508809523809522</v>
      </c>
      <c r="E66" s="97">
        <f>SUMIFS(Data!$U:$U,Data!$A:$A,Data_Echipe!$A66,Data!$C:$C,Data_Echipe!E$1)</f>
        <v>3.5616666666666665</v>
      </c>
      <c r="F66" s="97">
        <f>SUMIFS(Data!$U:$U,Data!$A:$A,Data_Echipe!$A66,Data!$C:$C,Data_Echipe!F$1)</f>
        <v>2.0576904761904764</v>
      </c>
      <c r="G66" s="126">
        <f>SUMIFS(Data!$U:$U,Data!$A:$A,Data_Echipe!$A66,Data!$C:$C,Data_Echipe!G$1)</f>
        <v>1.881547619047619</v>
      </c>
      <c r="H66" s="126">
        <f>SUMIFS(Data!$U:$U,Data!$A:$A,Data_Echipe!$A66,Data!$C:$C,Data_Echipe!H$1)</f>
        <v>1.7851904761904762</v>
      </c>
      <c r="I66" s="97">
        <f>SUMIFS(Data!$U:$U,Data!$A:$A,Data_Echipe!$A66,Data!$C:$C,Data_Echipe!I$1)</f>
        <v>2.2911904761904758</v>
      </c>
      <c r="J66" s="97">
        <f>SUMIFS(Data!$U:$U,Data!$A:$A,Data_Echipe!$A66,Data!$C:$C,Data_Echipe!J$1)</f>
        <v>2.1083333333333334</v>
      </c>
      <c r="K66" s="97">
        <f>SUMIFS(Data!$U:$U,Data!$A:$A,Data_Echipe!$A66,Data!$C:$C,Data_Echipe!K$1)</f>
        <v>2.5404047619047616</v>
      </c>
      <c r="L66" s="126">
        <f>SUMIFS(Data!$U:$U,Data!$A:$A,Data_Echipe!$A66,Data!$C:$C,Data_Echipe!L$1)</f>
        <v>1.3323809523809522</v>
      </c>
      <c r="M66" s="97">
        <f>SUMIFS(Data!$U:$U,Data!$A:$A,Data_Echipe!$A66,Data!$C:$C,Data_Echipe!M$1)</f>
        <v>2.8117380952380953</v>
      </c>
      <c r="N66" s="126">
        <f>SUMIFS(Data!$U:$U,Data!$A:$A,Data_Echipe!$A66,Data!$C:$C,Data_Echipe!N$1)</f>
        <v>1.268642857142857</v>
      </c>
      <c r="O66" s="97">
        <f>SUMIFS(Data!$U:$U,Data!$A:$A,Data_Echipe!$A66,Data!$C:$C,Data_Echipe!O$1)</f>
        <v>1.6083809523809525</v>
      </c>
      <c r="P66" s="126">
        <f>SUMIFS(Data!$U:$U,Data!$A:$A,Data_Echipe!$A66,Data!$C:$C,Data_Echipe!P$1)</f>
        <v>1.544142857142857</v>
      </c>
      <c r="R66" s="125" t="str">
        <f t="shared" si="3"/>
        <v>MedgidiaRunning</v>
      </c>
    </row>
    <row r="67" spans="1:18" x14ac:dyDescent="0.35">
      <c r="A67" s="55" t="s">
        <v>396</v>
      </c>
      <c r="B67" s="97">
        <v>0</v>
      </c>
      <c r="C67" s="97">
        <f>SUMIFS(Data!$U:$U,Data!$A:$A,Data_Echipe!$A67,Data!$C:$C,Data_Echipe!C$1)</f>
        <v>0</v>
      </c>
      <c r="D67" s="97">
        <f>SUMIFS(Data!$U:$U,Data!$A:$A,Data_Echipe!$A67,Data!$C:$C,Data_Echipe!D$1)</f>
        <v>0</v>
      </c>
      <c r="E67" s="97">
        <f>SUMIFS(Data!$U:$U,Data!$A:$A,Data_Echipe!$A67,Data!$C:$C,Data_Echipe!E$1)</f>
        <v>3.1894166666666668</v>
      </c>
      <c r="F67" s="97">
        <f>SUMIFS(Data!$U:$U,Data!$A:$A,Data_Echipe!$A67,Data!$C:$C,Data_Echipe!F$1)</f>
        <v>2.1654999999999998</v>
      </c>
      <c r="G67" s="97">
        <f>SUMIFS(Data!$U:$U,Data!$A:$A,Data_Echipe!$A67,Data!$C:$C,Data_Echipe!G$1)</f>
        <v>2.7687499999999998</v>
      </c>
      <c r="H67" s="97">
        <f>SUMIFS(Data!$U:$U,Data!$A:$A,Data_Echipe!$A67,Data!$C:$C,Data_Echipe!H$1)</f>
        <v>2.875</v>
      </c>
      <c r="I67" s="126">
        <f>SUMIFS(Data!$U:$U,Data!$A:$A,Data_Echipe!$A67,Data!$C:$C,Data_Echipe!I$1)</f>
        <v>1.5075000000000001</v>
      </c>
      <c r="J67" s="97">
        <f>SUMIFS(Data!$U:$U,Data!$A:$A,Data_Echipe!$A67,Data!$C:$C,Data_Echipe!J$1)</f>
        <v>2.3962500000000002</v>
      </c>
      <c r="K67" s="126">
        <f>SUMIFS(Data!$U:$U,Data!$A:$A,Data_Echipe!$A67,Data!$C:$C,Data_Echipe!K$1)</f>
        <v>1.2631250000000001</v>
      </c>
      <c r="L67" s="97">
        <f>SUMIFS(Data!$U:$U,Data!$A:$A,Data_Echipe!$A67,Data!$C:$C,Data_Echipe!L$1)</f>
        <v>1.5925</v>
      </c>
      <c r="M67" s="126">
        <f>SUMIFS(Data!$U:$U,Data!$A:$A,Data_Echipe!$A67,Data!$C:$C,Data_Echipe!M$1)</f>
        <v>2.140625</v>
      </c>
      <c r="N67" s="97">
        <f>SUMIFS(Data!$U:$U,Data!$A:$A,Data_Echipe!$A67,Data!$C:$C,Data_Echipe!N$1)</f>
        <v>0</v>
      </c>
      <c r="O67" s="126">
        <f>SUMIFS(Data!$U:$U,Data!$A:$A,Data_Echipe!$A67,Data!$C:$C,Data_Echipe!O$1)</f>
        <v>2.0912500000000001</v>
      </c>
      <c r="P67" s="97">
        <f>SUMIFS(Data!$U:$U,Data!$A:$A,Data_Echipe!$A67,Data!$C:$C,Data_Echipe!P$1)</f>
        <v>1.6825000000000001</v>
      </c>
      <c r="R67" s="125" t="str">
        <f t="shared" si="3"/>
        <v>MedgidiaRunning</v>
      </c>
    </row>
    <row r="68" spans="1:18" x14ac:dyDescent="0.35">
      <c r="B68" s="97">
        <v>0</v>
      </c>
      <c r="C68" s="97">
        <f>SUMIFS(Data!$U:$U,Data!$A:$A,Data_Echipe!$A68,Data!$C:$C,Data_Echipe!C$1)</f>
        <v>0</v>
      </c>
      <c r="D68" s="97">
        <f>SUMIFS(Data!$U:$U,Data!$A:$A,Data_Echipe!$A68,Data!$C:$C,Data_Echipe!D$1)</f>
        <v>0</v>
      </c>
      <c r="E68" s="97">
        <f>SUMIFS(Data!$U:$U,Data!$A:$A,Data_Echipe!$A68,Data!$C:$C,Data_Echipe!E$1)</f>
        <v>0</v>
      </c>
      <c r="F68" s="97">
        <f>SUMIFS(Data!$U:$U,Data!$A:$A,Data_Echipe!$A68,Data!$C:$C,Data_Echipe!F$1)</f>
        <v>0</v>
      </c>
      <c r="G68" s="97">
        <f>SUMIFS(Data!$U:$U,Data!$A:$A,Data_Echipe!$A68,Data!$C:$C,Data_Echipe!G$1)</f>
        <v>0</v>
      </c>
      <c r="H68" s="97">
        <f>SUMIFS(Data!$U:$U,Data!$A:$A,Data_Echipe!$A68,Data!$C:$C,Data_Echipe!H$1)</f>
        <v>0</v>
      </c>
      <c r="I68" s="97">
        <f>SUMIFS(Data!$U:$U,Data!$A:$A,Data_Echipe!$A68,Data!$C:$C,Data_Echipe!I$1)</f>
        <v>0</v>
      </c>
      <c r="J68" s="97">
        <f>SUMIFS(Data!$U:$U,Data!$A:$A,Data_Echipe!$A68,Data!$C:$C,Data_Echipe!J$1)</f>
        <v>0</v>
      </c>
      <c r="K68" s="97">
        <f>SUMIFS(Data!$U:$U,Data!$A:$A,Data_Echipe!$A68,Data!$C:$C,Data_Echipe!K$1)</f>
        <v>0</v>
      </c>
      <c r="L68" s="97">
        <f>SUMIFS(Data!$U:$U,Data!$A:$A,Data_Echipe!$A68,Data!$C:$C,Data_Echipe!L$1)</f>
        <v>0</v>
      </c>
      <c r="M68" s="126">
        <f>SUMIFS(Data!$U:$U,Data!$A:$A,Data_Echipe!$A68,Data!$C:$C,Data_Echipe!M$1)</f>
        <v>0</v>
      </c>
      <c r="N68" s="97">
        <f>SUMIFS(Data!$U:$U,Data!$A:$A,Data_Echipe!$A68,Data!$C:$C,Data_Echipe!N$1)</f>
        <v>0</v>
      </c>
      <c r="O68" s="126">
        <f>SUMIFS(Data!$U:$U,Data!$A:$A,Data_Echipe!$A68,Data!$C:$C,Data_Echipe!O$1)</f>
        <v>0</v>
      </c>
      <c r="P68" s="97">
        <f>SUMIFS(Data!$U:$U,Data!$A:$A,Data_Echipe!$A68,Data!$C:$C,Data_Echipe!P$1)</f>
        <v>0</v>
      </c>
      <c r="R68" s="125" t="str">
        <f t="shared" si="3"/>
        <v>MedgidiaRunning</v>
      </c>
    </row>
    <row r="69" spans="1:18" x14ac:dyDescent="0.35">
      <c r="B69" s="97">
        <v>0</v>
      </c>
      <c r="C69" s="97">
        <f>SUMIFS(Data!$U:$U,Data!$A:$A,Data_Echipe!$A69,Data!$C:$C,Data_Echipe!C$1)</f>
        <v>0</v>
      </c>
      <c r="D69" s="97">
        <f>SUMIFS(Data!$U:$U,Data!$A:$A,Data_Echipe!$A69,Data!$C:$C,Data_Echipe!D$1)</f>
        <v>0</v>
      </c>
      <c r="E69" s="97">
        <f>SUMIFS(Data!$U:$U,Data!$A:$A,Data_Echipe!$A69,Data!$C:$C,Data_Echipe!E$1)</f>
        <v>0</v>
      </c>
      <c r="F69" s="97">
        <f>SUMIFS(Data!$U:$U,Data!$A:$A,Data_Echipe!$A69,Data!$C:$C,Data_Echipe!F$1)</f>
        <v>0</v>
      </c>
      <c r="G69" s="97">
        <f>SUMIFS(Data!$U:$U,Data!$A:$A,Data_Echipe!$A69,Data!$C:$C,Data_Echipe!G$1)</f>
        <v>0</v>
      </c>
      <c r="H69" s="97">
        <f>SUMIFS(Data!$U:$U,Data!$A:$A,Data_Echipe!$A69,Data!$C:$C,Data_Echipe!H$1)</f>
        <v>0</v>
      </c>
      <c r="I69" s="97">
        <f>SUMIFS(Data!$U:$U,Data!$A:$A,Data_Echipe!$A69,Data!$C:$C,Data_Echipe!I$1)</f>
        <v>0</v>
      </c>
      <c r="J69" s="97">
        <f>SUMIFS(Data!$U:$U,Data!$A:$A,Data_Echipe!$A69,Data!$C:$C,Data_Echipe!J$1)</f>
        <v>0</v>
      </c>
      <c r="K69" s="97">
        <f>SUMIFS(Data!$U:$U,Data!$A:$A,Data_Echipe!$A69,Data!$C:$C,Data_Echipe!K$1)</f>
        <v>0</v>
      </c>
      <c r="L69" s="97">
        <f>SUMIFS(Data!$U:$U,Data!$A:$A,Data_Echipe!$A69,Data!$C:$C,Data_Echipe!L$1)</f>
        <v>0</v>
      </c>
      <c r="M69" s="126">
        <f>SUMIFS(Data!$U:$U,Data!$A:$A,Data_Echipe!$A69,Data!$C:$C,Data_Echipe!M$1)</f>
        <v>0</v>
      </c>
      <c r="N69" s="97">
        <f>SUMIFS(Data!$U:$U,Data!$A:$A,Data_Echipe!$A69,Data!$C:$C,Data_Echipe!N$1)</f>
        <v>0</v>
      </c>
      <c r="O69" s="126">
        <f>SUMIFS(Data!$U:$U,Data!$A:$A,Data_Echipe!$A69,Data!$C:$C,Data_Echipe!O$1)</f>
        <v>0</v>
      </c>
      <c r="P69" s="97">
        <f>SUMIFS(Data!$U:$U,Data!$A:$A,Data_Echipe!$A69,Data!$C:$C,Data_Echipe!P$1)</f>
        <v>0</v>
      </c>
      <c r="R69" s="125" t="str">
        <f t="shared" si="3"/>
        <v>MedgidiaRunning</v>
      </c>
    </row>
    <row r="72" spans="1:18" x14ac:dyDescent="0.35">
      <c r="A72" s="57" t="s">
        <v>330</v>
      </c>
      <c r="B72" s="47">
        <f>SUMPRODUCT(LARGE(B73:B86,{1,2,3,4}))/4</f>
        <v>0</v>
      </c>
      <c r="C72" s="47">
        <f>AVERAGE(C73:C74,C79,C80,C82,C76:C77,C84)</f>
        <v>2.7389940476190473</v>
      </c>
      <c r="D72" s="47">
        <f>AVERAGE(D73:D78,D82,D83,D85,D86)</f>
        <v>3.0776803571428575</v>
      </c>
      <c r="E72" s="47">
        <f>AVERAGE(E74:E80,E82:E86)</f>
        <v>2.5394379960317464</v>
      </c>
      <c r="F72" s="47">
        <f>AVERAGE(F73:F79,F82,F85:F86)</f>
        <v>2.7865476190476191</v>
      </c>
      <c r="G72" s="47">
        <f>AVERAGE(G73:G77,G80,G82,G85)</f>
        <v>3.1835967261904763</v>
      </c>
      <c r="H72" s="47">
        <f>AVERAGE(H73:H76,H79,H80,H82,H85:H86)</f>
        <v>3.0305436507936507</v>
      </c>
      <c r="I72" s="47">
        <f>AVERAGE(I73:I74,I76:I80,I82,I84:I86)</f>
        <v>2.7335708874458868</v>
      </c>
      <c r="J72" s="47">
        <f>AVERAGE(J73:J77,J79,J82,J85)</f>
        <v>2.8724270833333332</v>
      </c>
      <c r="K72" s="47">
        <f>AVERAGE(K74:K77,K85,K79)</f>
        <v>2.8364603174603178</v>
      </c>
      <c r="L72" s="47">
        <f>AVERAGE(L73:L76,L78:L79,L85:L86)</f>
        <v>2.8829464285714281</v>
      </c>
      <c r="M72" s="47">
        <f>AVERAGE(M73:M77,M79,M85)</f>
        <v>2.5279345238095239</v>
      </c>
      <c r="N72" s="47">
        <f>AVERAGE(N73:N75,N77:N79,N84:N86)</f>
        <v>3.0696349206349205</v>
      </c>
      <c r="O72" s="47">
        <f>AVERAGE(O74:O79,O85:O86)</f>
        <v>2.372252976190476</v>
      </c>
      <c r="P72" s="47">
        <f>AVERAGE(P73:P75,P77:P79,P84:P86)</f>
        <v>2.7413611111111109</v>
      </c>
      <c r="Q72" s="47">
        <f>SUM(B72:P72)</f>
        <v>39.393388645382394</v>
      </c>
      <c r="R72" s="108"/>
    </row>
    <row r="73" spans="1:18" x14ac:dyDescent="0.35">
      <c r="A73" s="46" t="s">
        <v>116</v>
      </c>
      <c r="B73" s="97">
        <v>0</v>
      </c>
      <c r="C73" s="97">
        <f>SUMIFS(Data!$U:$U,Data!$A:$A,Data_Echipe!$A73,Data!$C:$C,Data_Echipe!C$1)</f>
        <v>3.1176666666666666</v>
      </c>
      <c r="D73" s="97">
        <f>SUMIFS(Data!$U:$U,Data!$A:$A,Data_Echipe!$A73,Data!$C:$C,Data_Echipe!D$1)</f>
        <v>3.2389583333333332</v>
      </c>
      <c r="E73" s="126">
        <f>SUMIFS(Data!$U:$U,Data!$A:$A,Data_Echipe!$A73,Data!$C:$C,Data_Echipe!E$1)</f>
        <v>1.5</v>
      </c>
      <c r="F73" s="97">
        <f>SUMIFS(Data!$U:$U,Data!$A:$A,Data_Echipe!$A73,Data!$C:$C,Data_Echipe!F$1)</f>
        <v>3.1893750000000001</v>
      </c>
      <c r="G73" s="97">
        <f>SUMIFS(Data!$U:$U,Data!$A:$A,Data_Echipe!$A73,Data!$C:$C,Data_Echipe!G$1)</f>
        <v>2.7919999999999998</v>
      </c>
      <c r="H73" s="97">
        <f>SUMIFS(Data!$U:$U,Data!$A:$A,Data_Echipe!$A73,Data!$C:$C,Data_Echipe!H$1)</f>
        <v>2.1875</v>
      </c>
      <c r="I73" s="97">
        <f>SUMIFS(Data!$U:$U,Data!$A:$A,Data_Echipe!$A73,Data!$C:$C,Data_Echipe!I$1)</f>
        <v>3.19</v>
      </c>
      <c r="J73" s="97">
        <f>SUMIFS(Data!$U:$U,Data!$A:$A,Data_Echipe!$A73,Data!$C:$C,Data_Echipe!J$1)</f>
        <v>2.53125</v>
      </c>
      <c r="K73" s="126">
        <f>SUMIFS(Data!$U:$U,Data!$A:$A,Data_Echipe!$A73,Data!$C:$C,Data_Echipe!K$1)</f>
        <v>0</v>
      </c>
      <c r="L73" s="97">
        <f>SUMIFS(Data!$U:$U,Data!$A:$A,Data_Echipe!$A73,Data!$C:$C,Data_Echipe!L$1)</f>
        <v>2.5649999999999999</v>
      </c>
      <c r="M73" s="97">
        <f>SUMIFS(Data!$U:$U,Data!$A:$A,Data_Echipe!$A73,Data!$C:$C,Data_Echipe!M$1)</f>
        <v>2.19</v>
      </c>
      <c r="N73" s="97">
        <f>SUMIFS(Data!$U:$U,Data!$A:$A,Data_Echipe!$A73,Data!$C:$C,Data_Echipe!N$1)</f>
        <v>3.8860833333333331</v>
      </c>
      <c r="O73" s="126">
        <f>SUMIFS(Data!$U:$U,Data!$A:$A,Data_Echipe!$A73,Data!$C:$C,Data_Echipe!O$1)</f>
        <v>2.1306250000000002</v>
      </c>
      <c r="P73" s="97">
        <f>SUMIFS(Data!$U:$U,Data!$A:$A,Data_Echipe!$A73,Data!$C:$C,Data_Echipe!P$1)</f>
        <v>2.5</v>
      </c>
      <c r="R73" s="125" t="str">
        <f>$A$72</f>
        <v>#notSYRious</v>
      </c>
    </row>
    <row r="74" spans="1:18" x14ac:dyDescent="0.35">
      <c r="A74" s="55" t="s">
        <v>48</v>
      </c>
      <c r="B74" s="97">
        <v>0</v>
      </c>
      <c r="C74" s="97">
        <f>SUMIFS(Data!$U:$U,Data!$A:$A,Data_Echipe!$A74,Data!$C:$C,Data_Echipe!C$1)</f>
        <v>2.0969047619047618</v>
      </c>
      <c r="D74" s="97">
        <f>SUMIFS(Data!$U:$U,Data!$A:$A,Data_Echipe!$A74,Data!$C:$C,Data_Echipe!D$1)</f>
        <v>2.1990714285714286</v>
      </c>
      <c r="E74" s="97">
        <f>SUMIFS(Data!$U:$U,Data!$A:$A,Data_Echipe!$A74,Data!$C:$C,Data_Echipe!E$1)</f>
        <v>3.3841428571428573</v>
      </c>
      <c r="F74" s="97">
        <f>SUMIFS(Data!$U:$U,Data!$A:$A,Data_Echipe!$A74,Data!$C:$C,Data_Echipe!F$1)</f>
        <v>2.1398809523809521</v>
      </c>
      <c r="G74" s="97">
        <f>SUMIFS(Data!$U:$U,Data!$A:$A,Data_Echipe!$A74,Data!$C:$C,Data_Echipe!G$1)</f>
        <v>3.231095238095238</v>
      </c>
      <c r="H74" s="97">
        <f>SUMIFS(Data!$U:$U,Data!$A:$A,Data_Echipe!$A74,Data!$C:$C,Data_Echipe!H$1)</f>
        <v>2.2765714285714287</v>
      </c>
      <c r="I74" s="97">
        <f>SUMIFS(Data!$U:$U,Data!$A:$A,Data_Echipe!$A74,Data!$C:$C,Data_Echipe!I$1)</f>
        <v>2.526928571428571</v>
      </c>
      <c r="J74" s="97">
        <f>SUMIFS(Data!$U:$U,Data!$A:$A,Data_Echipe!$A74,Data!$C:$C,Data_Echipe!J$1)</f>
        <v>2.925238095238095</v>
      </c>
      <c r="K74" s="97">
        <f>SUMIFS(Data!$U:$U,Data!$A:$A,Data_Echipe!$A74,Data!$C:$C,Data_Echipe!K$1)</f>
        <v>2.679904761904762</v>
      </c>
      <c r="L74" s="97">
        <f>SUMIFS(Data!$U:$U,Data!$A:$A,Data_Echipe!$A74,Data!$C:$C,Data_Echipe!L$1)</f>
        <v>2.6297619047619047</v>
      </c>
      <c r="M74" s="97">
        <f>SUMIFS(Data!$U:$U,Data!$A:$A,Data_Echipe!$A74,Data!$C:$C,Data_Echipe!M$1)</f>
        <v>2.1526904761904762</v>
      </c>
      <c r="N74" s="97">
        <f>SUMIFS(Data!$U:$U,Data!$A:$A,Data_Echipe!$A74,Data!$C:$C,Data_Echipe!N$1)</f>
        <v>2.7760000000000002</v>
      </c>
      <c r="O74" s="97">
        <f>SUMIFS(Data!$U:$U,Data!$A:$A,Data_Echipe!$A74,Data!$C:$C,Data_Echipe!O$1)</f>
        <v>1.2027142857142858</v>
      </c>
      <c r="P74" s="97">
        <f>SUMIFS(Data!$U:$U,Data!$A:$A,Data_Echipe!$A74,Data!$C:$C,Data_Echipe!P$1)</f>
        <v>3.020833333333333</v>
      </c>
      <c r="R74" s="125" t="str">
        <f t="shared" ref="R74:R86" si="4">$A$72</f>
        <v>#notSYRious</v>
      </c>
    </row>
    <row r="75" spans="1:18" x14ac:dyDescent="0.35">
      <c r="A75" s="55" t="s">
        <v>355</v>
      </c>
      <c r="B75" s="97">
        <v>0</v>
      </c>
      <c r="C75" s="126">
        <f>SUMIFS(Data!$U:$U,Data!$A:$A,Data_Echipe!$A75,Data!$C:$C,Data_Echipe!C$1)</f>
        <v>1.5562499999999999</v>
      </c>
      <c r="D75" s="97">
        <f>SUMIFS(Data!$U:$U,Data!$A:$A,Data_Echipe!$A75,Data!$C:$C,Data_Echipe!D$1)</f>
        <v>2.6225000000000001</v>
      </c>
      <c r="E75" s="97">
        <f>SUMIFS(Data!$U:$U,Data!$A:$A,Data_Echipe!$A75,Data!$C:$C,Data_Echipe!E$1)</f>
        <v>2.75875</v>
      </c>
      <c r="F75" s="97">
        <f>SUMIFS(Data!$U:$U,Data!$A:$A,Data_Echipe!$A75,Data!$C:$C,Data_Echipe!F$1)</f>
        <v>2.6262499999999998</v>
      </c>
      <c r="G75" s="97">
        <f>SUMIFS(Data!$U:$U,Data!$A:$A,Data_Echipe!$A75,Data!$C:$C,Data_Echipe!G$1)</f>
        <v>2.7662499999999999</v>
      </c>
      <c r="H75" s="97">
        <f>SUMIFS(Data!$U:$U,Data!$A:$A,Data_Echipe!$A75,Data!$C:$C,Data_Echipe!H$1)</f>
        <v>3.5</v>
      </c>
      <c r="I75" s="126">
        <f>SUMIFS(Data!$U:$U,Data!$A:$A,Data_Echipe!$A75,Data!$C:$C,Data_Echipe!I$1)</f>
        <v>1.9381249999999999</v>
      </c>
      <c r="J75" s="97">
        <f>SUMIFS(Data!$U:$U,Data!$A:$A,Data_Echipe!$A75,Data!$C:$C,Data_Echipe!J$1)</f>
        <v>2.4587500000000002</v>
      </c>
      <c r="K75" s="97">
        <f>SUMIFS(Data!$U:$U,Data!$A:$A,Data_Echipe!$A75,Data!$C:$C,Data_Echipe!K$1)</f>
        <v>1.8879999999999999</v>
      </c>
      <c r="L75" s="97">
        <f>SUMIFS(Data!$U:$U,Data!$A:$A,Data_Echipe!$A75,Data!$C:$C,Data_Echipe!L$1)</f>
        <v>2.6425000000000001</v>
      </c>
      <c r="M75" s="97">
        <f>SUMIFS(Data!$U:$U,Data!$A:$A,Data_Echipe!$A75,Data!$C:$C,Data_Echipe!M$1)</f>
        <v>2.1225000000000001</v>
      </c>
      <c r="N75" s="97">
        <f>SUMIFS(Data!$U:$U,Data!$A:$A,Data_Echipe!$A75,Data!$C:$C,Data_Echipe!N$1)</f>
        <v>2.3712499999999999</v>
      </c>
      <c r="O75" s="97">
        <f>SUMIFS(Data!$U:$U,Data!$A:$A,Data_Echipe!$A75,Data!$C:$C,Data_Echipe!O$1)</f>
        <v>2.42625</v>
      </c>
      <c r="P75" s="97">
        <f>SUMIFS(Data!$U:$U,Data!$A:$A,Data_Echipe!$A75,Data!$C:$C,Data_Echipe!P$1)</f>
        <v>1.93875</v>
      </c>
      <c r="R75" s="125" t="str">
        <f t="shared" si="4"/>
        <v>#notSYRious</v>
      </c>
    </row>
    <row r="76" spans="1:18" x14ac:dyDescent="0.35">
      <c r="A76" s="55" t="s">
        <v>122</v>
      </c>
      <c r="B76" s="97">
        <v>0</v>
      </c>
      <c r="C76" s="97">
        <f>SUMIFS(Data!$U:$U,Data!$A:$A,Data_Echipe!$A76,Data!$C:$C,Data_Echipe!C$1)</f>
        <v>2.5676666666666668</v>
      </c>
      <c r="D76" s="97">
        <f>SUMIFS(Data!$U:$U,Data!$A:$A,Data_Echipe!$A76,Data!$C:$C,Data_Echipe!D$1)</f>
        <v>3.5573333333333332</v>
      </c>
      <c r="E76" s="97">
        <f>SUMIFS(Data!$U:$U,Data!$A:$A,Data_Echipe!$A76,Data!$C:$C,Data_Echipe!E$1)</f>
        <v>2.1636904761904763</v>
      </c>
      <c r="F76" s="97">
        <f>SUMIFS(Data!$U:$U,Data!$A:$A,Data_Echipe!$A76,Data!$C:$C,Data_Echipe!F$1)</f>
        <v>2.8261904761904759</v>
      </c>
      <c r="G76" s="97">
        <f>SUMIFS(Data!$U:$U,Data!$A:$A,Data_Echipe!$A76,Data!$C:$C,Data_Echipe!G$1)</f>
        <v>3.2017619047619048</v>
      </c>
      <c r="H76" s="97">
        <f>SUMIFS(Data!$U:$U,Data!$A:$A,Data_Echipe!$A76,Data!$C:$C,Data_Echipe!H$1)</f>
        <v>2.174404761904762</v>
      </c>
      <c r="I76" s="97">
        <f>SUMIFS(Data!$U:$U,Data!$A:$A,Data_Echipe!$A76,Data!$C:$C,Data_Echipe!I$1)</f>
        <v>3.6695000000000002</v>
      </c>
      <c r="J76" s="97">
        <f>SUMIFS(Data!$U:$U,Data!$A:$A,Data_Echipe!$A76,Data!$C:$C,Data_Echipe!J$1)</f>
        <v>2.8016428571428569</v>
      </c>
      <c r="K76" s="97">
        <f>SUMIFS(Data!$U:$U,Data!$A:$A,Data_Echipe!$A76,Data!$C:$C,Data_Echipe!K$1)</f>
        <v>3.1609761904761906</v>
      </c>
      <c r="L76" s="97">
        <f>SUMIFS(Data!$U:$U,Data!$A:$A,Data_Echipe!$A76,Data!$C:$C,Data_Echipe!L$1)</f>
        <v>3.75</v>
      </c>
      <c r="M76" s="97">
        <f>SUMIFS(Data!$U:$U,Data!$A:$A,Data_Echipe!$A76,Data!$C:$C,Data_Echipe!M$1)</f>
        <v>2.9044285714285714</v>
      </c>
      <c r="N76" s="126">
        <f>SUMIFS(Data!$U:$U,Data!$A:$A,Data_Echipe!$A76,Data!$C:$C,Data_Echipe!N$1)</f>
        <v>1.3794761904761903</v>
      </c>
      <c r="O76" s="97">
        <f>SUMIFS(Data!$U:$U,Data!$A:$A,Data_Echipe!$A76,Data!$C:$C,Data_Echipe!O$1)</f>
        <v>2.6833333333333331</v>
      </c>
      <c r="P76" s="126">
        <f>SUMIFS(Data!$U:$U,Data!$A:$A,Data_Echipe!$A76,Data!$C:$C,Data_Echipe!P$1)</f>
        <v>1.6260714285714286</v>
      </c>
      <c r="R76" s="125" t="str">
        <f t="shared" si="4"/>
        <v>#notSYRious</v>
      </c>
    </row>
    <row r="77" spans="1:18" x14ac:dyDescent="0.35">
      <c r="A77" s="55" t="s">
        <v>291</v>
      </c>
      <c r="B77" s="97">
        <v>0</v>
      </c>
      <c r="C77" s="97">
        <f>SUMIFS(Data!$U:$U,Data!$A:$A,Data_Echipe!$A77,Data!$C:$C,Data_Echipe!C$1)</f>
        <v>1.875</v>
      </c>
      <c r="D77" s="97">
        <f>SUMIFS(Data!$U:$U,Data!$A:$A,Data_Echipe!$A77,Data!$C:$C,Data_Echipe!D$1)</f>
        <v>3.4416666666666669</v>
      </c>
      <c r="E77" s="97">
        <f>SUMIFS(Data!$U:$U,Data!$A:$A,Data_Echipe!$A77,Data!$C:$C,Data_Echipe!E$1)</f>
        <v>1.5</v>
      </c>
      <c r="F77" s="97">
        <f>SUMIFS(Data!$U:$U,Data!$A:$A,Data_Echipe!$A77,Data!$C:$C,Data_Echipe!F$1)</f>
        <v>3.8418333333333332</v>
      </c>
      <c r="G77" s="97">
        <f>SUMIFS(Data!$U:$U,Data!$A:$A,Data_Echipe!$A77,Data!$C:$C,Data_Echipe!G$1)</f>
        <v>3.2562083333333334</v>
      </c>
      <c r="H77" s="126">
        <f>SUMIFS(Data!$U:$U,Data!$A:$A,Data_Echipe!$A77,Data!$C:$C,Data_Echipe!H$1)</f>
        <v>1.5</v>
      </c>
      <c r="I77" s="97">
        <f>SUMIFS(Data!$U:$U,Data!$A:$A,Data_Echipe!$A77,Data!$C:$C,Data_Echipe!I$1)</f>
        <v>2.3050000000000002</v>
      </c>
      <c r="J77" s="97">
        <f>SUMIFS(Data!$U:$U,Data!$A:$A,Data_Echipe!$A77,Data!$C:$C,Data_Echipe!J$1)</f>
        <v>2.6120833333333335</v>
      </c>
      <c r="K77" s="97">
        <f>SUMIFS(Data!$U:$U,Data!$A:$A,Data_Echipe!$A77,Data!$C:$C,Data_Echipe!K$1)</f>
        <v>3.3125</v>
      </c>
      <c r="L77" s="126">
        <f>SUMIFS(Data!$U:$U,Data!$A:$A,Data_Echipe!$A77,Data!$C:$C,Data_Echipe!L$1)</f>
        <v>1.9375</v>
      </c>
      <c r="M77" s="97">
        <f>SUMIFS(Data!$U:$U,Data!$A:$A,Data_Echipe!$A77,Data!$C:$C,Data_Echipe!M$1)</f>
        <v>2.4187500000000002</v>
      </c>
      <c r="N77" s="97">
        <f>SUMIFS(Data!$U:$U,Data!$A:$A,Data_Echipe!$A77,Data!$C:$C,Data_Echipe!N$1)</f>
        <v>2.0562499999999999</v>
      </c>
      <c r="O77" s="97">
        <f>SUMIFS(Data!$U:$U,Data!$A:$A,Data_Echipe!$A77,Data!$C:$C,Data_Echipe!O$1)</f>
        <v>1.875</v>
      </c>
      <c r="P77" s="97">
        <f>SUMIFS(Data!$U:$U,Data!$A:$A,Data_Echipe!$A77,Data!$C:$C,Data_Echipe!P$1)</f>
        <v>2.5243333333333333</v>
      </c>
      <c r="R77" s="125" t="str">
        <f t="shared" si="4"/>
        <v>#notSYRious</v>
      </c>
    </row>
    <row r="78" spans="1:18" x14ac:dyDescent="0.35">
      <c r="A78" s="55" t="s">
        <v>300</v>
      </c>
      <c r="B78" s="97">
        <v>0</v>
      </c>
      <c r="C78" s="97">
        <f>SUMIFS(Data!$U:$U,Data!$A:$A,Data_Echipe!$A78,Data!$C:$C,Data_Echipe!C$1)</f>
        <v>0</v>
      </c>
      <c r="D78" s="97">
        <f>SUMIFS(Data!$U:$U,Data!$A:$A,Data_Echipe!$A78,Data!$C:$C,Data_Echipe!D$1)</f>
        <v>2.3136904761904762</v>
      </c>
      <c r="E78" s="97">
        <f>SUMIFS(Data!$U:$U,Data!$A:$A,Data_Echipe!$A78,Data!$C:$C,Data_Echipe!E$1)</f>
        <v>3.5750000000000002</v>
      </c>
      <c r="F78" s="97">
        <f>SUMIFS(Data!$U:$U,Data!$A:$A,Data_Echipe!$A78,Data!$C:$C,Data_Echipe!F$1)</f>
        <v>1.5</v>
      </c>
      <c r="G78" s="97">
        <f>SUMIFS(Data!$U:$U,Data!$A:$A,Data_Echipe!$A78,Data!$C:$C,Data_Echipe!G$1)</f>
        <v>0</v>
      </c>
      <c r="H78" s="97">
        <f>SUMIFS(Data!$U:$U,Data!$A:$A,Data_Echipe!$A78,Data!$C:$C,Data_Echipe!H$1)</f>
        <v>0</v>
      </c>
      <c r="I78" s="97">
        <f>SUMIFS(Data!$U:$U,Data!$A:$A,Data_Echipe!$A78,Data!$C:$C,Data_Echipe!I$1)</f>
        <v>2.4500000000000002</v>
      </c>
      <c r="J78" s="126">
        <f>SUMIFS(Data!$U:$U,Data!$A:$A,Data_Echipe!$A78,Data!$C:$C,Data_Echipe!J$1)</f>
        <v>2.4141428571428571</v>
      </c>
      <c r="K78" s="126">
        <f>SUMIFS(Data!$U:$U,Data!$A:$A,Data_Echipe!$A78,Data!$C:$C,Data_Echipe!K$1)</f>
        <v>1.8369047619047618</v>
      </c>
      <c r="L78" s="97">
        <f>SUMIFS(Data!$U:$U,Data!$A:$A,Data_Echipe!$A78,Data!$C:$C,Data_Echipe!L$1)</f>
        <v>3.0059523809523809</v>
      </c>
      <c r="M78" s="126">
        <f>SUMIFS(Data!$U:$U,Data!$A:$A,Data_Echipe!$A78,Data!$C:$C,Data_Echipe!M$1)</f>
        <v>1.6071428571428572</v>
      </c>
      <c r="N78" s="97">
        <f>SUMIFS(Data!$U:$U,Data!$A:$A,Data_Echipe!$A78,Data!$C:$C,Data_Echipe!N$1)</f>
        <v>3.4124999999999996</v>
      </c>
      <c r="O78" s="97">
        <f>SUMIFS(Data!$U:$U,Data!$A:$A,Data_Echipe!$A78,Data!$C:$C,Data_Echipe!O$1)</f>
        <v>3.4547619047619045</v>
      </c>
      <c r="P78" s="97">
        <f>SUMIFS(Data!$U:$U,Data!$A:$A,Data_Echipe!$A78,Data!$C:$C,Data_Echipe!P$1)</f>
        <v>2.3583333333333334</v>
      </c>
      <c r="R78" s="125" t="str">
        <f t="shared" si="4"/>
        <v>#notSYRious</v>
      </c>
    </row>
    <row r="79" spans="1:18" x14ac:dyDescent="0.35">
      <c r="A79" s="55" t="s">
        <v>114</v>
      </c>
      <c r="B79" s="97">
        <v>0</v>
      </c>
      <c r="C79" s="97">
        <f>SUMIFS(Data!$U:$U,Data!$A:$A,Data_Echipe!$A79,Data!$C:$C,Data_Echipe!C$1)</f>
        <v>2.6773809523809522</v>
      </c>
      <c r="D79" s="126">
        <f>SUMIFS(Data!$U:$U,Data!$A:$A,Data_Echipe!$A79,Data!$C:$C,Data_Echipe!D$1)</f>
        <v>2.1196428571428569</v>
      </c>
      <c r="E79" s="97">
        <f>SUMIFS(Data!$U:$U,Data!$A:$A,Data_Echipe!$A79,Data!$C:$C,Data_Echipe!E$1)</f>
        <v>2.8815476190476188</v>
      </c>
      <c r="F79" s="97">
        <f>SUMIFS(Data!$U:$U,Data!$A:$A,Data_Echipe!$A79,Data!$C:$C,Data_Echipe!F$1)</f>
        <v>2.7398809523809522</v>
      </c>
      <c r="G79" s="126">
        <f>SUMIFS(Data!$U:$U,Data!$A:$A,Data_Echipe!$A79,Data!$C:$C,Data_Echipe!G$1)</f>
        <v>1.9214285714285715</v>
      </c>
      <c r="H79" s="97">
        <f>SUMIFS(Data!$U:$U,Data!$A:$A,Data_Echipe!$A79,Data!$C:$C,Data_Echipe!H$1)</f>
        <v>1.9874999999999998</v>
      </c>
      <c r="I79" s="97">
        <f>SUMIFS(Data!$U:$U,Data!$A:$A,Data_Echipe!$A79,Data!$C:$C,Data_Echipe!I$1)</f>
        <v>2.1310952380952379</v>
      </c>
      <c r="J79" s="97">
        <f>SUMIFS(Data!$U:$U,Data!$A:$A,Data_Echipe!$A79,Data!$C:$C,Data_Echipe!J$1)</f>
        <v>2.9280714285714287</v>
      </c>
      <c r="K79" s="97">
        <f>SUMIFS(Data!$U:$U,Data!$A:$A,Data_Echipe!$A79,Data!$C:$C,Data_Echipe!K$1)</f>
        <v>2.5398809523809525</v>
      </c>
      <c r="L79" s="97">
        <f>SUMIFS(Data!$U:$U,Data!$A:$A,Data_Echipe!$A79,Data!$C:$C,Data_Echipe!L$1)</f>
        <v>3.0428571428571427</v>
      </c>
      <c r="M79" s="97">
        <f>SUMIFS(Data!$U:$U,Data!$A:$A,Data_Echipe!$A79,Data!$C:$C,Data_Echipe!M$1)</f>
        <v>2.6565476190476192</v>
      </c>
      <c r="N79" s="97">
        <f>SUMIFS(Data!$U:$U,Data!$A:$A,Data_Echipe!$A79,Data!$C:$C,Data_Echipe!N$1)</f>
        <v>3.1965476190476187</v>
      </c>
      <c r="O79" s="97">
        <f>SUMIFS(Data!$U:$U,Data!$A:$A,Data_Echipe!$A79,Data!$C:$C,Data_Echipe!O$1)</f>
        <v>2.0720476190476189</v>
      </c>
      <c r="P79" s="97">
        <f>SUMIFS(Data!$U:$U,Data!$A:$A,Data_Echipe!$A79,Data!$C:$C,Data_Echipe!P$1)</f>
        <v>2.0499999999999998</v>
      </c>
      <c r="R79" s="125" t="str">
        <f t="shared" si="4"/>
        <v>#notSYRious</v>
      </c>
    </row>
    <row r="80" spans="1:18" x14ac:dyDescent="0.35">
      <c r="A80" s="55" t="s">
        <v>245</v>
      </c>
      <c r="B80" s="97">
        <v>0</v>
      </c>
      <c r="C80" s="97">
        <f>SUMIFS(Data!$U:$U,Data!$A:$A,Data_Echipe!$A80,Data!$C:$C,Data_Echipe!C$1)</f>
        <v>2.8720238095238093</v>
      </c>
      <c r="D80" s="97">
        <f>SUMIFS(Data!$U:$U,Data!$A:$A,Data_Echipe!$A80,Data!$C:$C,Data_Echipe!D$1)</f>
        <v>0</v>
      </c>
      <c r="E80" s="97">
        <f>SUMIFS(Data!$U:$U,Data!$A:$A,Data_Echipe!$A80,Data!$C:$C,Data_Echipe!E$1)</f>
        <v>2.2791666666666668</v>
      </c>
      <c r="F80" s="126">
        <f>SUMIFS(Data!$U:$U,Data!$A:$A,Data_Echipe!$A80,Data!$C:$C,Data_Echipe!F$1)</f>
        <v>1.5</v>
      </c>
      <c r="G80" s="97">
        <f>SUMIFS(Data!$U:$U,Data!$A:$A,Data_Echipe!$A80,Data!$C:$C,Data_Echipe!G$1)</f>
        <v>3.4375</v>
      </c>
      <c r="H80" s="97">
        <f>SUMIFS(Data!$U:$U,Data!$A:$A,Data_Echipe!$A80,Data!$C:$C,Data_Echipe!H$1)</f>
        <v>4.5533333333333337</v>
      </c>
      <c r="I80" s="97">
        <f>SUMIFS(Data!$U:$U,Data!$A:$A,Data_Echipe!$A80,Data!$C:$C,Data_Echipe!I$1)</f>
        <v>2.7315476190476189</v>
      </c>
      <c r="J80" s="97">
        <f>SUMIFS(Data!$U:$U,Data!$A:$A,Data_Echipe!$A80,Data!$C:$C,Data_Echipe!J$1)</f>
        <v>0</v>
      </c>
      <c r="K80" s="97">
        <f>SUMIFS(Data!$U:$U,Data!$A:$A,Data_Echipe!$A80,Data!$C:$C,Data_Echipe!K$1)</f>
        <v>0</v>
      </c>
      <c r="L80" s="97">
        <f>SUMIFS(Data!$U:$U,Data!$A:$A,Data_Echipe!$A80,Data!$C:$C,Data_Echipe!L$1)</f>
        <v>0</v>
      </c>
      <c r="M80" s="97">
        <f>SUMIFS(Data!$U:$U,Data!$A:$A,Data_Echipe!$A80,Data!$C:$C,Data_Echipe!M$1)</f>
        <v>0</v>
      </c>
      <c r="N80" s="97">
        <f>SUMIFS(Data!$U:$U,Data!$A:$A,Data_Echipe!$A80,Data!$C:$C,Data_Echipe!N$1)</f>
        <v>0</v>
      </c>
      <c r="O80" s="126">
        <f>SUMIFS(Data!$U:$U,Data!$A:$A,Data_Echipe!$A80,Data!$C:$C,Data_Echipe!O$1)</f>
        <v>0</v>
      </c>
      <c r="P80" s="97">
        <f>SUMIFS(Data!$U:$U,Data!$A:$A,Data_Echipe!$A80,Data!$C:$C,Data_Echipe!P$1)</f>
        <v>0</v>
      </c>
      <c r="R80" s="125" t="str">
        <f t="shared" si="4"/>
        <v>#notSYRious</v>
      </c>
    </row>
    <row r="81" spans="1:18" x14ac:dyDescent="0.35">
      <c r="A81" s="55" t="s">
        <v>124</v>
      </c>
      <c r="B81" s="97">
        <v>0</v>
      </c>
      <c r="C81" s="126">
        <f>SUMIFS(Data!$U:$U,Data!$A:$A,Data_Echipe!$A81,Data!$C:$C,Data_Echipe!C$1)</f>
        <v>4.6096666666666666</v>
      </c>
      <c r="D81" s="126">
        <f>SUMIFS(Data!$U:$U,Data!$A:$A,Data_Echipe!$A81,Data!$C:$C,Data_Echipe!D$1)</f>
        <v>5.8646666666666665</v>
      </c>
      <c r="E81" s="126">
        <f>SUMIFS(Data!$U:$U,Data!$A:$A,Data_Echipe!$A81,Data!$C:$C,Data_Echipe!E$1)</f>
        <v>4.4729999999999999</v>
      </c>
      <c r="F81" s="126">
        <f>SUMIFS(Data!$U:$U,Data!$A:$A,Data_Echipe!$A81,Data!$C:$C,Data_Echipe!F$1)</f>
        <v>5.8625000000000007</v>
      </c>
      <c r="G81" s="126">
        <f>SUMIFS(Data!$U:$U,Data!$A:$A,Data_Echipe!$A81,Data!$C:$C,Data_Echipe!G$1)</f>
        <v>5.65</v>
      </c>
      <c r="H81" s="126">
        <f>SUMIFS(Data!$U:$U,Data!$A:$A,Data_Echipe!$A81,Data!$C:$C,Data_Echipe!H$1)</f>
        <v>5.7267380952380957</v>
      </c>
      <c r="I81" s="126">
        <f>SUMIFS(Data!$U:$U,Data!$A:$A,Data_Echipe!$A81,Data!$C:$C,Data_Echipe!I$1)</f>
        <v>10.658333333333333</v>
      </c>
      <c r="J81" s="126">
        <f>SUMIFS(Data!$U:$U,Data!$A:$A,Data_Echipe!$A81,Data!$C:$C,Data_Echipe!J$1)</f>
        <v>6.75</v>
      </c>
      <c r="K81" s="126">
        <f>SUMIFS(Data!$U:$U,Data!$A:$A,Data_Echipe!$A81,Data!$C:$C,Data_Echipe!K$1)</f>
        <v>7.4749999999999996</v>
      </c>
      <c r="L81" s="126">
        <f>SUMIFS(Data!$U:$U,Data!$A:$A,Data_Echipe!$A81,Data!$C:$C,Data_Echipe!L$1)</f>
        <v>13.329166666666666</v>
      </c>
      <c r="M81" s="126">
        <f>SUMIFS(Data!$U:$U,Data!$A:$A,Data_Echipe!$A81,Data!$C:$C,Data_Echipe!M$1)</f>
        <v>7.1606666666666676</v>
      </c>
      <c r="N81" s="126">
        <f>SUMIFS(Data!$U:$U,Data!$A:$A,Data_Echipe!$A81,Data!$C:$C,Data_Echipe!N$1)</f>
        <v>5.5</v>
      </c>
      <c r="O81" s="126">
        <f>SUMIFS(Data!$U:$U,Data!$A:$A,Data_Echipe!$A81,Data!$C:$C,Data_Echipe!O$1)</f>
        <v>9.9651190476190479</v>
      </c>
      <c r="P81" s="126">
        <f>SUMIFS(Data!$U:$U,Data!$A:$A,Data_Echipe!$A81,Data!$C:$C,Data_Echipe!P$1)</f>
        <v>6.6624999999999996</v>
      </c>
      <c r="R81" s="125" t="str">
        <f t="shared" si="4"/>
        <v>#notSYRious</v>
      </c>
    </row>
    <row r="82" spans="1:18" x14ac:dyDescent="0.35">
      <c r="A82" s="55" t="s">
        <v>343</v>
      </c>
      <c r="B82" s="97">
        <v>0</v>
      </c>
      <c r="C82" s="97">
        <f>SUMIFS(Data!$U:$U,Data!$A:$A,Data_Echipe!$A82,Data!$C:$C,Data_Echipe!C$1)</f>
        <v>4.125</v>
      </c>
      <c r="D82" s="97">
        <f>SUMIFS(Data!$U:$U,Data!$A:$A,Data_Echipe!$A82,Data!$C:$C,Data_Echipe!D$1)</f>
        <v>4.0566666666666666</v>
      </c>
      <c r="E82" s="97">
        <f>SUMIFS(Data!$U:$U,Data!$A:$A,Data_Echipe!$A82,Data!$C:$C,Data_Echipe!E$1)</f>
        <v>4.1875</v>
      </c>
      <c r="F82" s="97">
        <f>SUMIFS(Data!$U:$U,Data!$A:$A,Data_Echipe!$A82,Data!$C:$C,Data_Echipe!F$1)</f>
        <v>3.7876904761904759</v>
      </c>
      <c r="G82" s="97">
        <f>SUMIFS(Data!$U:$U,Data!$A:$A,Data_Echipe!$A82,Data!$C:$C,Data_Echipe!G$1)</f>
        <v>3.4708333333333332</v>
      </c>
      <c r="H82" s="97">
        <f>SUMIFS(Data!$U:$U,Data!$A:$A,Data_Echipe!$A82,Data!$C:$C,Data_Echipe!H$1)</f>
        <v>4.4948333333333332</v>
      </c>
      <c r="I82" s="97">
        <f>SUMIFS(Data!$U:$U,Data!$A:$A,Data_Echipe!$A82,Data!$C:$C,Data_Echipe!I$1)</f>
        <v>3.7202380952380953</v>
      </c>
      <c r="J82" s="97">
        <f>SUMIFS(Data!$U:$U,Data!$A:$A,Data_Echipe!$A82,Data!$C:$C,Data_Echipe!J$1)</f>
        <v>3.4723809523809521</v>
      </c>
      <c r="K82" s="97">
        <f>SUMIFS(Data!$U:$U,Data!$A:$A,Data_Echipe!$A82,Data!$C:$C,Data_Echipe!K$1)</f>
        <v>0</v>
      </c>
      <c r="L82" s="97">
        <f>SUMIFS(Data!$U:$U,Data!$A:$A,Data_Echipe!$A82,Data!$C:$C,Data_Echipe!L$1)</f>
        <v>0</v>
      </c>
      <c r="M82" s="97">
        <f>SUMIFS(Data!$U:$U,Data!$A:$A,Data_Echipe!$A82,Data!$C:$C,Data_Echipe!M$1)</f>
        <v>0</v>
      </c>
      <c r="N82" s="97">
        <f>SUMIFS(Data!$U:$U,Data!$A:$A,Data_Echipe!$A82,Data!$C:$C,Data_Echipe!N$1)</f>
        <v>0</v>
      </c>
      <c r="O82" s="126">
        <f>SUMIFS(Data!$U:$U,Data!$A:$A,Data_Echipe!$A82,Data!$C:$C,Data_Echipe!O$1)</f>
        <v>0</v>
      </c>
      <c r="P82" s="97">
        <f>SUMIFS(Data!$U:$U,Data!$A:$A,Data_Echipe!$A82,Data!$C:$C,Data_Echipe!P$1)</f>
        <v>0</v>
      </c>
      <c r="R82" s="125" t="str">
        <f t="shared" si="4"/>
        <v>#notSYRious</v>
      </c>
    </row>
    <row r="83" spans="1:18" x14ac:dyDescent="0.35">
      <c r="A83" s="148" t="s">
        <v>358</v>
      </c>
      <c r="B83" s="149">
        <v>0</v>
      </c>
      <c r="C83" s="150">
        <f>SUMIFS(Data!$U:$U,Data!$A:$A,Data_Echipe!$A83,Data!$C:$C,Data_Echipe!C$1)</f>
        <v>1.5</v>
      </c>
      <c r="D83" s="149">
        <f>SUMIFS(Data!$U:$U,Data!$A:$A,Data_Echipe!$A83,Data!$C:$C,Data_Echipe!D$1)</f>
        <v>3.1998333333333333</v>
      </c>
      <c r="E83" s="149">
        <f>SUMIFS(Data!$U:$U,Data!$A:$A,Data_Echipe!$A83,Data!$C:$C,Data_Echipe!E$1)</f>
        <v>1.4728333333333334</v>
      </c>
      <c r="F83" s="150">
        <f>SUMIFS(Data!$U:$U,Data!$A:$A,Data_Echipe!$A83,Data!$C:$C,Data_Echipe!F$1)</f>
        <v>0.9395</v>
      </c>
      <c r="G83" s="149">
        <f>SUMIFS(Data!$U:$U,Data!$A:$A,Data_Echipe!$A83,Data!$C:$C,Data_Echipe!G$1)</f>
        <v>0</v>
      </c>
      <c r="H83" s="149">
        <f>SUMIFS(Data!$U:$U,Data!$A:$A,Data_Echipe!$A83,Data!$C:$C,Data_Echipe!H$1)</f>
        <v>0</v>
      </c>
      <c r="I83" s="149">
        <f>SUMIFS(Data!$U:$U,Data!$A:$A,Data_Echipe!$A83,Data!$C:$C,Data_Echipe!I$1)</f>
        <v>0</v>
      </c>
      <c r="J83" s="149">
        <f>SUMIFS(Data!$U:$U,Data!$A:$A,Data_Echipe!$A83,Data!$C:$C,Data_Echipe!J$1)</f>
        <v>0</v>
      </c>
      <c r="K83" s="149">
        <f>SUMIFS(Data!$U:$U,Data!$A:$A,Data_Echipe!$A83,Data!$C:$C,Data_Echipe!K$1)</f>
        <v>0</v>
      </c>
      <c r="L83" s="149">
        <f>SUMIFS(Data!$U:$U,Data!$A:$A,Data_Echipe!$A83,Data!$C:$C,Data_Echipe!L$1)</f>
        <v>0</v>
      </c>
      <c r="M83" s="149">
        <f>SUMIFS(Data!$U:$U,Data!$A:$A,Data_Echipe!$A83,Data!$C:$C,Data_Echipe!M$1)</f>
        <v>0</v>
      </c>
      <c r="N83" s="149">
        <f>SUMIFS(Data!$U:$U,Data!$A:$A,Data_Echipe!$A83,Data!$C:$C,Data_Echipe!N$1)</f>
        <v>0</v>
      </c>
      <c r="O83" s="150">
        <f>SUMIFS(Data!$U:$U,Data!$A:$A,Data_Echipe!$A83,Data!$C:$C,Data_Echipe!O$1)</f>
        <v>0</v>
      </c>
      <c r="P83" s="149">
        <f>SUMIFS(Data!$U:$U,Data!$A:$A,Data_Echipe!$A83,Data!$C:$C,Data_Echipe!P$1)</f>
        <v>0</v>
      </c>
      <c r="Q83" s="148"/>
      <c r="R83" s="148" t="str">
        <f t="shared" si="4"/>
        <v>#notSYRious</v>
      </c>
    </row>
    <row r="84" spans="1:18" x14ac:dyDescent="0.35">
      <c r="A84" s="55" t="s">
        <v>63</v>
      </c>
      <c r="B84" s="97">
        <v>0</v>
      </c>
      <c r="C84" s="97">
        <f>SUMIFS(Data!$U:$U,Data!$A:$A,Data_Echipe!$A84,Data!$C:$C,Data_Echipe!C$1)</f>
        <v>2.5803095238095235</v>
      </c>
      <c r="D84" s="97">
        <f>SUMIFS(Data!$U:$U,Data!$A:$A,Data_Echipe!$A84,Data!$C:$C,Data_Echipe!D$1)</f>
        <v>0</v>
      </c>
      <c r="E84" s="97">
        <f>SUMIFS(Data!$U:$U,Data!$A:$A,Data_Echipe!$A84,Data!$C:$C,Data_Echipe!E$1)</f>
        <v>1.5</v>
      </c>
      <c r="F84" s="97">
        <f>SUMIFS(Data!$U:$U,Data!$A:$A,Data_Echipe!$A84,Data!$C:$C,Data_Echipe!F$1)</f>
        <v>0</v>
      </c>
      <c r="G84" s="97">
        <f>SUMIFS(Data!$U:$U,Data!$A:$A,Data_Echipe!$A84,Data!$C:$C,Data_Echipe!G$1)</f>
        <v>0</v>
      </c>
      <c r="H84" s="97">
        <f>SUMIFS(Data!$U:$U,Data!$A:$A,Data_Echipe!$A84,Data!$C:$C,Data_Echipe!H$1)</f>
        <v>0</v>
      </c>
      <c r="I84" s="97">
        <f>SUMIFS(Data!$U:$U,Data!$A:$A,Data_Echipe!$A84,Data!$C:$C,Data_Echipe!I$1)</f>
        <v>2.3755952380952379</v>
      </c>
      <c r="J84" s="97">
        <f>SUMIFS(Data!$U:$U,Data!$A:$A,Data_Echipe!$A84,Data!$C:$C,Data_Echipe!J$1)</f>
        <v>0</v>
      </c>
      <c r="K84" s="97">
        <f>SUMIFS(Data!$U:$U,Data!$A:$A,Data_Echipe!$A84,Data!$C:$C,Data_Echipe!K$1)</f>
        <v>0</v>
      </c>
      <c r="L84" s="97">
        <f>SUMIFS(Data!$U:$U,Data!$A:$A,Data_Echipe!$A84,Data!$C:$C,Data_Echipe!L$1)</f>
        <v>0</v>
      </c>
      <c r="M84" s="97">
        <f>SUMIFS(Data!$U:$U,Data!$A:$A,Data_Echipe!$A84,Data!$C:$C,Data_Echipe!M$1)</f>
        <v>0</v>
      </c>
      <c r="N84" s="97">
        <f>SUMIFS(Data!$U:$U,Data!$A:$A,Data_Echipe!$A84,Data!$C:$C,Data_Echipe!N$1)</f>
        <v>3.1630000000000003</v>
      </c>
      <c r="O84" s="97">
        <f>SUMIFS(Data!$U:$U,Data!$A:$A,Data_Echipe!$A84,Data!$C:$C,Data_Echipe!O$1)</f>
        <v>0</v>
      </c>
      <c r="P84" s="97">
        <f>SUMIFS(Data!$U:$U,Data!$A:$A,Data_Echipe!$A84,Data!$C:$C,Data_Echipe!P$1)</f>
        <v>5.3100000000000005</v>
      </c>
      <c r="R84" s="125" t="str">
        <f t="shared" si="4"/>
        <v>#notSYRious</v>
      </c>
    </row>
    <row r="85" spans="1:18" x14ac:dyDescent="0.35">
      <c r="A85" s="55" t="s">
        <v>387</v>
      </c>
      <c r="B85" s="97">
        <v>0</v>
      </c>
      <c r="C85" s="97">
        <f>SUMIFS(Data!$U:$U,Data!$A:$A,Data_Echipe!$A85,Data!$C:$C,Data_Echipe!C$1)</f>
        <v>0</v>
      </c>
      <c r="D85" s="97">
        <f>SUMIFS(Data!$U:$U,Data!$A:$A,Data_Echipe!$A85,Data!$C:$C,Data_Echipe!D$1)</f>
        <v>3.50725</v>
      </c>
      <c r="E85" s="97">
        <f>SUMIFS(Data!$U:$U,Data!$A:$A,Data_Echipe!$A85,Data!$C:$C,Data_Echipe!E$1)</f>
        <v>2.4693749999999999</v>
      </c>
      <c r="F85" s="97">
        <f>SUMIFS(Data!$U:$U,Data!$A:$A,Data_Echipe!$A85,Data!$C:$C,Data_Echipe!F$1)</f>
        <v>2.6256249999999999</v>
      </c>
      <c r="G85" s="97">
        <f>SUMIFS(Data!$U:$U,Data!$A:$A,Data_Echipe!$A85,Data!$C:$C,Data_Echipe!G$1)</f>
        <v>3.3131249999999999</v>
      </c>
      <c r="H85" s="97">
        <f>SUMIFS(Data!$U:$U,Data!$A:$A,Data_Echipe!$A85,Data!$C:$C,Data_Echipe!H$1)</f>
        <v>3.7294999999999998</v>
      </c>
      <c r="I85" s="97">
        <f>SUMIFS(Data!$U:$U,Data!$A:$A,Data_Echipe!$A85,Data!$C:$C,Data_Echipe!I$1)</f>
        <v>2.4381249999999999</v>
      </c>
      <c r="J85" s="97">
        <f>SUMIFS(Data!$U:$U,Data!$A:$A,Data_Echipe!$A85,Data!$C:$C,Data_Echipe!J$1)</f>
        <v>3.25</v>
      </c>
      <c r="K85" s="97">
        <f>SUMIFS(Data!$U:$U,Data!$A:$A,Data_Echipe!$A85,Data!$C:$C,Data_Echipe!K$1)</f>
        <v>3.4375</v>
      </c>
      <c r="L85" s="97">
        <f>SUMIFS(Data!$U:$U,Data!$A:$A,Data_Echipe!$A85,Data!$C:$C,Data_Echipe!L$1)</f>
        <v>2.961875</v>
      </c>
      <c r="M85" s="97">
        <f>SUMIFS(Data!$U:$U,Data!$A:$A,Data_Echipe!$A85,Data!$C:$C,Data_Echipe!M$1)</f>
        <v>3.2506250000000003</v>
      </c>
      <c r="N85" s="97">
        <f>SUMIFS(Data!$U:$U,Data!$A:$A,Data_Echipe!$A85,Data!$C:$C,Data_Echipe!N$1)</f>
        <v>3.8125</v>
      </c>
      <c r="O85" s="97">
        <f>SUMIFS(Data!$U:$U,Data!$A:$A,Data_Echipe!$A85,Data!$C:$C,Data_Echipe!O$1)</f>
        <v>2.125</v>
      </c>
      <c r="P85" s="97">
        <f>SUMIFS(Data!$U:$U,Data!$A:$A,Data_Echipe!$A85,Data!$C:$C,Data_Echipe!P$1)</f>
        <v>2.5637499999999998</v>
      </c>
      <c r="R85" s="125" t="str">
        <f t="shared" si="4"/>
        <v>#notSYRious</v>
      </c>
    </row>
    <row r="86" spans="1:18" x14ac:dyDescent="0.35">
      <c r="A86" s="55" t="s">
        <v>390</v>
      </c>
      <c r="B86" s="97">
        <v>0</v>
      </c>
      <c r="C86" s="97">
        <f>SUMIFS(Data!$U:$U,Data!$A:$A,Data_Echipe!$A86,Data!$C:$C,Data_Echipe!C$1)</f>
        <v>0</v>
      </c>
      <c r="D86" s="97">
        <f>SUMIFS(Data!$U:$U,Data!$A:$A,Data_Echipe!$A86,Data!$C:$C,Data_Echipe!D$1)</f>
        <v>2.6398333333333333</v>
      </c>
      <c r="E86" s="97">
        <f>SUMIFS(Data!$U:$U,Data!$A:$A,Data_Echipe!$A86,Data!$C:$C,Data_Echipe!E$1)</f>
        <v>2.30125</v>
      </c>
      <c r="F86" s="97">
        <f>SUMIFS(Data!$U:$U,Data!$A:$A,Data_Echipe!$A86,Data!$C:$C,Data_Echipe!F$1)</f>
        <v>2.5887500000000001</v>
      </c>
      <c r="G86" s="97">
        <f>SUMIFS(Data!$U:$U,Data!$A:$A,Data_Echipe!$A86,Data!$C:$C,Data_Echipe!G$1)</f>
        <v>0</v>
      </c>
      <c r="H86" s="97">
        <f>SUMIFS(Data!$U:$U,Data!$A:$A,Data_Echipe!$A86,Data!$C:$C,Data_Echipe!H$1)</f>
        <v>2.3712499999999999</v>
      </c>
      <c r="I86" s="97">
        <f>SUMIFS(Data!$U:$U,Data!$A:$A,Data_Echipe!$A86,Data!$C:$C,Data_Echipe!I$1)</f>
        <v>2.53125</v>
      </c>
      <c r="J86" s="97">
        <f>SUMIFS(Data!$U:$U,Data!$A:$A,Data_Echipe!$A86,Data!$C:$C,Data_Echipe!J$1)</f>
        <v>0</v>
      </c>
      <c r="K86" s="97">
        <f>SUMIFS(Data!$U:$U,Data!$A:$A,Data_Echipe!$A86,Data!$C:$C,Data_Echipe!K$1)</f>
        <v>0</v>
      </c>
      <c r="L86" s="97">
        <f>SUMIFS(Data!$U:$U,Data!$A:$A,Data_Echipe!$A86,Data!$C:$C,Data_Echipe!L$1)</f>
        <v>2.4656250000000002</v>
      </c>
      <c r="M86" s="97">
        <f>SUMIFS(Data!$U:$U,Data!$A:$A,Data_Echipe!$A86,Data!$C:$C,Data_Echipe!M$1)</f>
        <v>0</v>
      </c>
      <c r="N86" s="97">
        <f>SUMIFS(Data!$U:$U,Data!$A:$A,Data_Echipe!$A86,Data!$C:$C,Data_Echipe!N$1)</f>
        <v>2.9525833333333331</v>
      </c>
      <c r="O86" s="97">
        <f>SUMIFS(Data!$U:$U,Data!$A:$A,Data_Echipe!$A86,Data!$C:$C,Data_Echipe!O$1)</f>
        <v>3.1389166666666664</v>
      </c>
      <c r="P86" s="97">
        <f>SUMIFS(Data!$U:$U,Data!$A:$A,Data_Echipe!$A86,Data!$C:$C,Data_Echipe!P$1)</f>
        <v>2.40625</v>
      </c>
      <c r="R86" s="125" t="str">
        <f t="shared" si="4"/>
        <v>#notSYRious</v>
      </c>
    </row>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106C2-3B04-45E4-91A3-FCD33D858C07}">
  <dimension ref="A1:B23"/>
  <sheetViews>
    <sheetView workbookViewId="0">
      <selection activeCell="F25" sqref="F25"/>
    </sheetView>
  </sheetViews>
  <sheetFormatPr defaultRowHeight="14.5" x14ac:dyDescent="0.35"/>
  <cols>
    <col min="1" max="1" width="21.54296875" bestFit="1" customWidth="1"/>
  </cols>
  <sheetData>
    <row r="1" spans="1:2" x14ac:dyDescent="0.35">
      <c r="A1" t="s">
        <v>388</v>
      </c>
    </row>
    <row r="2" spans="1:2" x14ac:dyDescent="0.35">
      <c r="A2" t="s">
        <v>304</v>
      </c>
      <c r="B2" t="s">
        <v>103</v>
      </c>
    </row>
    <row r="3" spans="1:2" x14ac:dyDescent="0.35">
      <c r="A3" t="s">
        <v>392</v>
      </c>
      <c r="B3" t="s">
        <v>103</v>
      </c>
    </row>
    <row r="4" spans="1:2" x14ac:dyDescent="0.35">
      <c r="A4" t="s">
        <v>393</v>
      </c>
      <c r="B4" t="s">
        <v>103</v>
      </c>
    </row>
    <row r="5" spans="1:2" x14ac:dyDescent="0.35">
      <c r="A5" t="s">
        <v>394</v>
      </c>
      <c r="B5" t="s">
        <v>103</v>
      </c>
    </row>
    <row r="6" spans="1:2" x14ac:dyDescent="0.35">
      <c r="A6" t="s">
        <v>395</v>
      </c>
    </row>
    <row r="7" spans="1:2" x14ac:dyDescent="0.35">
      <c r="A7" t="s">
        <v>398</v>
      </c>
      <c r="B7" t="s">
        <v>103</v>
      </c>
    </row>
    <row r="11" spans="1:2" x14ac:dyDescent="0.35">
      <c r="B11" s="104"/>
    </row>
    <row r="12" spans="1:2" x14ac:dyDescent="0.35">
      <c r="B12" s="104"/>
    </row>
    <row r="13" spans="1:2" x14ac:dyDescent="0.35">
      <c r="B13" s="104"/>
    </row>
    <row r="14" spans="1:2" x14ac:dyDescent="0.35">
      <c r="B14" s="104"/>
    </row>
    <row r="15" spans="1:2" x14ac:dyDescent="0.35">
      <c r="B15" s="104"/>
    </row>
    <row r="16" spans="1:2" x14ac:dyDescent="0.35">
      <c r="B16" s="104"/>
    </row>
    <row r="17" spans="2:2" x14ac:dyDescent="0.35">
      <c r="B17" s="104"/>
    </row>
    <row r="18" spans="2:2" x14ac:dyDescent="0.35">
      <c r="B18" s="104"/>
    </row>
    <row r="19" spans="2:2" x14ac:dyDescent="0.35">
      <c r="B19" s="104"/>
    </row>
    <row r="20" spans="2:2" x14ac:dyDescent="0.35">
      <c r="B20" s="104"/>
    </row>
    <row r="21" spans="2:2" x14ac:dyDescent="0.35">
      <c r="B21" s="104"/>
    </row>
    <row r="22" spans="2:2" x14ac:dyDescent="0.35">
      <c r="B22" s="104"/>
    </row>
    <row r="23" spans="2:2" x14ac:dyDescent="0.35">
      <c r="B23" s="10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31"/>
  <sheetViews>
    <sheetView workbookViewId="0">
      <selection activeCell="H8" sqref="H8"/>
    </sheetView>
  </sheetViews>
  <sheetFormatPr defaultRowHeight="14.5" x14ac:dyDescent="0.35"/>
  <cols>
    <col min="1" max="1" width="24.1796875" bestFit="1" customWidth="1"/>
  </cols>
  <sheetData>
    <row r="1" spans="1:3" x14ac:dyDescent="0.35">
      <c r="A1" t="s">
        <v>247</v>
      </c>
      <c r="C1" t="s">
        <v>299</v>
      </c>
    </row>
    <row r="2" spans="1:3" x14ac:dyDescent="0.35">
      <c r="A2" t="s">
        <v>63</v>
      </c>
      <c r="C2" s="13" t="s">
        <v>285</v>
      </c>
    </row>
    <row r="3" spans="1:3" x14ac:dyDescent="0.35">
      <c r="A3" t="s">
        <v>227</v>
      </c>
      <c r="C3" t="s">
        <v>58</v>
      </c>
    </row>
    <row r="4" spans="1:3" x14ac:dyDescent="0.35">
      <c r="A4" t="s">
        <v>251</v>
      </c>
      <c r="C4" t="s">
        <v>246</v>
      </c>
    </row>
    <row r="5" spans="1:3" x14ac:dyDescent="0.35">
      <c r="A5" t="s">
        <v>62</v>
      </c>
      <c r="C5" t="s">
        <v>278</v>
      </c>
    </row>
    <row r="6" spans="1:3" x14ac:dyDescent="0.35">
      <c r="A6" t="s">
        <v>284</v>
      </c>
      <c r="C6" t="s">
        <v>64</v>
      </c>
    </row>
    <row r="7" spans="1:3" x14ac:dyDescent="0.35">
      <c r="A7" t="s">
        <v>248</v>
      </c>
      <c r="C7" t="s">
        <v>292</v>
      </c>
    </row>
    <row r="8" spans="1:3" x14ac:dyDescent="0.35">
      <c r="A8" t="s">
        <v>225</v>
      </c>
      <c r="C8" t="s">
        <v>247</v>
      </c>
    </row>
    <row r="9" spans="1:3" x14ac:dyDescent="0.35">
      <c r="A9" t="s">
        <v>294</v>
      </c>
      <c r="C9" t="s">
        <v>284</v>
      </c>
    </row>
    <row r="10" spans="1:3" x14ac:dyDescent="0.35">
      <c r="A10" t="s">
        <v>243</v>
      </c>
      <c r="C10" t="s">
        <v>208</v>
      </c>
    </row>
    <row r="11" spans="1:3" x14ac:dyDescent="0.35">
      <c r="A11" t="s">
        <v>59</v>
      </c>
      <c r="C11" t="s">
        <v>62</v>
      </c>
    </row>
    <row r="12" spans="1:3" x14ac:dyDescent="0.35">
      <c r="A12" t="s">
        <v>285</v>
      </c>
      <c r="C12" t="s">
        <v>63</v>
      </c>
    </row>
    <row r="13" spans="1:3" x14ac:dyDescent="0.35">
      <c r="A13" t="s">
        <v>203</v>
      </c>
      <c r="C13" t="s">
        <v>243</v>
      </c>
    </row>
    <row r="14" spans="1:3" x14ac:dyDescent="0.35">
      <c r="A14" t="s">
        <v>252</v>
      </c>
      <c r="C14" s="72" t="s">
        <v>116</v>
      </c>
    </row>
    <row r="15" spans="1:3" x14ac:dyDescent="0.35">
      <c r="A15" t="s">
        <v>208</v>
      </c>
      <c r="C15" t="s">
        <v>41</v>
      </c>
    </row>
    <row r="16" spans="1:3" x14ac:dyDescent="0.35">
      <c r="A16" t="s">
        <v>279</v>
      </c>
      <c r="C16" t="s">
        <v>100</v>
      </c>
    </row>
    <row r="17" spans="1:3" x14ac:dyDescent="0.35">
      <c r="A17" t="s">
        <v>178</v>
      </c>
      <c r="C17" t="s">
        <v>251</v>
      </c>
    </row>
    <row r="18" spans="1:3" x14ac:dyDescent="0.35">
      <c r="A18" t="s">
        <v>41</v>
      </c>
      <c r="C18" t="s">
        <v>279</v>
      </c>
    </row>
    <row r="19" spans="1:3" x14ac:dyDescent="0.35">
      <c r="A19" t="s">
        <v>288</v>
      </c>
      <c r="C19" t="s">
        <v>178</v>
      </c>
    </row>
    <row r="20" spans="1:3" x14ac:dyDescent="0.35">
      <c r="A20" t="s">
        <v>132</v>
      </c>
      <c r="C20" t="s">
        <v>203</v>
      </c>
    </row>
    <row r="21" spans="1:3" x14ac:dyDescent="0.35">
      <c r="A21" t="s">
        <v>246</v>
      </c>
      <c r="C21" t="s">
        <v>132</v>
      </c>
    </row>
    <row r="22" spans="1:3" x14ac:dyDescent="0.35">
      <c r="A22" t="s">
        <v>100</v>
      </c>
      <c r="C22" t="s">
        <v>225</v>
      </c>
    </row>
    <row r="23" spans="1:3" x14ac:dyDescent="0.35">
      <c r="A23" t="s">
        <v>64</v>
      </c>
      <c r="C23" t="s">
        <v>252</v>
      </c>
    </row>
    <row r="24" spans="1:3" x14ac:dyDescent="0.35">
      <c r="A24" t="s">
        <v>58</v>
      </c>
      <c r="C24" t="s">
        <v>288</v>
      </c>
    </row>
    <row r="25" spans="1:3" x14ac:dyDescent="0.35">
      <c r="A25" t="s">
        <v>116</v>
      </c>
      <c r="C25" t="s">
        <v>294</v>
      </c>
    </row>
    <row r="26" spans="1:3" x14ac:dyDescent="0.35">
      <c r="A26" t="s">
        <v>277</v>
      </c>
      <c r="C26" t="s">
        <v>275</v>
      </c>
    </row>
    <row r="27" spans="1:3" x14ac:dyDescent="0.35">
      <c r="A27" t="s">
        <v>242</v>
      </c>
      <c r="C27" t="s">
        <v>59</v>
      </c>
    </row>
    <row r="28" spans="1:3" x14ac:dyDescent="0.35">
      <c r="A28" t="s">
        <v>275</v>
      </c>
      <c r="C28" t="s">
        <v>277</v>
      </c>
    </row>
    <row r="29" spans="1:3" x14ac:dyDescent="0.35">
      <c r="A29" t="s">
        <v>278</v>
      </c>
      <c r="C29" t="s">
        <v>248</v>
      </c>
    </row>
    <row r="30" spans="1:3" x14ac:dyDescent="0.35">
      <c r="A30" t="s">
        <v>292</v>
      </c>
      <c r="C30" t="s">
        <v>227</v>
      </c>
    </row>
    <row r="31" spans="1:3" x14ac:dyDescent="0.35">
      <c r="C31" t="s">
        <v>242</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AE75"/>
  <sheetViews>
    <sheetView topLeftCell="A16" workbookViewId="0">
      <selection activeCell="X43" sqref="X43"/>
    </sheetView>
  </sheetViews>
  <sheetFormatPr defaultColWidth="9.1796875" defaultRowHeight="12" customHeight="1" x14ac:dyDescent="0.3"/>
  <cols>
    <col min="1" max="4" width="9.1796875" style="1"/>
    <col min="5" max="5" width="1.81640625" style="1" customWidth="1"/>
    <col min="6" max="6" width="9.1796875" style="1"/>
    <col min="7" max="7" width="9.453125" style="1" bestFit="1" customWidth="1"/>
    <col min="8" max="9" width="9.1796875" style="1"/>
    <col min="10" max="10" width="1.453125" style="1" customWidth="1"/>
    <col min="11" max="11" width="1.54296875" style="1" customWidth="1"/>
    <col min="12" max="12" width="7.1796875" style="1" bestFit="1" customWidth="1"/>
    <col min="13" max="13" width="11" style="1" customWidth="1"/>
    <col min="14" max="14" width="11.81640625" style="1" customWidth="1"/>
    <col min="15" max="17" width="9.1796875" style="1" customWidth="1"/>
    <col min="18" max="18" width="6.1796875" style="1" customWidth="1"/>
    <col min="19" max="19" width="2.453125" style="1" customWidth="1"/>
    <col min="20" max="20" width="9.1796875" style="1"/>
    <col min="21" max="21" width="9.1796875" style="91"/>
    <col min="22" max="22" width="1.54296875" style="1" customWidth="1"/>
    <col min="23" max="23" width="6.1796875" style="1" customWidth="1"/>
    <col min="24" max="24" width="9.1796875" style="1"/>
    <col min="25" max="25" width="9.1796875" style="91"/>
    <col min="26" max="26" width="9.1796875" style="1"/>
    <col min="27" max="27" width="1.81640625" style="1" customWidth="1"/>
    <col min="28" max="30" width="9.1796875" style="1"/>
    <col min="31" max="31" width="9.1796875" style="91"/>
    <col min="32" max="16384" width="9.1796875" style="1"/>
  </cols>
  <sheetData>
    <row r="1" spans="1:31" ht="24" customHeight="1" x14ac:dyDescent="0.3">
      <c r="A1" s="16" t="s">
        <v>68</v>
      </c>
      <c r="B1" s="2" t="s">
        <v>24</v>
      </c>
      <c r="C1" s="3" t="s">
        <v>174</v>
      </c>
      <c r="D1" s="2" t="s">
        <v>26</v>
      </c>
      <c r="E1" s="4"/>
      <c r="F1" s="17" t="s">
        <v>70</v>
      </c>
      <c r="G1" s="6" t="s">
        <v>24</v>
      </c>
      <c r="H1" s="5" t="s">
        <v>27</v>
      </c>
      <c r="I1" s="6" t="s">
        <v>26</v>
      </c>
      <c r="J1" s="4"/>
      <c r="K1" s="4"/>
      <c r="L1" s="14" t="s">
        <v>28</v>
      </c>
      <c r="M1" s="14" t="s">
        <v>91</v>
      </c>
      <c r="N1" s="14" t="s">
        <v>92</v>
      </c>
      <c r="O1" s="27" t="s">
        <v>33</v>
      </c>
      <c r="P1" s="27" t="s">
        <v>35</v>
      </c>
      <c r="Q1" s="27" t="s">
        <v>220</v>
      </c>
      <c r="R1" s="27" t="s">
        <v>105</v>
      </c>
      <c r="T1" s="2" t="s">
        <v>90</v>
      </c>
      <c r="U1" s="90" t="s">
        <v>25</v>
      </c>
      <c r="W1" s="17" t="s">
        <v>89</v>
      </c>
      <c r="X1" s="6" t="s">
        <v>24</v>
      </c>
      <c r="Y1" s="92" t="s">
        <v>27</v>
      </c>
      <c r="Z1" s="6" t="s">
        <v>26</v>
      </c>
    </row>
    <row r="2" spans="1:31" ht="12" customHeight="1" x14ac:dyDescent="0.3">
      <c r="A2" s="7" t="s">
        <v>29</v>
      </c>
      <c r="B2" s="86">
        <v>0</v>
      </c>
      <c r="C2" s="86">
        <v>0</v>
      </c>
      <c r="D2" s="86">
        <v>2.4900000000000002</v>
      </c>
      <c r="E2" s="4"/>
      <c r="F2" s="8" t="s">
        <v>29</v>
      </c>
      <c r="G2" s="9">
        <v>1.1574074074074073E-5</v>
      </c>
      <c r="H2" s="88">
        <v>5</v>
      </c>
      <c r="I2" s="9">
        <v>3.1249999999999997E-3</v>
      </c>
      <c r="J2" s="4"/>
      <c r="K2" s="4"/>
      <c r="L2" s="77">
        <v>1</v>
      </c>
      <c r="M2" s="4">
        <v>44935</v>
      </c>
      <c r="N2" s="4">
        <f>M2+6</f>
        <v>44941</v>
      </c>
      <c r="O2" s="10">
        <v>0.5</v>
      </c>
      <c r="P2" s="10">
        <v>0.25</v>
      </c>
      <c r="Q2" s="10">
        <v>0.25</v>
      </c>
      <c r="R2" s="10" t="s">
        <v>106</v>
      </c>
      <c r="T2" s="94">
        <v>0</v>
      </c>
      <c r="U2" s="86">
        <v>0</v>
      </c>
      <c r="W2" s="8" t="s">
        <v>29</v>
      </c>
      <c r="X2" s="9">
        <v>2.5000000000000001E-3</v>
      </c>
      <c r="Y2" s="88">
        <v>9.8999999999999986</v>
      </c>
      <c r="Z2" s="9">
        <v>2.5462962962963E-3</v>
      </c>
      <c r="AD2" s="55"/>
      <c r="AE2" s="91">
        <v>6.6</v>
      </c>
    </row>
    <row r="3" spans="1:31" ht="12" customHeight="1" x14ac:dyDescent="0.3">
      <c r="A3" s="7" t="s">
        <v>29</v>
      </c>
      <c r="B3" s="86">
        <v>2.5</v>
      </c>
      <c r="C3" s="86" t="s">
        <v>173</v>
      </c>
      <c r="D3" s="86">
        <v>20</v>
      </c>
      <c r="E3" s="4"/>
      <c r="F3" s="8" t="s">
        <v>29</v>
      </c>
      <c r="G3" s="9">
        <v>3.1365740740740742E-3</v>
      </c>
      <c r="H3" s="88">
        <v>4.5</v>
      </c>
      <c r="I3" s="9">
        <v>3.2986111111111111E-3</v>
      </c>
      <c r="J3" s="4"/>
      <c r="K3" s="4"/>
      <c r="L3" s="77">
        <v>2</v>
      </c>
      <c r="M3" s="4">
        <f>M2+7</f>
        <v>44942</v>
      </c>
      <c r="N3" s="4">
        <f>N2+7</f>
        <v>44948</v>
      </c>
      <c r="O3" s="10">
        <v>0.25</v>
      </c>
      <c r="P3" s="10">
        <v>0.5</v>
      </c>
      <c r="Q3" s="10">
        <v>0.25</v>
      </c>
      <c r="R3" s="10" t="s">
        <v>107</v>
      </c>
      <c r="T3" s="94">
        <v>23</v>
      </c>
      <c r="U3" s="86">
        <v>0.1</v>
      </c>
      <c r="W3" s="8" t="s">
        <v>29</v>
      </c>
      <c r="X3" s="9">
        <v>2.5578703703703705E-3</v>
      </c>
      <c r="Y3" s="88">
        <v>8.25</v>
      </c>
      <c r="Z3" s="9">
        <v>2.6041666666666665E-3</v>
      </c>
      <c r="AD3" s="55"/>
      <c r="AE3" s="91">
        <v>5.5</v>
      </c>
    </row>
    <row r="4" spans="1:31" ht="12" customHeight="1" x14ac:dyDescent="0.3">
      <c r="A4" s="59" t="s">
        <v>29</v>
      </c>
      <c r="B4" s="87">
        <v>20</v>
      </c>
      <c r="C4" s="87">
        <v>5</v>
      </c>
      <c r="D4" s="87"/>
      <c r="E4" s="4"/>
      <c r="F4" s="8" t="s">
        <v>29</v>
      </c>
      <c r="G4" s="9">
        <v>3.3101851851851851E-3</v>
      </c>
      <c r="H4" s="88">
        <v>4</v>
      </c>
      <c r="I4" s="9">
        <v>3.472222222222222E-3</v>
      </c>
      <c r="J4" s="4"/>
      <c r="K4" s="4"/>
      <c r="L4" s="77">
        <v>3</v>
      </c>
      <c r="M4" s="4">
        <f t="shared" ref="M4:M16" si="0">M3+7</f>
        <v>44949</v>
      </c>
      <c r="N4" s="4">
        <f t="shared" ref="N4:N16" si="1">N3+7</f>
        <v>44955</v>
      </c>
      <c r="O4" s="10">
        <v>0.25</v>
      </c>
      <c r="P4" s="10">
        <v>0.25</v>
      </c>
      <c r="Q4" s="10">
        <v>0.5</v>
      </c>
      <c r="R4" s="10" t="s">
        <v>207</v>
      </c>
      <c r="T4" s="94">
        <f>T3+2</f>
        <v>25</v>
      </c>
      <c r="U4" s="86">
        <v>0.2</v>
      </c>
      <c r="W4" s="8" t="s">
        <v>29</v>
      </c>
      <c r="X4" s="9">
        <v>2.615740740740741E-3</v>
      </c>
      <c r="Y4" s="88">
        <v>6.75</v>
      </c>
      <c r="Z4" s="9">
        <v>2.6620370370370374E-3</v>
      </c>
      <c r="AD4" s="55"/>
      <c r="AE4" s="91">
        <v>4.5</v>
      </c>
    </row>
    <row r="5" spans="1:31" ht="12" customHeight="1" x14ac:dyDescent="0.3">
      <c r="A5" s="59" t="s">
        <v>30</v>
      </c>
      <c r="B5" s="87">
        <v>0</v>
      </c>
      <c r="C5" s="87">
        <v>0</v>
      </c>
      <c r="D5" s="87">
        <v>2.99</v>
      </c>
      <c r="E5" s="4"/>
      <c r="F5" s="8" t="s">
        <v>29</v>
      </c>
      <c r="G5" s="9">
        <v>3.483796296296296E-3</v>
      </c>
      <c r="H5" s="88">
        <v>3.5</v>
      </c>
      <c r="I5" s="9">
        <v>3.645833333333333E-3</v>
      </c>
      <c r="J5" s="4"/>
      <c r="K5" s="4"/>
      <c r="L5" s="77">
        <v>4</v>
      </c>
      <c r="M5" s="4">
        <f t="shared" si="0"/>
        <v>44956</v>
      </c>
      <c r="N5" s="4">
        <f t="shared" si="1"/>
        <v>44962</v>
      </c>
      <c r="O5" s="10">
        <v>0.5</v>
      </c>
      <c r="P5" s="10">
        <v>0.25</v>
      </c>
      <c r="Q5" s="10">
        <v>0.25</v>
      </c>
      <c r="R5" s="10" t="s">
        <v>106</v>
      </c>
      <c r="T5" s="94">
        <f>T4+2</f>
        <v>27</v>
      </c>
      <c r="U5" s="86">
        <v>0.3</v>
      </c>
      <c r="W5" s="8" t="s">
        <v>29</v>
      </c>
      <c r="X5" s="9">
        <v>2.673611111111111E-3</v>
      </c>
      <c r="Y5" s="88">
        <v>5.4</v>
      </c>
      <c r="Z5" s="9">
        <v>2.7199074074074074E-3</v>
      </c>
      <c r="AD5" s="55"/>
      <c r="AE5" s="91">
        <v>3.6</v>
      </c>
    </row>
    <row r="6" spans="1:31" ht="12" customHeight="1" x14ac:dyDescent="0.3">
      <c r="A6" s="59" t="s">
        <v>30</v>
      </c>
      <c r="B6" s="87">
        <v>3</v>
      </c>
      <c r="C6" s="87" t="s">
        <v>175</v>
      </c>
      <c r="D6" s="87">
        <v>21</v>
      </c>
      <c r="E6" s="4"/>
      <c r="F6" s="8" t="s">
        <v>29</v>
      </c>
      <c r="G6" s="9">
        <v>3.6574074074074074E-3</v>
      </c>
      <c r="H6" s="88">
        <v>3</v>
      </c>
      <c r="I6" s="9">
        <v>3.8194444444444443E-3</v>
      </c>
      <c r="J6" s="4"/>
      <c r="K6" s="4"/>
      <c r="L6" s="77">
        <v>5</v>
      </c>
      <c r="M6" s="4">
        <f t="shared" si="0"/>
        <v>44963</v>
      </c>
      <c r="N6" s="4">
        <f t="shared" si="1"/>
        <v>44969</v>
      </c>
      <c r="O6" s="10">
        <v>0.25</v>
      </c>
      <c r="P6" s="10">
        <v>0.5</v>
      </c>
      <c r="Q6" s="10">
        <v>0.25</v>
      </c>
      <c r="R6" s="10" t="s">
        <v>107</v>
      </c>
      <c r="T6" s="94">
        <f t="shared" ref="T6:T41" si="2">T5+2</f>
        <v>29</v>
      </c>
      <c r="U6" s="86">
        <v>0.4</v>
      </c>
      <c r="W6" s="8" t="s">
        <v>29</v>
      </c>
      <c r="X6" s="9">
        <v>2.7314814814814819E-3</v>
      </c>
      <c r="Y6" s="88">
        <v>4.1999999999999993</v>
      </c>
      <c r="Z6" s="9">
        <v>2.7777777777777779E-3</v>
      </c>
      <c r="AD6" s="55"/>
      <c r="AE6" s="91">
        <v>2.8</v>
      </c>
    </row>
    <row r="7" spans="1:31" ht="12" customHeight="1" x14ac:dyDescent="0.3">
      <c r="A7" s="59" t="s">
        <v>30</v>
      </c>
      <c r="B7" s="87">
        <v>21</v>
      </c>
      <c r="C7" s="87">
        <v>5</v>
      </c>
      <c r="D7" s="87"/>
      <c r="E7" s="4"/>
      <c r="F7" s="8" t="s">
        <v>29</v>
      </c>
      <c r="G7" s="9">
        <v>3.8310185185185183E-3</v>
      </c>
      <c r="H7" s="88">
        <v>2.5</v>
      </c>
      <c r="I7" s="9">
        <v>3.9930555555555561E-3</v>
      </c>
      <c r="J7" s="4"/>
      <c r="K7" s="4"/>
      <c r="L7" s="77">
        <v>6</v>
      </c>
      <c r="M7" s="4">
        <f t="shared" si="0"/>
        <v>44970</v>
      </c>
      <c r="N7" s="4">
        <f t="shared" si="1"/>
        <v>44976</v>
      </c>
      <c r="O7" s="10">
        <v>0.25</v>
      </c>
      <c r="P7" s="10">
        <v>0.25</v>
      </c>
      <c r="Q7" s="10">
        <v>0.5</v>
      </c>
      <c r="R7" s="10" t="s">
        <v>207</v>
      </c>
      <c r="T7" s="94">
        <f t="shared" si="2"/>
        <v>31</v>
      </c>
      <c r="U7" s="86">
        <v>0.5</v>
      </c>
      <c r="W7" s="8" t="s">
        <v>29</v>
      </c>
      <c r="X7" s="9">
        <v>2.7893518518518519E-3</v>
      </c>
      <c r="Y7" s="88">
        <v>3.1500000000000004</v>
      </c>
      <c r="Z7" s="9">
        <v>2.8356481481481479E-3</v>
      </c>
      <c r="AD7" s="55"/>
      <c r="AE7" s="91">
        <v>2.1</v>
      </c>
    </row>
    <row r="8" spans="1:31" s="55" customFormat="1" ht="12" customHeight="1" x14ac:dyDescent="0.3">
      <c r="A8" s="4"/>
      <c r="B8" s="4"/>
      <c r="C8" s="4"/>
      <c r="D8" s="4"/>
      <c r="E8" s="60"/>
      <c r="F8" s="61" t="s">
        <v>29</v>
      </c>
      <c r="G8" s="62">
        <v>4.0046296296296297E-3</v>
      </c>
      <c r="H8" s="89">
        <v>2</v>
      </c>
      <c r="I8" s="62">
        <v>4.1666666666666666E-3</v>
      </c>
      <c r="J8" s="60"/>
      <c r="K8" s="60"/>
      <c r="L8" s="77">
        <v>7</v>
      </c>
      <c r="M8" s="4">
        <f t="shared" si="0"/>
        <v>44977</v>
      </c>
      <c r="N8" s="4">
        <f t="shared" si="1"/>
        <v>44983</v>
      </c>
      <c r="O8" s="10">
        <v>0.5</v>
      </c>
      <c r="P8" s="10">
        <v>0.25</v>
      </c>
      <c r="Q8" s="10">
        <v>0.25</v>
      </c>
      <c r="R8" s="10" t="s">
        <v>106</v>
      </c>
      <c r="T8" s="95">
        <f t="shared" si="2"/>
        <v>33</v>
      </c>
      <c r="U8" s="87">
        <v>0.6</v>
      </c>
      <c r="W8" s="61" t="s">
        <v>29</v>
      </c>
      <c r="X8" s="62">
        <v>2.8472222222222219E-3</v>
      </c>
      <c r="Y8" s="89">
        <v>2.25</v>
      </c>
      <c r="Z8" s="62">
        <v>2.8935185185185188E-3</v>
      </c>
      <c r="AE8" s="93">
        <v>1.5</v>
      </c>
    </row>
    <row r="9" spans="1:31" s="55" customFormat="1" ht="12" customHeight="1" x14ac:dyDescent="0.3">
      <c r="A9" s="4"/>
      <c r="B9" s="4"/>
      <c r="C9" s="4"/>
      <c r="D9" s="4"/>
      <c r="E9" s="60"/>
      <c r="F9" s="8" t="s">
        <v>29</v>
      </c>
      <c r="G9" s="9">
        <v>4.1782407407407402E-3</v>
      </c>
      <c r="H9" s="113">
        <v>1.75</v>
      </c>
      <c r="I9" s="9">
        <v>4.3402777777777797E-3</v>
      </c>
      <c r="J9" s="60"/>
      <c r="K9" s="60"/>
      <c r="L9" s="77">
        <v>8</v>
      </c>
      <c r="M9" s="4">
        <f t="shared" si="0"/>
        <v>44984</v>
      </c>
      <c r="N9" s="4">
        <f t="shared" si="1"/>
        <v>44990</v>
      </c>
      <c r="O9" s="10">
        <v>0.25</v>
      </c>
      <c r="P9" s="10">
        <v>0.5</v>
      </c>
      <c r="Q9" s="10">
        <v>0.25</v>
      </c>
      <c r="R9" s="10" t="s">
        <v>107</v>
      </c>
      <c r="T9" s="95">
        <f t="shared" si="2"/>
        <v>35</v>
      </c>
      <c r="U9" s="87">
        <v>0.7</v>
      </c>
      <c r="W9" s="61" t="s">
        <v>29</v>
      </c>
      <c r="X9" s="62">
        <v>2.9050925925925928E-3</v>
      </c>
      <c r="Y9" s="89">
        <v>1.4999999999999998</v>
      </c>
      <c r="Z9" s="62">
        <v>2.9513888888888888E-3</v>
      </c>
      <c r="AE9" s="93">
        <v>0.99999999999999989</v>
      </c>
    </row>
    <row r="10" spans="1:31" s="55" customFormat="1" ht="12" customHeight="1" x14ac:dyDescent="0.3">
      <c r="A10" s="4"/>
      <c r="B10" s="4"/>
      <c r="C10" s="64"/>
      <c r="D10" s="4"/>
      <c r="E10" s="60"/>
      <c r="F10" s="8" t="s">
        <v>29</v>
      </c>
      <c r="G10" s="9">
        <v>4.3518518518518498E-3</v>
      </c>
      <c r="H10" s="88">
        <v>1.5</v>
      </c>
      <c r="I10" s="9">
        <v>4.5138888888888902E-3</v>
      </c>
      <c r="J10" s="60"/>
      <c r="K10" s="60"/>
      <c r="L10" s="77">
        <v>9</v>
      </c>
      <c r="M10" s="4">
        <f t="shared" si="0"/>
        <v>44991</v>
      </c>
      <c r="N10" s="4">
        <f t="shared" si="1"/>
        <v>44997</v>
      </c>
      <c r="O10" s="10">
        <v>0.25</v>
      </c>
      <c r="P10" s="10">
        <v>0.25</v>
      </c>
      <c r="Q10" s="10">
        <v>0.5</v>
      </c>
      <c r="R10" s="10" t="s">
        <v>207</v>
      </c>
      <c r="T10" s="95">
        <f t="shared" si="2"/>
        <v>37</v>
      </c>
      <c r="U10" s="87">
        <v>0.8</v>
      </c>
      <c r="W10" s="61" t="s">
        <v>29</v>
      </c>
      <c r="X10" s="62">
        <v>2.9629629629629628E-3</v>
      </c>
      <c r="Y10" s="89">
        <v>0.89999999999999991</v>
      </c>
      <c r="Z10" s="62">
        <v>3.0092592592592588E-3</v>
      </c>
      <c r="AE10" s="93">
        <v>0.6</v>
      </c>
    </row>
    <row r="11" spans="1:31" s="55" customFormat="1" ht="12" customHeight="1" x14ac:dyDescent="0.3">
      <c r="A11" s="4"/>
      <c r="B11" s="63"/>
      <c r="C11" s="63"/>
      <c r="D11" s="65"/>
      <c r="E11" s="60"/>
      <c r="F11" s="8" t="s">
        <v>29</v>
      </c>
      <c r="G11" s="62">
        <v>4.5254629629629603E-3</v>
      </c>
      <c r="H11" s="113">
        <v>1.25</v>
      </c>
      <c r="I11" s="62">
        <v>4.6874999999999998E-3</v>
      </c>
      <c r="J11" s="60"/>
      <c r="K11" s="60"/>
      <c r="L11" s="77">
        <v>10</v>
      </c>
      <c r="M11" s="4">
        <f t="shared" si="0"/>
        <v>44998</v>
      </c>
      <c r="N11" s="4">
        <f t="shared" si="1"/>
        <v>45004</v>
      </c>
      <c r="O11" s="10">
        <v>0.5</v>
      </c>
      <c r="P11" s="10">
        <v>0.25</v>
      </c>
      <c r="Q11" s="10">
        <v>0.25</v>
      </c>
      <c r="R11" s="10" t="s">
        <v>106</v>
      </c>
      <c r="T11" s="95">
        <f t="shared" si="2"/>
        <v>39</v>
      </c>
      <c r="U11" s="87">
        <v>0.9</v>
      </c>
      <c r="W11" s="61" t="s">
        <v>29</v>
      </c>
      <c r="X11" s="62">
        <v>3.0208333333333333E-3</v>
      </c>
      <c r="Y11" s="89">
        <v>0.45000000000000007</v>
      </c>
      <c r="Z11" s="62">
        <v>3.0671296296296297E-3</v>
      </c>
      <c r="AE11" s="93">
        <v>0.30000000000000004</v>
      </c>
    </row>
    <row r="12" spans="1:31" s="55" customFormat="1" ht="12" customHeight="1" x14ac:dyDescent="0.3">
      <c r="A12" s="4"/>
      <c r="B12" s="63"/>
      <c r="C12" s="63"/>
      <c r="D12" s="65"/>
      <c r="E12" s="60"/>
      <c r="F12" s="8" t="s">
        <v>29</v>
      </c>
      <c r="G12" s="9">
        <v>4.6990740740740803E-3</v>
      </c>
      <c r="H12" s="88">
        <v>1</v>
      </c>
      <c r="I12" s="9">
        <v>4.8611111111111103E-3</v>
      </c>
      <c r="J12" s="60"/>
      <c r="K12" s="60"/>
      <c r="L12" s="77">
        <v>11</v>
      </c>
      <c r="M12" s="4">
        <f t="shared" si="0"/>
        <v>45005</v>
      </c>
      <c r="N12" s="4">
        <f t="shared" si="1"/>
        <v>45011</v>
      </c>
      <c r="O12" s="10">
        <v>0.25</v>
      </c>
      <c r="P12" s="10">
        <v>0.5</v>
      </c>
      <c r="Q12" s="10">
        <v>0.25</v>
      </c>
      <c r="R12" s="10" t="s">
        <v>107</v>
      </c>
      <c r="T12" s="95">
        <f t="shared" si="2"/>
        <v>41</v>
      </c>
      <c r="U12" s="87">
        <v>1</v>
      </c>
      <c r="W12" s="61" t="s">
        <v>29</v>
      </c>
      <c r="X12" s="62">
        <v>3.0787037037037037E-3</v>
      </c>
      <c r="Y12" s="89">
        <v>0.15000000000000002</v>
      </c>
      <c r="Z12" s="62">
        <v>3.1134259259259257E-3</v>
      </c>
      <c r="AE12" s="93">
        <v>0.1</v>
      </c>
    </row>
    <row r="13" spans="1:31" s="55" customFormat="1" ht="12" customHeight="1" x14ac:dyDescent="0.3">
      <c r="A13" s="4"/>
      <c r="B13" s="63"/>
      <c r="C13" s="63"/>
      <c r="D13" s="65"/>
      <c r="E13" s="60"/>
      <c r="F13" s="8" t="s">
        <v>29</v>
      </c>
      <c r="G13" s="9">
        <v>4.87268518518519E-3</v>
      </c>
      <c r="H13" s="113">
        <v>0.75</v>
      </c>
      <c r="I13" s="9">
        <v>5.0347222222222199E-3</v>
      </c>
      <c r="J13" s="60"/>
      <c r="K13" s="60"/>
      <c r="L13" s="77">
        <v>12</v>
      </c>
      <c r="M13" s="4">
        <f t="shared" si="0"/>
        <v>45012</v>
      </c>
      <c r="N13" s="4">
        <f t="shared" si="1"/>
        <v>45018</v>
      </c>
      <c r="O13" s="10">
        <v>0.25</v>
      </c>
      <c r="P13" s="10">
        <v>0.25</v>
      </c>
      <c r="Q13" s="10">
        <v>0.5</v>
      </c>
      <c r="R13" s="10" t="s">
        <v>207</v>
      </c>
      <c r="T13" s="95">
        <f t="shared" si="2"/>
        <v>43</v>
      </c>
      <c r="U13" s="87">
        <v>1.1000000000000001</v>
      </c>
      <c r="W13" s="61" t="s">
        <v>29</v>
      </c>
      <c r="X13" s="62">
        <v>3.1249999999999997E-3</v>
      </c>
      <c r="Y13" s="89">
        <v>0</v>
      </c>
      <c r="Z13" s="62"/>
      <c r="AE13" s="93">
        <v>0</v>
      </c>
    </row>
    <row r="14" spans="1:31" s="55" customFormat="1" ht="12" customHeight="1" x14ac:dyDescent="0.3">
      <c r="A14" s="4"/>
      <c r="B14" s="63"/>
      <c r="C14" s="63"/>
      <c r="D14" s="65"/>
      <c r="E14" s="60"/>
      <c r="F14" s="8" t="s">
        <v>29</v>
      </c>
      <c r="G14" s="62">
        <v>5.0462962962962996E-3</v>
      </c>
      <c r="H14" s="113">
        <v>0.5</v>
      </c>
      <c r="I14" s="62">
        <v>5.2083333333333296E-3</v>
      </c>
      <c r="J14" s="60"/>
      <c r="K14" s="60"/>
      <c r="L14" s="77">
        <v>13</v>
      </c>
      <c r="M14" s="4">
        <f t="shared" si="0"/>
        <v>45019</v>
      </c>
      <c r="N14" s="4">
        <f t="shared" si="1"/>
        <v>45025</v>
      </c>
      <c r="O14" s="10">
        <v>0.25</v>
      </c>
      <c r="P14" s="10">
        <v>0.25</v>
      </c>
      <c r="Q14" s="10">
        <v>0.5</v>
      </c>
      <c r="R14" s="10" t="s">
        <v>106</v>
      </c>
      <c r="T14" s="95">
        <f t="shared" si="2"/>
        <v>45</v>
      </c>
      <c r="U14" s="87">
        <v>1.2</v>
      </c>
      <c r="W14" s="61" t="s">
        <v>30</v>
      </c>
      <c r="X14" s="62">
        <v>2.1412037037037038E-3</v>
      </c>
      <c r="Y14" s="89">
        <v>9.8999999999999986</v>
      </c>
      <c r="Z14" s="62">
        <v>2.1990740740740742E-3</v>
      </c>
      <c r="AB14" s="1"/>
      <c r="AE14" s="93">
        <v>6.6</v>
      </c>
    </row>
    <row r="15" spans="1:31" s="55" customFormat="1" ht="12" customHeight="1" x14ac:dyDescent="0.3">
      <c r="A15" s="4"/>
      <c r="B15" s="63"/>
      <c r="C15" s="63"/>
      <c r="D15" s="65"/>
      <c r="E15" s="60"/>
      <c r="F15" s="8" t="s">
        <v>29</v>
      </c>
      <c r="G15" s="9">
        <v>5.2199074074074101E-3</v>
      </c>
      <c r="H15" s="113">
        <v>0.25</v>
      </c>
      <c r="I15" s="62">
        <v>6.2499999999999995E-3</v>
      </c>
      <c r="J15" s="60"/>
      <c r="K15" s="60"/>
      <c r="L15" s="77">
        <v>14</v>
      </c>
      <c r="M15" s="4">
        <f t="shared" si="0"/>
        <v>45026</v>
      </c>
      <c r="N15" s="4">
        <f t="shared" si="1"/>
        <v>45032</v>
      </c>
      <c r="O15" s="10">
        <v>0.5</v>
      </c>
      <c r="P15" s="10">
        <v>0.25</v>
      </c>
      <c r="Q15" s="10">
        <v>0.25</v>
      </c>
      <c r="R15" s="10" t="s">
        <v>107</v>
      </c>
      <c r="T15" s="95">
        <f t="shared" si="2"/>
        <v>47</v>
      </c>
      <c r="U15" s="87">
        <v>1.3</v>
      </c>
      <c r="W15" s="61" t="s">
        <v>30</v>
      </c>
      <c r="X15" s="62">
        <v>2.2106481481481478E-3</v>
      </c>
      <c r="Y15" s="89">
        <v>8.25</v>
      </c>
      <c r="Z15" s="62">
        <v>2.2569444444444447E-3</v>
      </c>
      <c r="AB15" s="1"/>
      <c r="AE15" s="93">
        <v>5.5</v>
      </c>
    </row>
    <row r="16" spans="1:31" ht="12" customHeight="1" x14ac:dyDescent="0.3">
      <c r="B16" s="63"/>
      <c r="C16" s="63"/>
      <c r="D16" s="65"/>
      <c r="E16" s="4"/>
      <c r="F16" s="8" t="s">
        <v>29</v>
      </c>
      <c r="G16" s="62">
        <v>6.2615740740740748E-3</v>
      </c>
      <c r="H16" s="113">
        <v>0</v>
      </c>
      <c r="I16" s="62"/>
      <c r="J16" s="4"/>
      <c r="K16" s="4"/>
      <c r="L16" s="77">
        <v>15</v>
      </c>
      <c r="M16" s="4">
        <f t="shared" si="0"/>
        <v>45033</v>
      </c>
      <c r="N16" s="4">
        <f t="shared" si="1"/>
        <v>45039</v>
      </c>
      <c r="O16" s="10">
        <v>0.25</v>
      </c>
      <c r="P16" s="10">
        <v>0.5</v>
      </c>
      <c r="Q16" s="10">
        <v>0.25</v>
      </c>
      <c r="R16" s="10" t="s">
        <v>207</v>
      </c>
      <c r="T16" s="94">
        <f t="shared" si="2"/>
        <v>49</v>
      </c>
      <c r="U16" s="86">
        <v>1.4</v>
      </c>
      <c r="W16" s="8" t="s">
        <v>30</v>
      </c>
      <c r="X16" s="9">
        <v>2.2685185185185182E-3</v>
      </c>
      <c r="Y16" s="88">
        <v>6.75</v>
      </c>
      <c r="Z16" s="9">
        <v>2.3148148148148151E-3</v>
      </c>
      <c r="AD16" s="55"/>
      <c r="AE16" s="91">
        <v>4.5</v>
      </c>
    </row>
    <row r="17" spans="2:31" ht="12" customHeight="1" x14ac:dyDescent="0.3">
      <c r="B17" s="63"/>
      <c r="C17" s="63"/>
      <c r="D17" s="65"/>
      <c r="E17" s="4"/>
      <c r="F17" s="61" t="s">
        <v>30</v>
      </c>
      <c r="G17" s="62">
        <v>1.1574074074074073E-5</v>
      </c>
      <c r="H17" s="89">
        <v>5</v>
      </c>
      <c r="I17" s="62">
        <v>2.7777777777777779E-3</v>
      </c>
      <c r="J17" s="4"/>
      <c r="K17" s="4"/>
      <c r="L17" s="4"/>
      <c r="M17" s="4"/>
      <c r="N17" s="4"/>
      <c r="O17" s="10"/>
      <c r="P17" s="10"/>
      <c r="Q17" s="10"/>
      <c r="R17" s="10"/>
      <c r="T17" s="94">
        <f t="shared" si="2"/>
        <v>51</v>
      </c>
      <c r="U17" s="86">
        <v>1.5</v>
      </c>
      <c r="W17" s="8" t="s">
        <v>30</v>
      </c>
      <c r="X17" s="9">
        <v>2.3263888888888887E-3</v>
      </c>
      <c r="Y17" s="88">
        <v>5.4</v>
      </c>
      <c r="Z17" s="9">
        <v>2.3726851851851851E-3</v>
      </c>
      <c r="AD17" s="55"/>
      <c r="AE17" s="91">
        <v>3.6</v>
      </c>
    </row>
    <row r="18" spans="2:31" ht="12" customHeight="1" x14ac:dyDescent="0.3">
      <c r="B18" s="63"/>
      <c r="C18" s="63"/>
      <c r="D18" s="65"/>
      <c r="E18" s="4"/>
      <c r="F18" s="61" t="s">
        <v>30</v>
      </c>
      <c r="G18" s="62">
        <v>2.7893518518518519E-3</v>
      </c>
      <c r="H18" s="89">
        <v>4.5</v>
      </c>
      <c r="I18" s="62">
        <v>2.9513888888888888E-3</v>
      </c>
      <c r="J18" s="4"/>
      <c r="K18" s="4"/>
      <c r="L18" s="4"/>
      <c r="M18" s="4"/>
      <c r="N18" s="4"/>
      <c r="T18" s="94">
        <f t="shared" si="2"/>
        <v>53</v>
      </c>
      <c r="U18" s="86">
        <v>1.6</v>
      </c>
      <c r="W18" s="8" t="s">
        <v>30</v>
      </c>
      <c r="X18" s="9">
        <v>2.3842592592592591E-3</v>
      </c>
      <c r="Y18" s="88">
        <v>4.1999999999999993</v>
      </c>
      <c r="Z18" s="9">
        <v>2.4305555555555556E-3</v>
      </c>
      <c r="AD18" s="55"/>
      <c r="AE18" s="91">
        <v>2.8</v>
      </c>
    </row>
    <row r="19" spans="2:31" ht="12" customHeight="1" x14ac:dyDescent="0.3">
      <c r="D19" s="4"/>
      <c r="E19" s="4"/>
      <c r="F19" s="61" t="s">
        <v>30</v>
      </c>
      <c r="G19" s="62">
        <v>2.9629629629629628E-3</v>
      </c>
      <c r="H19" s="89">
        <v>4</v>
      </c>
      <c r="I19" s="62">
        <v>3.1249999999999997E-3</v>
      </c>
      <c r="J19" s="4"/>
      <c r="K19" s="4"/>
      <c r="L19" s="4"/>
      <c r="M19" s="4"/>
      <c r="N19" s="4"/>
      <c r="T19" s="94">
        <f t="shared" si="2"/>
        <v>55</v>
      </c>
      <c r="U19" s="86">
        <v>1.7</v>
      </c>
      <c r="W19" s="8" t="s">
        <v>30</v>
      </c>
      <c r="X19" s="9">
        <v>2.4421296296296296E-3</v>
      </c>
      <c r="Y19" s="88">
        <v>3.1500000000000004</v>
      </c>
      <c r="Z19" s="9">
        <v>2.488425925925926E-3</v>
      </c>
      <c r="AD19" s="55"/>
      <c r="AE19" s="91">
        <v>2.1</v>
      </c>
    </row>
    <row r="20" spans="2:31" ht="12" customHeight="1" x14ac:dyDescent="0.3">
      <c r="E20" s="4"/>
      <c r="F20" s="61" t="s">
        <v>30</v>
      </c>
      <c r="G20" s="62">
        <v>3.1365740740740742E-3</v>
      </c>
      <c r="H20" s="89">
        <v>3.5</v>
      </c>
      <c r="I20" s="62">
        <v>3.2986111111111111E-3</v>
      </c>
      <c r="J20" s="4"/>
      <c r="K20" s="4"/>
      <c r="L20" s="4"/>
      <c r="N20" s="4"/>
      <c r="T20" s="94">
        <f t="shared" si="2"/>
        <v>57</v>
      </c>
      <c r="U20" s="86">
        <v>1.8</v>
      </c>
      <c r="W20" s="8" t="s">
        <v>30</v>
      </c>
      <c r="X20" s="9">
        <v>2.5000000000000001E-3</v>
      </c>
      <c r="Y20" s="88">
        <v>2.25</v>
      </c>
      <c r="Z20" s="9">
        <v>2.5462962962962961E-3</v>
      </c>
      <c r="AD20" s="55"/>
      <c r="AE20" s="91">
        <v>1.5</v>
      </c>
    </row>
    <row r="21" spans="2:31" ht="12" customHeight="1" x14ac:dyDescent="0.3">
      <c r="E21" s="4"/>
      <c r="F21" s="8" t="s">
        <v>30</v>
      </c>
      <c r="G21" s="9">
        <v>3.3101851851851851E-3</v>
      </c>
      <c r="H21" s="88">
        <v>3</v>
      </c>
      <c r="I21" s="9">
        <v>3.472222222222222E-3</v>
      </c>
      <c r="J21" s="4"/>
      <c r="K21" s="4"/>
      <c r="L21" s="4"/>
      <c r="M21" s="4"/>
      <c r="T21" s="94">
        <f t="shared" si="2"/>
        <v>59</v>
      </c>
      <c r="U21" s="86">
        <v>1.9</v>
      </c>
      <c r="W21" s="8" t="s">
        <v>30</v>
      </c>
      <c r="X21" s="9">
        <v>2.5578703703703705E-3</v>
      </c>
      <c r="Y21" s="88">
        <v>1.4999999999999998</v>
      </c>
      <c r="Z21" s="9">
        <v>2.6041666666666665E-3</v>
      </c>
      <c r="AD21" s="55"/>
      <c r="AE21" s="91">
        <v>0.99999999999999989</v>
      </c>
    </row>
    <row r="22" spans="2:31" ht="12.75" customHeight="1" x14ac:dyDescent="0.3">
      <c r="F22" s="8" t="s">
        <v>30</v>
      </c>
      <c r="G22" s="9">
        <v>3.483796296296296E-3</v>
      </c>
      <c r="H22" s="88">
        <v>2.5</v>
      </c>
      <c r="I22" s="9">
        <v>3.645833333333333E-3</v>
      </c>
      <c r="T22" s="94">
        <f t="shared" si="2"/>
        <v>61</v>
      </c>
      <c r="U22" s="86">
        <v>2</v>
      </c>
      <c r="W22" s="8" t="s">
        <v>30</v>
      </c>
      <c r="X22" s="9">
        <v>2.615740740740741E-3</v>
      </c>
      <c r="Y22" s="88">
        <v>0.89999999999999991</v>
      </c>
      <c r="Z22" s="9">
        <v>2.6620370370370374E-3</v>
      </c>
      <c r="AD22" s="55"/>
      <c r="AE22" s="91">
        <v>0.6</v>
      </c>
    </row>
    <row r="23" spans="2:31" ht="12" customHeight="1" x14ac:dyDescent="0.3">
      <c r="F23" s="8" t="s">
        <v>30</v>
      </c>
      <c r="G23" s="9">
        <v>3.6574074074074074E-3</v>
      </c>
      <c r="H23" s="88">
        <v>2</v>
      </c>
      <c r="I23" s="9">
        <v>3.8194444444444443E-3</v>
      </c>
      <c r="T23" s="94">
        <f t="shared" si="2"/>
        <v>63</v>
      </c>
      <c r="U23" s="86">
        <v>2.1</v>
      </c>
      <c r="W23" s="8" t="s">
        <v>30</v>
      </c>
      <c r="X23" s="9">
        <v>2.673611111111111E-3</v>
      </c>
      <c r="Y23" s="88">
        <v>0.45000000000000007</v>
      </c>
      <c r="Z23" s="9">
        <v>2.7199074074074074E-3</v>
      </c>
      <c r="AD23" s="55"/>
      <c r="AE23" s="91">
        <v>0.30000000000000004</v>
      </c>
    </row>
    <row r="24" spans="2:31" ht="12" customHeight="1" x14ac:dyDescent="0.3">
      <c r="F24" s="8" t="s">
        <v>30</v>
      </c>
      <c r="G24" s="9">
        <v>3.8310185185185183E-3</v>
      </c>
      <c r="H24" s="113">
        <v>1.75</v>
      </c>
      <c r="I24" s="9">
        <v>3.9930555555555596E-3</v>
      </c>
      <c r="T24" s="94">
        <f t="shared" si="2"/>
        <v>65</v>
      </c>
      <c r="U24" s="86">
        <v>2.2000000000000002</v>
      </c>
      <c r="W24" s="8" t="s">
        <v>30</v>
      </c>
      <c r="X24" s="9">
        <v>2.7314814814814819E-3</v>
      </c>
      <c r="Y24" s="88">
        <v>0.15000000000000002</v>
      </c>
      <c r="Z24" s="9">
        <v>2.7662037037037034E-3</v>
      </c>
      <c r="AD24" s="55"/>
      <c r="AE24" s="91">
        <v>0.1</v>
      </c>
    </row>
    <row r="25" spans="2:31" ht="12" customHeight="1" x14ac:dyDescent="0.3">
      <c r="F25" s="8" t="s">
        <v>30</v>
      </c>
      <c r="G25" s="9">
        <v>4.0046296296296297E-3</v>
      </c>
      <c r="H25" s="88">
        <v>1.5</v>
      </c>
      <c r="I25" s="9">
        <v>4.1666666666666701E-3</v>
      </c>
      <c r="T25" s="94">
        <f t="shared" si="2"/>
        <v>67</v>
      </c>
      <c r="U25" s="86">
        <v>2.2999999999999998</v>
      </c>
      <c r="W25" s="8" t="s">
        <v>30</v>
      </c>
      <c r="X25" s="9">
        <v>2.7777777777777779E-3</v>
      </c>
      <c r="Y25" s="88">
        <v>0</v>
      </c>
      <c r="Z25" s="9"/>
      <c r="AE25" s="91">
        <v>0</v>
      </c>
    </row>
    <row r="26" spans="2:31" ht="12" customHeight="1" x14ac:dyDescent="0.3">
      <c r="F26" s="8" t="s">
        <v>30</v>
      </c>
      <c r="G26" s="9">
        <v>4.1782407407407402E-3</v>
      </c>
      <c r="H26" s="113">
        <v>1.25</v>
      </c>
      <c r="I26" s="9">
        <v>4.3402777777777797E-3</v>
      </c>
      <c r="T26" s="94">
        <f t="shared" si="2"/>
        <v>69</v>
      </c>
      <c r="U26" s="86">
        <v>2.4</v>
      </c>
    </row>
    <row r="27" spans="2:31" ht="12" customHeight="1" x14ac:dyDescent="0.3">
      <c r="F27" s="8" t="s">
        <v>30</v>
      </c>
      <c r="G27" s="9">
        <v>4.3518518518518498E-3</v>
      </c>
      <c r="H27" s="88">
        <v>1</v>
      </c>
      <c r="I27" s="9">
        <v>4.5138888888888902E-3</v>
      </c>
      <c r="T27" s="94">
        <f t="shared" si="2"/>
        <v>71</v>
      </c>
      <c r="U27" s="86">
        <v>2.5</v>
      </c>
    </row>
    <row r="28" spans="2:31" ht="12" customHeight="1" x14ac:dyDescent="0.3">
      <c r="F28" s="8" t="s">
        <v>30</v>
      </c>
      <c r="G28" s="9">
        <v>4.5254629629629698E-3</v>
      </c>
      <c r="H28" s="113">
        <v>0.75</v>
      </c>
      <c r="I28" s="9">
        <v>4.6874999999999998E-3</v>
      </c>
      <c r="N28" s="4"/>
      <c r="T28" s="94">
        <f t="shared" si="2"/>
        <v>73</v>
      </c>
      <c r="U28" s="86">
        <v>2.6</v>
      </c>
      <c r="X28" s="19"/>
      <c r="Z28" s="117"/>
    </row>
    <row r="29" spans="2:31" ht="12" customHeight="1" thickBot="1" x14ac:dyDescent="0.35">
      <c r="F29" s="8" t="s">
        <v>30</v>
      </c>
      <c r="G29" s="9">
        <v>4.6990740740740699E-3</v>
      </c>
      <c r="H29" s="113">
        <v>0.5</v>
      </c>
      <c r="I29" s="9">
        <v>4.8611111111111103E-3</v>
      </c>
      <c r="T29" s="94">
        <f t="shared" si="2"/>
        <v>75</v>
      </c>
      <c r="U29" s="86">
        <v>2.7</v>
      </c>
      <c r="X29" s="122" t="s">
        <v>29</v>
      </c>
      <c r="Y29" s="123" t="s">
        <v>259</v>
      </c>
    </row>
    <row r="30" spans="2:31" ht="12" customHeight="1" x14ac:dyDescent="0.3">
      <c r="F30" s="8" t="s">
        <v>30</v>
      </c>
      <c r="G30" s="9">
        <v>4.8726851851851856E-3</v>
      </c>
      <c r="H30" s="113">
        <v>0.25</v>
      </c>
      <c r="I30" s="9">
        <v>5.5555555555555558E-3</v>
      </c>
      <c r="T30" s="94">
        <f t="shared" si="2"/>
        <v>77</v>
      </c>
      <c r="U30" s="86">
        <v>2.8</v>
      </c>
      <c r="W30" s="117" t="s">
        <v>261</v>
      </c>
      <c r="X30" s="119" t="s">
        <v>260</v>
      </c>
      <c r="Y30" s="120" t="s">
        <v>260</v>
      </c>
    </row>
    <row r="31" spans="2:31" ht="12" customHeight="1" x14ac:dyDescent="0.3">
      <c r="F31" s="8" t="s">
        <v>30</v>
      </c>
      <c r="G31" s="9">
        <v>5.5671296296296302E-3</v>
      </c>
      <c r="H31" s="113">
        <v>0</v>
      </c>
      <c r="I31" s="66"/>
      <c r="T31" s="94">
        <f t="shared" si="2"/>
        <v>79</v>
      </c>
      <c r="U31" s="86">
        <v>2.9</v>
      </c>
      <c r="W31" s="117" t="s">
        <v>256</v>
      </c>
      <c r="X31" s="118" t="s">
        <v>262</v>
      </c>
      <c r="Y31" s="121" t="s">
        <v>265</v>
      </c>
    </row>
    <row r="32" spans="2:31" ht="12" customHeight="1" x14ac:dyDescent="0.3">
      <c r="G32" s="66"/>
      <c r="I32" s="66"/>
      <c r="T32" s="94">
        <f t="shared" si="2"/>
        <v>81</v>
      </c>
      <c r="U32" s="86">
        <v>3</v>
      </c>
      <c r="W32" s="117" t="s">
        <v>257</v>
      </c>
      <c r="X32" s="119" t="s">
        <v>263</v>
      </c>
      <c r="Y32" s="121" t="s">
        <v>267</v>
      </c>
    </row>
    <row r="33" spans="7:25" ht="12" customHeight="1" x14ac:dyDescent="0.3">
      <c r="G33" s="66"/>
      <c r="I33" s="66"/>
      <c r="T33" s="94">
        <f t="shared" si="2"/>
        <v>83</v>
      </c>
      <c r="U33" s="86">
        <v>3.1</v>
      </c>
      <c r="W33" s="117" t="s">
        <v>258</v>
      </c>
      <c r="X33" s="119" t="s">
        <v>264</v>
      </c>
      <c r="Y33" s="121" t="s">
        <v>266</v>
      </c>
    </row>
    <row r="34" spans="7:25" ht="12" customHeight="1" x14ac:dyDescent="0.3">
      <c r="G34" s="66"/>
      <c r="I34" s="66"/>
      <c r="T34" s="94">
        <f t="shared" si="2"/>
        <v>85</v>
      </c>
      <c r="U34" s="86">
        <v>3.2</v>
      </c>
      <c r="W34" s="117" t="s">
        <v>280</v>
      </c>
      <c r="X34" s="119" t="s">
        <v>282</v>
      </c>
      <c r="Y34" s="121" t="s">
        <v>281</v>
      </c>
    </row>
    <row r="35" spans="7:25" ht="12" customHeight="1" x14ac:dyDescent="0.3">
      <c r="G35" s="66"/>
      <c r="I35" s="66"/>
      <c r="T35" s="94">
        <f t="shared" si="2"/>
        <v>87</v>
      </c>
      <c r="U35" s="86">
        <v>3.3</v>
      </c>
    </row>
    <row r="36" spans="7:25" ht="12" customHeight="1" x14ac:dyDescent="0.3">
      <c r="G36" s="66"/>
      <c r="I36" s="66"/>
      <c r="T36" s="94">
        <f t="shared" si="2"/>
        <v>89</v>
      </c>
      <c r="U36" s="86">
        <v>3.4</v>
      </c>
    </row>
    <row r="37" spans="7:25" ht="12" customHeight="1" x14ac:dyDescent="0.3">
      <c r="G37" s="66"/>
      <c r="I37" s="66"/>
      <c r="T37" s="94">
        <f t="shared" si="2"/>
        <v>91</v>
      </c>
      <c r="U37" s="86">
        <v>3.5</v>
      </c>
    </row>
    <row r="38" spans="7:25" ht="12" customHeight="1" x14ac:dyDescent="0.3">
      <c r="G38" s="66"/>
      <c r="I38" s="66"/>
      <c r="T38" s="94">
        <f t="shared" si="2"/>
        <v>93</v>
      </c>
      <c r="U38" s="86">
        <v>3.6</v>
      </c>
    </row>
    <row r="39" spans="7:25" ht="12" customHeight="1" x14ac:dyDescent="0.3">
      <c r="G39" s="66"/>
      <c r="I39" s="66"/>
      <c r="T39" s="94">
        <f t="shared" si="2"/>
        <v>95</v>
      </c>
      <c r="U39" s="86">
        <v>3.7</v>
      </c>
      <c r="W39" s="22">
        <v>0</v>
      </c>
      <c r="X39" s="22">
        <v>0</v>
      </c>
    </row>
    <row r="40" spans="7:25" ht="12" customHeight="1" x14ac:dyDescent="0.3">
      <c r="G40" s="66"/>
      <c r="I40" s="66"/>
      <c r="T40" s="94">
        <f t="shared" si="2"/>
        <v>97</v>
      </c>
      <c r="U40" s="86">
        <v>3.8</v>
      </c>
      <c r="W40" s="22">
        <v>1</v>
      </c>
      <c r="X40" s="22">
        <v>0</v>
      </c>
    </row>
    <row r="41" spans="7:25" ht="12" customHeight="1" x14ac:dyDescent="0.3">
      <c r="G41" s="66"/>
      <c r="I41" s="66"/>
      <c r="T41" s="94">
        <f t="shared" si="2"/>
        <v>99</v>
      </c>
      <c r="U41" s="86">
        <v>3.9</v>
      </c>
      <c r="W41" s="22">
        <v>2</v>
      </c>
      <c r="X41" s="22">
        <v>0</v>
      </c>
    </row>
    <row r="42" spans="7:25" ht="12" customHeight="1" x14ac:dyDescent="0.3">
      <c r="G42" s="66"/>
      <c r="I42" s="66"/>
      <c r="T42" s="94">
        <v>103</v>
      </c>
      <c r="U42" s="86">
        <v>4</v>
      </c>
      <c r="W42" s="22">
        <v>3</v>
      </c>
      <c r="X42" s="22">
        <v>0</v>
      </c>
    </row>
    <row r="43" spans="7:25" ht="12" customHeight="1" x14ac:dyDescent="0.3">
      <c r="G43" s="66"/>
      <c r="I43" s="66"/>
      <c r="T43" s="94">
        <v>107</v>
      </c>
      <c r="U43" s="86">
        <v>4.0999999999999996</v>
      </c>
      <c r="W43" s="22">
        <v>4</v>
      </c>
      <c r="X43" s="22">
        <v>0</v>
      </c>
    </row>
    <row r="44" spans="7:25" ht="12" customHeight="1" x14ac:dyDescent="0.3">
      <c r="G44" s="66"/>
      <c r="I44" s="66"/>
      <c r="T44" s="94">
        <v>111</v>
      </c>
      <c r="U44" s="86">
        <v>4.2</v>
      </c>
      <c r="W44" s="22">
        <v>5</v>
      </c>
      <c r="X44" s="22">
        <v>0</v>
      </c>
    </row>
    <row r="45" spans="7:25" ht="12" customHeight="1" x14ac:dyDescent="0.3">
      <c r="G45" s="66"/>
      <c r="I45" s="66"/>
      <c r="T45" s="94">
        <v>115</v>
      </c>
      <c r="U45" s="86">
        <v>4.3</v>
      </c>
      <c r="W45" s="22">
        <v>6</v>
      </c>
      <c r="X45" s="22">
        <v>1</v>
      </c>
    </row>
    <row r="46" spans="7:25" ht="12" customHeight="1" x14ac:dyDescent="0.3">
      <c r="G46" s="66"/>
      <c r="I46" s="66"/>
      <c r="T46" s="94">
        <v>119</v>
      </c>
      <c r="U46" s="86">
        <v>4.4000000000000004</v>
      </c>
      <c r="W46" s="22">
        <v>7</v>
      </c>
      <c r="X46" s="22">
        <v>1</v>
      </c>
    </row>
    <row r="47" spans="7:25" ht="12" customHeight="1" x14ac:dyDescent="0.3">
      <c r="G47" s="66"/>
      <c r="I47" s="66"/>
      <c r="T47" s="94">
        <v>123</v>
      </c>
      <c r="U47" s="86">
        <v>4.5</v>
      </c>
      <c r="W47" s="22">
        <v>8</v>
      </c>
      <c r="X47" s="22">
        <v>2</v>
      </c>
    </row>
    <row r="48" spans="7:25" ht="12" customHeight="1" x14ac:dyDescent="0.3">
      <c r="G48" s="66"/>
      <c r="I48" s="66"/>
      <c r="T48" s="94">
        <v>127</v>
      </c>
      <c r="U48" s="86">
        <v>4.5999999999999996</v>
      </c>
      <c r="W48" s="22">
        <v>9</v>
      </c>
      <c r="X48" s="22">
        <v>2</v>
      </c>
    </row>
    <row r="49" spans="7:24" ht="12" customHeight="1" x14ac:dyDescent="0.3">
      <c r="G49" s="66"/>
      <c r="I49" s="66"/>
      <c r="T49" s="94">
        <v>131</v>
      </c>
      <c r="U49" s="86">
        <v>4.7</v>
      </c>
      <c r="W49" s="22">
        <v>10</v>
      </c>
      <c r="X49" s="22">
        <v>3</v>
      </c>
    </row>
    <row r="50" spans="7:24" ht="12" customHeight="1" x14ac:dyDescent="0.3">
      <c r="T50" s="94">
        <v>135</v>
      </c>
      <c r="U50" s="86">
        <v>4.8</v>
      </c>
      <c r="W50" s="22">
        <v>11</v>
      </c>
      <c r="X50" s="22">
        <v>3</v>
      </c>
    </row>
    <row r="51" spans="7:24" ht="12" customHeight="1" x14ac:dyDescent="0.3">
      <c r="T51" s="94">
        <v>139</v>
      </c>
      <c r="U51" s="86">
        <v>4.9000000000000004</v>
      </c>
      <c r="W51" s="22">
        <v>12</v>
      </c>
      <c r="X51" s="22">
        <v>4</v>
      </c>
    </row>
    <row r="52" spans="7:24" ht="12" customHeight="1" x14ac:dyDescent="0.3">
      <c r="T52" s="94">
        <v>143</v>
      </c>
      <c r="U52" s="86">
        <v>5</v>
      </c>
      <c r="W52" s="22">
        <v>13</v>
      </c>
      <c r="X52" s="22">
        <v>4</v>
      </c>
    </row>
    <row r="53" spans="7:24" ht="12" customHeight="1" x14ac:dyDescent="0.3">
      <c r="T53" s="94">
        <v>147</v>
      </c>
      <c r="U53" s="86">
        <v>5.0999999999999996</v>
      </c>
      <c r="W53" s="22">
        <v>14</v>
      </c>
      <c r="X53" s="22">
        <v>5</v>
      </c>
    </row>
    <row r="54" spans="7:24" ht="12" customHeight="1" x14ac:dyDescent="0.3">
      <c r="T54" s="94">
        <v>151</v>
      </c>
      <c r="U54" s="86">
        <v>5.2</v>
      </c>
      <c r="W54" s="22">
        <v>15</v>
      </c>
      <c r="X54" s="22">
        <v>5</v>
      </c>
    </row>
    <row r="55" spans="7:24" ht="12" customHeight="1" x14ac:dyDescent="0.3">
      <c r="T55" s="94">
        <v>155</v>
      </c>
      <c r="U55" s="86">
        <v>5.3</v>
      </c>
    </row>
    <row r="56" spans="7:24" ht="12" customHeight="1" x14ac:dyDescent="0.3">
      <c r="T56" s="94">
        <v>159</v>
      </c>
      <c r="U56" s="86">
        <v>5.4</v>
      </c>
    </row>
    <row r="57" spans="7:24" ht="12" customHeight="1" x14ac:dyDescent="0.3">
      <c r="T57" s="94">
        <v>163</v>
      </c>
      <c r="U57" s="86">
        <v>5.5</v>
      </c>
    </row>
    <row r="58" spans="7:24" ht="12" customHeight="1" x14ac:dyDescent="0.3">
      <c r="T58" s="94">
        <v>167</v>
      </c>
      <c r="U58" s="86">
        <v>5.6</v>
      </c>
    </row>
    <row r="59" spans="7:24" ht="12" customHeight="1" x14ac:dyDescent="0.3">
      <c r="T59" s="94">
        <v>171</v>
      </c>
      <c r="U59" s="86">
        <v>5.7</v>
      </c>
    </row>
    <row r="60" spans="7:24" ht="12" customHeight="1" x14ac:dyDescent="0.3">
      <c r="T60" s="94">
        <v>175</v>
      </c>
      <c r="U60" s="86">
        <v>5.8</v>
      </c>
    </row>
    <row r="61" spans="7:24" ht="12" customHeight="1" x14ac:dyDescent="0.3">
      <c r="T61" s="94">
        <v>179</v>
      </c>
      <c r="U61" s="86">
        <v>5.9</v>
      </c>
    </row>
    <row r="62" spans="7:24" ht="12" customHeight="1" x14ac:dyDescent="0.3">
      <c r="T62" s="94">
        <v>183</v>
      </c>
      <c r="U62" s="86">
        <v>6</v>
      </c>
    </row>
    <row r="63" spans="7:24" ht="12" customHeight="1" x14ac:dyDescent="0.3">
      <c r="T63" s="94">
        <v>187</v>
      </c>
      <c r="U63" s="86">
        <v>6.1</v>
      </c>
    </row>
    <row r="64" spans="7:24" ht="12" customHeight="1" x14ac:dyDescent="0.3">
      <c r="T64" s="94">
        <v>191</v>
      </c>
      <c r="U64" s="86">
        <v>6.2</v>
      </c>
    </row>
    <row r="65" spans="20:21" ht="12" customHeight="1" x14ac:dyDescent="0.3">
      <c r="T65" s="94">
        <v>195</v>
      </c>
      <c r="U65" s="86">
        <v>6.3</v>
      </c>
    </row>
    <row r="66" spans="20:21" ht="12" customHeight="1" x14ac:dyDescent="0.3">
      <c r="T66" s="94">
        <v>199</v>
      </c>
      <c r="U66" s="86">
        <v>6.4</v>
      </c>
    </row>
    <row r="67" spans="20:21" ht="12" customHeight="1" x14ac:dyDescent="0.3">
      <c r="T67" s="94">
        <v>207</v>
      </c>
      <c r="U67" s="86">
        <v>6.5</v>
      </c>
    </row>
    <row r="68" spans="20:21" ht="12" customHeight="1" x14ac:dyDescent="0.3">
      <c r="T68" s="94">
        <v>215</v>
      </c>
      <c r="U68" s="86">
        <v>6.6</v>
      </c>
    </row>
    <row r="69" spans="20:21" ht="12" customHeight="1" x14ac:dyDescent="0.3">
      <c r="T69" s="94">
        <v>223</v>
      </c>
      <c r="U69" s="86">
        <v>6.7</v>
      </c>
    </row>
    <row r="70" spans="20:21" ht="12" customHeight="1" x14ac:dyDescent="0.3">
      <c r="T70" s="94">
        <v>231</v>
      </c>
      <c r="U70" s="86">
        <v>6.8</v>
      </c>
    </row>
    <row r="71" spans="20:21" ht="12" customHeight="1" x14ac:dyDescent="0.3">
      <c r="T71" s="94">
        <v>239</v>
      </c>
      <c r="U71" s="86">
        <v>6.9</v>
      </c>
    </row>
    <row r="72" spans="20:21" ht="12" customHeight="1" x14ac:dyDescent="0.3">
      <c r="T72" s="94">
        <v>247</v>
      </c>
      <c r="U72" s="86">
        <v>7</v>
      </c>
    </row>
    <row r="73" spans="20:21" ht="12" customHeight="1" x14ac:dyDescent="0.3">
      <c r="T73" s="94">
        <v>255</v>
      </c>
      <c r="U73" s="86">
        <v>7.1</v>
      </c>
    </row>
    <row r="74" spans="20:21" ht="12" customHeight="1" x14ac:dyDescent="0.3">
      <c r="T74" s="94">
        <v>263</v>
      </c>
      <c r="U74" s="86">
        <v>7.2</v>
      </c>
    </row>
    <row r="75" spans="20:21" ht="12" customHeight="1" x14ac:dyDescent="0.3">
      <c r="T75" s="94">
        <v>271</v>
      </c>
      <c r="U75" s="86">
        <v>7.3</v>
      </c>
    </row>
  </sheetData>
  <autoFilter ref="L1:P16" xr:uid="{00000000-0009-0000-0000-000003000000}"/>
  <pageMargins left="0.7" right="0.7" top="0.75" bottom="0.75" header="0.3" footer="0.3"/>
  <pageSetup paperSize="9" orientation="portrait" horizont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G120"/>
  <sheetViews>
    <sheetView topLeftCell="A7" zoomScale="85" zoomScaleNormal="85" workbookViewId="0">
      <selection activeCell="B31" sqref="B31"/>
    </sheetView>
  </sheetViews>
  <sheetFormatPr defaultColWidth="9.1796875" defaultRowHeight="14.5" x14ac:dyDescent="0.35"/>
  <cols>
    <col min="1" max="1" width="54.54296875" style="15" customWidth="1"/>
    <col min="2" max="2" width="47.7265625" style="15" customWidth="1"/>
    <col min="3" max="3" width="9.1796875" style="15"/>
    <col min="4" max="4" width="22.453125" style="15" customWidth="1"/>
    <col min="5" max="5" width="23.1796875" style="15" customWidth="1"/>
    <col min="6" max="16384" width="9.1796875" style="15"/>
  </cols>
  <sheetData>
    <row r="1" spans="1:1" x14ac:dyDescent="0.35">
      <c r="A1" s="26" t="s">
        <v>66</v>
      </c>
    </row>
    <row r="2" spans="1:1" x14ac:dyDescent="0.35">
      <c r="A2" s="25" t="s">
        <v>130</v>
      </c>
    </row>
    <row r="3" spans="1:1" x14ac:dyDescent="0.35">
      <c r="A3" s="25" t="s">
        <v>322</v>
      </c>
    </row>
    <row r="4" spans="1:1" x14ac:dyDescent="0.35">
      <c r="A4" s="25" t="s">
        <v>213</v>
      </c>
    </row>
    <row r="5" spans="1:1" x14ac:dyDescent="0.35">
      <c r="A5" s="25" t="s">
        <v>239</v>
      </c>
    </row>
    <row r="6" spans="1:1" x14ac:dyDescent="0.35">
      <c r="A6" s="25" t="s">
        <v>328</v>
      </c>
    </row>
    <row r="7" spans="1:1" x14ac:dyDescent="0.35">
      <c r="A7" s="25" t="s">
        <v>321</v>
      </c>
    </row>
    <row r="8" spans="1:1" ht="15" customHeight="1" x14ac:dyDescent="0.35">
      <c r="A8" s="25" t="s">
        <v>212</v>
      </c>
    </row>
    <row r="9" spans="1:1" ht="15" customHeight="1" x14ac:dyDescent="0.35">
      <c r="A9" s="25" t="s">
        <v>269</v>
      </c>
    </row>
    <row r="10" spans="1:1" x14ac:dyDescent="0.35">
      <c r="A10" s="25" t="s">
        <v>323</v>
      </c>
    </row>
    <row r="11" spans="1:1" x14ac:dyDescent="0.35">
      <c r="A11" s="25" t="s">
        <v>214</v>
      </c>
    </row>
    <row r="12" spans="1:1" x14ac:dyDescent="0.35">
      <c r="A12" s="25" t="s">
        <v>228</v>
      </c>
    </row>
    <row r="13" spans="1:1" x14ac:dyDescent="0.35">
      <c r="A13" s="25" t="s">
        <v>215</v>
      </c>
    </row>
    <row r="14" spans="1:1" x14ac:dyDescent="0.35">
      <c r="A14" s="25" t="s">
        <v>216</v>
      </c>
    </row>
    <row r="15" spans="1:1" x14ac:dyDescent="0.35">
      <c r="A15" s="25" t="s">
        <v>270</v>
      </c>
    </row>
    <row r="16" spans="1:1" x14ac:dyDescent="0.35">
      <c r="A16" s="25" t="s">
        <v>168</v>
      </c>
    </row>
    <row r="17" spans="1:1" x14ac:dyDescent="0.35">
      <c r="A17" s="25" t="s">
        <v>166</v>
      </c>
    </row>
    <row r="18" spans="1:1" ht="14.5" customHeight="1" x14ac:dyDescent="0.35">
      <c r="A18" s="25" t="s">
        <v>167</v>
      </c>
    </row>
    <row r="19" spans="1:1" ht="14.5" customHeight="1" x14ac:dyDescent="0.35">
      <c r="A19" s="25" t="s">
        <v>232</v>
      </c>
    </row>
    <row r="20" spans="1:1" x14ac:dyDescent="0.35">
      <c r="A20" s="71" t="s">
        <v>329</v>
      </c>
    </row>
    <row r="21" spans="1:1" x14ac:dyDescent="0.35">
      <c r="A21" s="25" t="s">
        <v>320</v>
      </c>
    </row>
    <row r="22" spans="1:1" x14ac:dyDescent="0.35">
      <c r="A22" s="71" t="s">
        <v>318</v>
      </c>
    </row>
    <row r="23" spans="1:1" x14ac:dyDescent="0.35">
      <c r="A23" s="71" t="s">
        <v>324</v>
      </c>
    </row>
    <row r="24" spans="1:1" x14ac:dyDescent="0.35">
      <c r="A24" s="25" t="s">
        <v>319</v>
      </c>
    </row>
    <row r="25" spans="1:1" x14ac:dyDescent="0.35">
      <c r="A25" s="25"/>
    </row>
    <row r="26" spans="1:1" x14ac:dyDescent="0.35">
      <c r="A26" s="25" t="s">
        <v>183</v>
      </c>
    </row>
    <row r="27" spans="1:1" x14ac:dyDescent="0.35">
      <c r="A27" s="25" t="s">
        <v>268</v>
      </c>
    </row>
    <row r="28" spans="1:1" x14ac:dyDescent="0.35">
      <c r="A28" s="25" t="s">
        <v>169</v>
      </c>
    </row>
    <row r="29" spans="1:1" x14ac:dyDescent="0.35">
      <c r="A29" s="25" t="s">
        <v>274</v>
      </c>
    </row>
    <row r="30" spans="1:1" x14ac:dyDescent="0.35">
      <c r="A30" s="25" t="s">
        <v>131</v>
      </c>
    </row>
    <row r="31" spans="1:1" x14ac:dyDescent="0.35">
      <c r="A31" s="25"/>
    </row>
    <row r="32" spans="1:1" x14ac:dyDescent="0.35">
      <c r="A32" s="25" t="s">
        <v>516</v>
      </c>
    </row>
    <row r="33" spans="1:7" x14ac:dyDescent="0.35">
      <c r="A33" s="25"/>
      <c r="F33" s="103"/>
      <c r="G33" s="103"/>
    </row>
    <row r="34" spans="1:7" x14ac:dyDescent="0.35">
      <c r="A34" s="55"/>
      <c r="F34" s="103"/>
      <c r="G34" s="103"/>
    </row>
    <row r="35" spans="1:7" x14ac:dyDescent="0.35">
      <c r="A35" s="26" t="s">
        <v>82</v>
      </c>
      <c r="F35" s="103"/>
      <c r="G35" s="103"/>
    </row>
    <row r="36" spans="1:7" x14ac:dyDescent="0.35">
      <c r="A36" s="26"/>
      <c r="E36" s="103"/>
      <c r="F36" s="103"/>
      <c r="G36" s="103"/>
    </row>
    <row r="37" spans="1:7" x14ac:dyDescent="0.35">
      <c r="A37" s="26" t="s">
        <v>11</v>
      </c>
      <c r="E37" s="103"/>
      <c r="F37" s="103"/>
      <c r="G37" s="103"/>
    </row>
    <row r="38" spans="1:7" x14ac:dyDescent="0.35">
      <c r="A38" s="67" t="s">
        <v>154</v>
      </c>
      <c r="E38" s="103"/>
      <c r="F38" s="103"/>
      <c r="G38" s="103"/>
    </row>
    <row r="39" spans="1:7" x14ac:dyDescent="0.35">
      <c r="A39" s="25" t="s">
        <v>155</v>
      </c>
      <c r="B39" s="25" t="s">
        <v>156</v>
      </c>
      <c r="E39" s="103"/>
      <c r="F39" s="103"/>
      <c r="G39" s="103"/>
    </row>
    <row r="40" spans="1:7" x14ac:dyDescent="0.35">
      <c r="A40" s="25" t="s">
        <v>157</v>
      </c>
      <c r="B40" s="25" t="s">
        <v>158</v>
      </c>
      <c r="E40" s="103"/>
      <c r="F40" s="103"/>
      <c r="G40" s="103"/>
    </row>
    <row r="41" spans="1:7" x14ac:dyDescent="0.35">
      <c r="A41" s="25" t="s">
        <v>159</v>
      </c>
      <c r="B41" s="25" t="s">
        <v>160</v>
      </c>
      <c r="E41" s="103"/>
      <c r="F41" s="103"/>
      <c r="G41" s="103"/>
    </row>
    <row r="42" spans="1:7" x14ac:dyDescent="0.35">
      <c r="A42" s="25"/>
      <c r="E42" s="103"/>
      <c r="F42" s="103"/>
      <c r="G42" s="103"/>
    </row>
    <row r="43" spans="1:7" x14ac:dyDescent="0.35">
      <c r="A43" s="67" t="s">
        <v>161</v>
      </c>
      <c r="E43" s="103"/>
      <c r="F43" s="103"/>
      <c r="G43" s="103"/>
    </row>
    <row r="44" spans="1:7" x14ac:dyDescent="0.35">
      <c r="A44" s="25" t="s">
        <v>162</v>
      </c>
      <c r="B44" s="25" t="s">
        <v>156</v>
      </c>
      <c r="E44" s="103"/>
      <c r="F44" s="103"/>
    </row>
    <row r="45" spans="1:7" x14ac:dyDescent="0.35">
      <c r="A45" s="25" t="s">
        <v>163</v>
      </c>
      <c r="B45" s="25" t="s">
        <v>164</v>
      </c>
      <c r="E45" s="103"/>
      <c r="F45" s="103"/>
    </row>
    <row r="46" spans="1:7" x14ac:dyDescent="0.35">
      <c r="A46" s="25" t="s">
        <v>165</v>
      </c>
      <c r="B46" s="25" t="s">
        <v>160</v>
      </c>
    </row>
    <row r="47" spans="1:7" x14ac:dyDescent="0.35">
      <c r="A47" s="25"/>
    </row>
    <row r="48" spans="1:7" x14ac:dyDescent="0.35">
      <c r="A48" s="25"/>
    </row>
    <row r="49" spans="1:1" x14ac:dyDescent="0.35">
      <c r="A49" s="114" t="s">
        <v>12</v>
      </c>
    </row>
    <row r="50" spans="1:1" x14ac:dyDescent="0.35">
      <c r="A50" s="71" t="s">
        <v>13</v>
      </c>
    </row>
    <row r="51" spans="1:1" x14ac:dyDescent="0.35">
      <c r="A51" s="71" t="s">
        <v>14</v>
      </c>
    </row>
    <row r="52" spans="1:1" x14ac:dyDescent="0.35">
      <c r="A52" s="71" t="s">
        <v>15</v>
      </c>
    </row>
    <row r="53" spans="1:1" x14ac:dyDescent="0.35">
      <c r="A53" s="71" t="s">
        <v>16</v>
      </c>
    </row>
    <row r="54" spans="1:1" x14ac:dyDescent="0.35">
      <c r="A54" s="71" t="s">
        <v>17</v>
      </c>
    </row>
    <row r="55" spans="1:1" x14ac:dyDescent="0.35">
      <c r="A55" s="71" t="s">
        <v>18</v>
      </c>
    </row>
    <row r="56" spans="1:1" x14ac:dyDescent="0.35">
      <c r="A56" s="71" t="s">
        <v>19</v>
      </c>
    </row>
    <row r="57" spans="1:1" x14ac:dyDescent="0.35">
      <c r="A57" s="71" t="s">
        <v>244</v>
      </c>
    </row>
    <row r="58" spans="1:1" x14ac:dyDescent="0.35">
      <c r="A58" s="71" t="s">
        <v>233</v>
      </c>
    </row>
    <row r="59" spans="1:1" x14ac:dyDescent="0.35">
      <c r="A59" s="71" t="s">
        <v>20</v>
      </c>
    </row>
    <row r="60" spans="1:1" x14ac:dyDescent="0.35">
      <c r="A60" s="71" t="s">
        <v>234</v>
      </c>
    </row>
    <row r="61" spans="1:1" x14ac:dyDescent="0.35">
      <c r="A61" s="71" t="s">
        <v>235</v>
      </c>
    </row>
    <row r="62" spans="1:1" x14ac:dyDescent="0.35">
      <c r="A62" s="71" t="s">
        <v>236</v>
      </c>
    </row>
    <row r="63" spans="1:1" x14ac:dyDescent="0.35">
      <c r="A63" s="71" t="s">
        <v>237</v>
      </c>
    </row>
    <row r="64" spans="1:1" x14ac:dyDescent="0.35">
      <c r="A64" s="71" t="s">
        <v>238</v>
      </c>
    </row>
    <row r="65" spans="1:7" x14ac:dyDescent="0.35">
      <c r="A65" s="25"/>
    </row>
    <row r="66" spans="1:7" x14ac:dyDescent="0.35">
      <c r="A66" s="26" t="s">
        <v>222</v>
      </c>
    </row>
    <row r="67" spans="1:7" x14ac:dyDescent="0.35">
      <c r="A67" s="25" t="s">
        <v>221</v>
      </c>
      <c r="B67" s="25"/>
      <c r="C67" s="25"/>
    </row>
    <row r="68" spans="1:7" x14ac:dyDescent="0.35">
      <c r="A68" s="25"/>
      <c r="B68" s="25"/>
      <c r="C68" s="25"/>
    </row>
    <row r="69" spans="1:7" x14ac:dyDescent="0.35">
      <c r="A69" s="26" t="s">
        <v>21</v>
      </c>
    </row>
    <row r="70" spans="1:7" x14ac:dyDescent="0.35">
      <c r="A70" s="25" t="s">
        <v>22</v>
      </c>
    </row>
    <row r="71" spans="1:7" x14ac:dyDescent="0.35">
      <c r="A71" s="26" t="s">
        <v>23</v>
      </c>
    </row>
    <row r="72" spans="1:7" x14ac:dyDescent="0.35">
      <c r="A72" s="25" t="s">
        <v>76</v>
      </c>
    </row>
    <row r="73" spans="1:7" x14ac:dyDescent="0.35">
      <c r="A73" s="26" t="s">
        <v>217</v>
      </c>
    </row>
    <row r="74" spans="1:7" x14ac:dyDescent="0.35">
      <c r="A74" s="25" t="s">
        <v>218</v>
      </c>
    </row>
    <row r="75" spans="1:7" x14ac:dyDescent="0.35">
      <c r="A75" s="25"/>
    </row>
    <row r="76" spans="1:7" x14ac:dyDescent="0.35">
      <c r="A76" s="32" t="s">
        <v>416</v>
      </c>
      <c r="G76" s="25"/>
    </row>
    <row r="77" spans="1:7" x14ac:dyDescent="0.35">
      <c r="A77" s="25"/>
      <c r="G77" s="25"/>
    </row>
    <row r="78" spans="1:7" x14ac:dyDescent="0.35">
      <c r="A78" s="151" t="s">
        <v>272</v>
      </c>
      <c r="B78" s="151" t="s">
        <v>273</v>
      </c>
      <c r="G78" s="25"/>
    </row>
    <row r="79" spans="1:7" x14ac:dyDescent="0.35">
      <c r="A79" s="32"/>
      <c r="G79" s="25"/>
    </row>
    <row r="80" spans="1:7" x14ac:dyDescent="0.35">
      <c r="A80" s="26" t="s">
        <v>421</v>
      </c>
      <c r="B80" s="55" t="s">
        <v>422</v>
      </c>
      <c r="G80" s="25"/>
    </row>
    <row r="81" spans="1:7" x14ac:dyDescent="0.35">
      <c r="A81" s="32"/>
      <c r="G81" s="25"/>
    </row>
    <row r="82" spans="1:7" x14ac:dyDescent="0.35">
      <c r="A82" s="26" t="s">
        <v>471</v>
      </c>
      <c r="B82" s="55" t="s">
        <v>410</v>
      </c>
      <c r="G82" s="25"/>
    </row>
    <row r="83" spans="1:7" x14ac:dyDescent="0.35">
      <c r="A83" s="32"/>
      <c r="G83" s="25"/>
    </row>
    <row r="84" spans="1:7" x14ac:dyDescent="0.35">
      <c r="A84" s="26" t="s">
        <v>408</v>
      </c>
      <c r="B84" s="55" t="s">
        <v>409</v>
      </c>
      <c r="G84" s="25"/>
    </row>
    <row r="86" spans="1:7" x14ac:dyDescent="0.35">
      <c r="A86" s="26" t="s">
        <v>450</v>
      </c>
      <c r="B86" s="55" t="s">
        <v>451</v>
      </c>
    </row>
    <row r="88" spans="1:7" x14ac:dyDescent="0.35">
      <c r="A88" s="26" t="s">
        <v>474</v>
      </c>
      <c r="B88" s="55" t="s">
        <v>410</v>
      </c>
    </row>
    <row r="89" spans="1:7" x14ac:dyDescent="0.35">
      <c r="A89" s="26"/>
      <c r="B89" s="55"/>
    </row>
    <row r="90" spans="1:7" x14ac:dyDescent="0.35">
      <c r="A90" s="26" t="s">
        <v>452</v>
      </c>
      <c r="B90" s="55" t="s">
        <v>409</v>
      </c>
    </row>
    <row r="92" spans="1:7" x14ac:dyDescent="0.35">
      <c r="A92" s="26" t="s">
        <v>473</v>
      </c>
      <c r="B92" s="55" t="s">
        <v>411</v>
      </c>
    </row>
    <row r="94" spans="1:7" x14ac:dyDescent="0.35">
      <c r="A94" s="26" t="s">
        <v>425</v>
      </c>
      <c r="B94" s="55" t="s">
        <v>409</v>
      </c>
    </row>
    <row r="95" spans="1:7" x14ac:dyDescent="0.35">
      <c r="A95" s="26"/>
      <c r="B95" s="55"/>
    </row>
    <row r="96" spans="1:7" x14ac:dyDescent="0.35">
      <c r="A96" s="26" t="s">
        <v>472</v>
      </c>
      <c r="B96" s="55" t="s">
        <v>451</v>
      </c>
    </row>
    <row r="97" spans="1:2" x14ac:dyDescent="0.35">
      <c r="A97" s="26"/>
      <c r="B97" s="55"/>
    </row>
    <row r="98" spans="1:2" x14ac:dyDescent="0.35">
      <c r="A98" s="26" t="s">
        <v>412</v>
      </c>
      <c r="B98" s="55" t="s">
        <v>413</v>
      </c>
    </row>
    <row r="99" spans="1:2" x14ac:dyDescent="0.35">
      <c r="A99" s="26"/>
      <c r="B99" s="55"/>
    </row>
    <row r="100" spans="1:2" x14ac:dyDescent="0.35">
      <c r="A100" s="26" t="s">
        <v>477</v>
      </c>
      <c r="B100" s="55" t="s">
        <v>409</v>
      </c>
    </row>
    <row r="102" spans="1:2" x14ac:dyDescent="0.35">
      <c r="A102" s="26" t="s">
        <v>470</v>
      </c>
      <c r="B102" s="55" t="s">
        <v>410</v>
      </c>
    </row>
    <row r="104" spans="1:2" x14ac:dyDescent="0.35">
      <c r="A104" s="26" t="s">
        <v>475</v>
      </c>
      <c r="B104" s="55" t="s">
        <v>420</v>
      </c>
    </row>
    <row r="105" spans="1:2" x14ac:dyDescent="0.35">
      <c r="B105" s="55"/>
    </row>
    <row r="106" spans="1:2" x14ac:dyDescent="0.35">
      <c r="A106" s="26" t="s">
        <v>476</v>
      </c>
      <c r="B106" s="55" t="s">
        <v>410</v>
      </c>
    </row>
    <row r="107" spans="1:2" x14ac:dyDescent="0.35">
      <c r="A107" s="26"/>
      <c r="B107" s="55"/>
    </row>
    <row r="108" spans="1:2" x14ac:dyDescent="0.35">
      <c r="A108" s="26" t="s">
        <v>428</v>
      </c>
      <c r="B108" s="55" t="s">
        <v>409</v>
      </c>
    </row>
    <row r="109" spans="1:2" x14ac:dyDescent="0.35">
      <c r="A109" s="26"/>
      <c r="B109" s="55"/>
    </row>
    <row r="110" spans="1:2" x14ac:dyDescent="0.35">
      <c r="A110" s="26" t="s">
        <v>440</v>
      </c>
      <c r="B110" s="55" t="s">
        <v>441</v>
      </c>
    </row>
    <row r="111" spans="1:2" x14ac:dyDescent="0.35">
      <c r="B111" s="55"/>
    </row>
    <row r="112" spans="1:2" x14ac:dyDescent="0.35">
      <c r="A112" s="26" t="s">
        <v>297</v>
      </c>
      <c r="B112" s="55" t="s">
        <v>427</v>
      </c>
    </row>
    <row r="113" spans="1:2" x14ac:dyDescent="0.35">
      <c r="B113" s="55"/>
    </row>
    <row r="114" spans="1:2" x14ac:dyDescent="0.35">
      <c r="A114" s="26" t="s">
        <v>414</v>
      </c>
      <c r="B114" s="55" t="s">
        <v>415</v>
      </c>
    </row>
    <row r="115" spans="1:2" x14ac:dyDescent="0.35">
      <c r="B115" s="55"/>
    </row>
    <row r="116" spans="1:2" x14ac:dyDescent="0.35">
      <c r="A116" s="26" t="s">
        <v>419</v>
      </c>
      <c r="B116" s="55" t="s">
        <v>417</v>
      </c>
    </row>
    <row r="117" spans="1:2" x14ac:dyDescent="0.35">
      <c r="B117" s="55"/>
    </row>
    <row r="118" spans="1:2" x14ac:dyDescent="0.35">
      <c r="A118" s="26" t="s">
        <v>418</v>
      </c>
      <c r="B118" s="55" t="s">
        <v>426</v>
      </c>
    </row>
    <row r="119" spans="1:2" x14ac:dyDescent="0.35">
      <c r="B119" s="55"/>
    </row>
    <row r="120" spans="1:2" x14ac:dyDescent="0.35">
      <c r="A120" s="26" t="s">
        <v>424</v>
      </c>
      <c r="B120" s="55" t="s">
        <v>423</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C16"/>
  <sheetViews>
    <sheetView workbookViewId="0">
      <selection activeCell="B24" sqref="B24"/>
    </sheetView>
  </sheetViews>
  <sheetFormatPr defaultRowHeight="14.5" x14ac:dyDescent="0.35"/>
  <cols>
    <col min="1" max="1" width="23.81640625" bestFit="1" customWidth="1"/>
    <col min="3" max="3" width="32.54296875" bestFit="1" customWidth="1"/>
  </cols>
  <sheetData>
    <row r="2" spans="1:3" x14ac:dyDescent="0.35">
      <c r="A2" t="s">
        <v>136</v>
      </c>
      <c r="C2" s="72" t="s">
        <v>187</v>
      </c>
    </row>
    <row r="3" spans="1:3" x14ac:dyDescent="0.35">
      <c r="A3" t="s">
        <v>7</v>
      </c>
      <c r="C3" s="72" t="s">
        <v>188</v>
      </c>
    </row>
    <row r="4" spans="1:3" x14ac:dyDescent="0.35">
      <c r="A4" t="s">
        <v>100</v>
      </c>
      <c r="C4" s="72" t="s">
        <v>189</v>
      </c>
    </row>
    <row r="5" spans="1:3" x14ac:dyDescent="0.35">
      <c r="A5" t="s">
        <v>114</v>
      </c>
      <c r="C5" t="s">
        <v>190</v>
      </c>
    </row>
    <row r="6" spans="1:3" x14ac:dyDescent="0.35">
      <c r="A6" t="s">
        <v>65</v>
      </c>
      <c r="C6" t="s">
        <v>191</v>
      </c>
    </row>
    <row r="7" spans="1:3" x14ac:dyDescent="0.35">
      <c r="A7" t="s">
        <v>108</v>
      </c>
      <c r="C7" t="s">
        <v>192</v>
      </c>
    </row>
    <row r="8" spans="1:3" x14ac:dyDescent="0.35">
      <c r="A8" t="s">
        <v>64</v>
      </c>
      <c r="C8" t="s">
        <v>193</v>
      </c>
    </row>
    <row r="9" spans="1:3" x14ac:dyDescent="0.35">
      <c r="A9" t="s">
        <v>186</v>
      </c>
      <c r="C9" t="s">
        <v>194</v>
      </c>
    </row>
    <row r="10" spans="1:3" x14ac:dyDescent="0.35">
      <c r="A10" t="s">
        <v>171</v>
      </c>
      <c r="C10" t="s">
        <v>195</v>
      </c>
    </row>
    <row r="11" spans="1:3" x14ac:dyDescent="0.35">
      <c r="A11" t="s">
        <v>97</v>
      </c>
      <c r="C11" t="s">
        <v>196</v>
      </c>
    </row>
    <row r="12" spans="1:3" x14ac:dyDescent="0.35">
      <c r="A12" t="s">
        <v>137</v>
      </c>
      <c r="C12" t="s">
        <v>197</v>
      </c>
    </row>
    <row r="13" spans="1:3" x14ac:dyDescent="0.35">
      <c r="A13" t="s">
        <v>177</v>
      </c>
      <c r="C13" t="s">
        <v>198</v>
      </c>
    </row>
    <row r="14" spans="1:3" x14ac:dyDescent="0.35">
      <c r="A14" t="s">
        <v>63</v>
      </c>
      <c r="C14" t="s">
        <v>199</v>
      </c>
    </row>
    <row r="15" spans="1:3" x14ac:dyDescent="0.35">
      <c r="A15" t="s">
        <v>135</v>
      </c>
      <c r="C15" t="s">
        <v>200</v>
      </c>
    </row>
    <row r="16" spans="1:3" x14ac:dyDescent="0.35">
      <c r="A16" t="s">
        <v>59</v>
      </c>
      <c r="C16" t="s">
        <v>201</v>
      </c>
    </row>
  </sheetData>
  <hyperlinks>
    <hyperlink ref="A16" r:id="rId1" display="https://www.facebook.com/groups/657276174438565/user/100002019378244/?__cft__%5b0%5d=AZVPaFsLmOyBlluDtISNOcyu9_QsWia7UFhB-F1ocerC3s0ggvsgL8eqGkoLPmFdoSrMYvwie7AZI6YbS4pT_4KPQ8fzjV2DpcBFziiTpH2Tt1HEGqebpDGcIizOkhWdhORgGbPsfdwvtnWg8mM3z0tiQysFF_rOrPviF8XMjw_AdP0XesWkkt-a9ExSvMjgy7w&amp;__tn__=-UC%2CP-R" xr:uid="{00000000-0004-0000-0200-000000000000}"/>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00000"/>
  </sheetPr>
  <dimension ref="A1:D191"/>
  <sheetViews>
    <sheetView tabSelected="1" workbookViewId="0">
      <pane ySplit="1" topLeftCell="A2" activePane="bottomLeft" state="frozen"/>
      <selection activeCell="A31" sqref="A31"/>
      <selection pane="bottomLeft" activeCell="A2" sqref="A2"/>
    </sheetView>
  </sheetViews>
  <sheetFormatPr defaultRowHeight="14.5" x14ac:dyDescent="0.35"/>
  <cols>
    <col min="1" max="1" width="22.54296875" customWidth="1"/>
    <col min="3" max="3" width="9.1796875" style="112" customWidth="1"/>
    <col min="4" max="4" width="10.54296875" bestFit="1" customWidth="1"/>
  </cols>
  <sheetData>
    <row r="1" spans="1:4" s="13" customFormat="1" x14ac:dyDescent="0.35">
      <c r="A1" s="13" t="s">
        <v>31</v>
      </c>
      <c r="B1" s="13" t="s">
        <v>73</v>
      </c>
      <c r="C1" s="111" t="s">
        <v>84</v>
      </c>
      <c r="D1" s="13" t="s">
        <v>102</v>
      </c>
    </row>
    <row r="2" spans="1:4" x14ac:dyDescent="0.35">
      <c r="A2" s="15" t="s">
        <v>93</v>
      </c>
      <c r="B2" t="s">
        <v>30</v>
      </c>
    </row>
    <row r="3" spans="1:4" x14ac:dyDescent="0.35">
      <c r="A3" s="15" t="s">
        <v>51</v>
      </c>
      <c r="B3" t="s">
        <v>30</v>
      </c>
    </row>
    <row r="4" spans="1:4" x14ac:dyDescent="0.35">
      <c r="A4" s="15" t="s">
        <v>49</v>
      </c>
      <c r="B4" t="s">
        <v>30</v>
      </c>
    </row>
    <row r="5" spans="1:4" x14ac:dyDescent="0.35">
      <c r="A5" s="15" t="s">
        <v>55</v>
      </c>
      <c r="B5" t="s">
        <v>30</v>
      </c>
    </row>
    <row r="6" spans="1:4" x14ac:dyDescent="0.35">
      <c r="A6" s="15" t="s">
        <v>96</v>
      </c>
      <c r="B6" t="s">
        <v>30</v>
      </c>
    </row>
    <row r="7" spans="1:4" x14ac:dyDescent="0.35">
      <c r="A7" s="15" t="s">
        <v>5</v>
      </c>
      <c r="B7" t="s">
        <v>29</v>
      </c>
    </row>
    <row r="8" spans="1:4" x14ac:dyDescent="0.35">
      <c r="A8" s="15" t="s">
        <v>78</v>
      </c>
      <c r="B8" t="s">
        <v>30</v>
      </c>
      <c r="C8" s="112">
        <v>0.4</v>
      </c>
    </row>
    <row r="9" spans="1:4" x14ac:dyDescent="0.35">
      <c r="A9" s="15" t="s">
        <v>63</v>
      </c>
      <c r="B9" t="s">
        <v>30</v>
      </c>
    </row>
    <row r="10" spans="1:4" x14ac:dyDescent="0.35">
      <c r="A10" s="15" t="s">
        <v>65</v>
      </c>
      <c r="B10" t="s">
        <v>30</v>
      </c>
    </row>
    <row r="11" spans="1:4" x14ac:dyDescent="0.35">
      <c r="A11" s="15" t="s">
        <v>62</v>
      </c>
      <c r="B11" t="s">
        <v>30</v>
      </c>
    </row>
    <row r="12" spans="1:4" x14ac:dyDescent="0.35">
      <c r="A12" s="15" t="s">
        <v>41</v>
      </c>
      <c r="B12" t="s">
        <v>30</v>
      </c>
    </row>
    <row r="13" spans="1:4" x14ac:dyDescent="0.35">
      <c r="A13" s="15" t="s">
        <v>46</v>
      </c>
      <c r="B13" t="s">
        <v>30</v>
      </c>
    </row>
    <row r="14" spans="1:4" x14ac:dyDescent="0.35">
      <c r="A14" s="15" t="s">
        <v>59</v>
      </c>
      <c r="B14" t="s">
        <v>30</v>
      </c>
    </row>
    <row r="15" spans="1:4" x14ac:dyDescent="0.35">
      <c r="A15" s="15" t="s">
        <v>64</v>
      </c>
      <c r="B15" t="s">
        <v>29</v>
      </c>
      <c r="C15" s="112">
        <v>0.7</v>
      </c>
    </row>
    <row r="16" spans="1:4" x14ac:dyDescent="0.35">
      <c r="A16" s="15" t="s">
        <v>56</v>
      </c>
      <c r="B16" t="s">
        <v>30</v>
      </c>
    </row>
    <row r="17" spans="1:3" x14ac:dyDescent="0.35">
      <c r="A17" s="15" t="s">
        <v>53</v>
      </c>
      <c r="B17" t="s">
        <v>30</v>
      </c>
    </row>
    <row r="18" spans="1:3" x14ac:dyDescent="0.35">
      <c r="A18" s="15" t="s">
        <v>43</v>
      </c>
      <c r="B18" t="s">
        <v>30</v>
      </c>
    </row>
    <row r="19" spans="1:3" x14ac:dyDescent="0.35">
      <c r="A19" s="15" t="s">
        <v>94</v>
      </c>
      <c r="B19" t="s">
        <v>29</v>
      </c>
    </row>
    <row r="20" spans="1:3" x14ac:dyDescent="0.35">
      <c r="A20" s="15" t="s">
        <v>58</v>
      </c>
      <c r="B20" t="s">
        <v>30</v>
      </c>
    </row>
    <row r="21" spans="1:3" x14ac:dyDescent="0.35">
      <c r="A21" s="15" t="s">
        <v>60</v>
      </c>
      <c r="B21" t="s">
        <v>30</v>
      </c>
    </row>
    <row r="22" spans="1:3" x14ac:dyDescent="0.35">
      <c r="A22" s="15" t="s">
        <v>99</v>
      </c>
      <c r="B22" t="s">
        <v>30</v>
      </c>
    </row>
    <row r="23" spans="1:3" x14ac:dyDescent="0.35">
      <c r="A23" s="15" t="s">
        <v>48</v>
      </c>
      <c r="B23" t="s">
        <v>30</v>
      </c>
      <c r="C23" s="112">
        <v>0.4</v>
      </c>
    </row>
    <row r="24" spans="1:3" x14ac:dyDescent="0.35">
      <c r="A24" s="15" t="s">
        <v>98</v>
      </c>
      <c r="B24" t="s">
        <v>30</v>
      </c>
    </row>
    <row r="25" spans="1:3" x14ac:dyDescent="0.35">
      <c r="A25" s="15" t="s">
        <v>97</v>
      </c>
      <c r="B25" t="s">
        <v>29</v>
      </c>
      <c r="C25" s="112">
        <v>0.4</v>
      </c>
    </row>
    <row r="26" spans="1:3" x14ac:dyDescent="0.35">
      <c r="A26" s="15" t="s">
        <v>50</v>
      </c>
      <c r="B26" t="s">
        <v>30</v>
      </c>
    </row>
    <row r="27" spans="1:3" x14ac:dyDescent="0.35">
      <c r="A27" s="15" t="s">
        <v>77</v>
      </c>
      <c r="B27" t="s">
        <v>30</v>
      </c>
    </row>
    <row r="28" spans="1:3" x14ac:dyDescent="0.35">
      <c r="A28" s="15" t="s">
        <v>95</v>
      </c>
      <c r="B28" t="s">
        <v>29</v>
      </c>
    </row>
    <row r="29" spans="1:3" x14ac:dyDescent="0.35">
      <c r="A29" s="15" t="s">
        <v>47</v>
      </c>
      <c r="B29" t="s">
        <v>30</v>
      </c>
    </row>
    <row r="30" spans="1:3" x14ac:dyDescent="0.35">
      <c r="A30" s="15" t="s">
        <v>61</v>
      </c>
      <c r="B30" t="s">
        <v>29</v>
      </c>
    </row>
    <row r="31" spans="1:3" x14ac:dyDescent="0.35">
      <c r="A31" s="15" t="s">
        <v>86</v>
      </c>
      <c r="B31" t="s">
        <v>30</v>
      </c>
    </row>
    <row r="32" spans="1:3" x14ac:dyDescent="0.35">
      <c r="A32" s="15" t="s">
        <v>100</v>
      </c>
      <c r="B32" t="s">
        <v>29</v>
      </c>
    </row>
    <row r="33" spans="1:2" x14ac:dyDescent="0.35">
      <c r="A33" s="15" t="s">
        <v>57</v>
      </c>
      <c r="B33" t="s">
        <v>30</v>
      </c>
    </row>
    <row r="34" spans="1:2" x14ac:dyDescent="0.35">
      <c r="A34" s="15" t="s">
        <v>54</v>
      </c>
      <c r="B34" t="s">
        <v>30</v>
      </c>
    </row>
    <row r="35" spans="1:2" x14ac:dyDescent="0.35">
      <c r="A35" s="15" t="s">
        <v>79</v>
      </c>
      <c r="B35" t="s">
        <v>30</v>
      </c>
    </row>
    <row r="36" spans="1:2" x14ac:dyDescent="0.35">
      <c r="A36" s="15" t="s">
        <v>101</v>
      </c>
      <c r="B36" t="s">
        <v>30</v>
      </c>
    </row>
    <row r="37" spans="1:2" x14ac:dyDescent="0.35">
      <c r="A37" s="15" t="s">
        <v>72</v>
      </c>
      <c r="B37" t="s">
        <v>30</v>
      </c>
    </row>
    <row r="38" spans="1:2" x14ac:dyDescent="0.35">
      <c r="A38" s="15" t="s">
        <v>45</v>
      </c>
      <c r="B38" t="s">
        <v>29</v>
      </c>
    </row>
    <row r="39" spans="1:2" x14ac:dyDescent="0.35">
      <c r="A39" s="15" t="s">
        <v>108</v>
      </c>
      <c r="B39" t="s">
        <v>30</v>
      </c>
    </row>
    <row r="40" spans="1:2" x14ac:dyDescent="0.35">
      <c r="A40" s="15" t="s">
        <v>109</v>
      </c>
      <c r="B40" t="s">
        <v>29</v>
      </c>
    </row>
    <row r="41" spans="1:2" x14ac:dyDescent="0.35">
      <c r="A41" s="15" t="s">
        <v>110</v>
      </c>
      <c r="B41" t="s">
        <v>30</v>
      </c>
    </row>
    <row r="42" spans="1:2" x14ac:dyDescent="0.35">
      <c r="A42" s="15" t="s">
        <v>111</v>
      </c>
      <c r="B42" t="s">
        <v>30</v>
      </c>
    </row>
    <row r="43" spans="1:2" x14ac:dyDescent="0.35">
      <c r="A43" s="15" t="s">
        <v>112</v>
      </c>
      <c r="B43" t="s">
        <v>30</v>
      </c>
    </row>
    <row r="44" spans="1:2" x14ac:dyDescent="0.35">
      <c r="A44" s="15" t="s">
        <v>113</v>
      </c>
      <c r="B44" t="s">
        <v>30</v>
      </c>
    </row>
    <row r="45" spans="1:2" x14ac:dyDescent="0.35">
      <c r="A45" s="15" t="s">
        <v>44</v>
      </c>
      <c r="B45" t="s">
        <v>29</v>
      </c>
    </row>
    <row r="46" spans="1:2" x14ac:dyDescent="0.35">
      <c r="A46" s="15" t="s">
        <v>114</v>
      </c>
      <c r="B46" t="s">
        <v>30</v>
      </c>
    </row>
    <row r="47" spans="1:2" x14ac:dyDescent="0.35">
      <c r="A47" s="15" t="s">
        <v>7</v>
      </c>
      <c r="B47" t="s">
        <v>30</v>
      </c>
    </row>
    <row r="48" spans="1:2" x14ac:dyDescent="0.35">
      <c r="A48" s="15" t="s">
        <v>248</v>
      </c>
      <c r="B48" t="s">
        <v>30</v>
      </c>
    </row>
    <row r="49" spans="1:3" x14ac:dyDescent="0.35">
      <c r="A49" s="15" t="s">
        <v>115</v>
      </c>
      <c r="B49" t="s">
        <v>30</v>
      </c>
    </row>
    <row r="50" spans="1:3" x14ac:dyDescent="0.35">
      <c r="A50" s="15" t="s">
        <v>116</v>
      </c>
      <c r="B50" t="s">
        <v>29</v>
      </c>
    </row>
    <row r="51" spans="1:3" x14ac:dyDescent="0.35">
      <c r="A51" s="15" t="s">
        <v>118</v>
      </c>
      <c r="B51" t="s">
        <v>29</v>
      </c>
    </row>
    <row r="52" spans="1:3" x14ac:dyDescent="0.35">
      <c r="A52" s="15" t="s">
        <v>52</v>
      </c>
      <c r="B52" t="s">
        <v>29</v>
      </c>
    </row>
    <row r="53" spans="1:3" x14ac:dyDescent="0.35">
      <c r="A53" s="15" t="s">
        <v>121</v>
      </c>
      <c r="B53" t="s">
        <v>29</v>
      </c>
    </row>
    <row r="54" spans="1:3" x14ac:dyDescent="0.35">
      <c r="A54" s="15" t="s">
        <v>123</v>
      </c>
      <c r="B54" t="s">
        <v>30</v>
      </c>
    </row>
    <row r="55" spans="1:3" x14ac:dyDescent="0.35">
      <c r="A55" s="15" t="s">
        <v>124</v>
      </c>
      <c r="B55" t="s">
        <v>30</v>
      </c>
    </row>
    <row r="56" spans="1:3" x14ac:dyDescent="0.35">
      <c r="A56" s="15" t="s">
        <v>122</v>
      </c>
      <c r="B56" t="s">
        <v>30</v>
      </c>
    </row>
    <row r="57" spans="1:3" x14ac:dyDescent="0.35">
      <c r="A57" s="15" t="s">
        <v>120</v>
      </c>
      <c r="B57" t="s">
        <v>30</v>
      </c>
    </row>
    <row r="58" spans="1:3" x14ac:dyDescent="0.35">
      <c r="A58" s="56" t="s">
        <v>125</v>
      </c>
      <c r="B58" t="s">
        <v>30</v>
      </c>
    </row>
    <row r="59" spans="1:3" x14ac:dyDescent="0.35">
      <c r="A59" t="s">
        <v>129</v>
      </c>
      <c r="B59" t="s">
        <v>30</v>
      </c>
    </row>
    <row r="60" spans="1:3" x14ac:dyDescent="0.35">
      <c r="A60" t="s">
        <v>132</v>
      </c>
      <c r="B60" t="s">
        <v>29</v>
      </c>
    </row>
    <row r="61" spans="1:3" x14ac:dyDescent="0.35">
      <c r="A61" t="s">
        <v>133</v>
      </c>
      <c r="B61" t="s">
        <v>30</v>
      </c>
      <c r="C61" s="112">
        <v>0.4</v>
      </c>
    </row>
    <row r="62" spans="1:3" ht="16.5" customHeight="1" x14ac:dyDescent="0.35">
      <c r="A62" t="s">
        <v>134</v>
      </c>
      <c r="B62" t="s">
        <v>30</v>
      </c>
    </row>
    <row r="63" spans="1:3" x14ac:dyDescent="0.35">
      <c r="A63" t="s">
        <v>135</v>
      </c>
      <c r="B63" t="s">
        <v>29</v>
      </c>
    </row>
    <row r="64" spans="1:3" x14ac:dyDescent="0.35">
      <c r="A64" t="s">
        <v>136</v>
      </c>
      <c r="B64" t="s">
        <v>29</v>
      </c>
    </row>
    <row r="65" spans="1:2" x14ac:dyDescent="0.35">
      <c r="A65" t="s">
        <v>137</v>
      </c>
      <c r="B65" t="s">
        <v>30</v>
      </c>
    </row>
    <row r="66" spans="1:2" x14ac:dyDescent="0.35">
      <c r="A66" t="s">
        <v>138</v>
      </c>
      <c r="B66" t="s">
        <v>29</v>
      </c>
    </row>
    <row r="67" spans="1:2" x14ac:dyDescent="0.35">
      <c r="A67" t="s">
        <v>139</v>
      </c>
      <c r="B67" t="s">
        <v>29</v>
      </c>
    </row>
    <row r="68" spans="1:2" x14ac:dyDescent="0.35">
      <c r="A68" t="s">
        <v>170</v>
      </c>
      <c r="B68" t="s">
        <v>29</v>
      </c>
    </row>
    <row r="69" spans="1:2" x14ac:dyDescent="0.35">
      <c r="A69" t="s">
        <v>291</v>
      </c>
      <c r="B69" t="s">
        <v>29</v>
      </c>
    </row>
    <row r="70" spans="1:2" x14ac:dyDescent="0.35">
      <c r="A70" t="s">
        <v>172</v>
      </c>
      <c r="B70" t="s">
        <v>30</v>
      </c>
    </row>
    <row r="71" spans="1:2" x14ac:dyDescent="0.35">
      <c r="A71" t="s">
        <v>176</v>
      </c>
      <c r="B71" t="s">
        <v>29</v>
      </c>
    </row>
    <row r="72" spans="1:2" x14ac:dyDescent="0.35">
      <c r="A72" t="s">
        <v>177</v>
      </c>
      <c r="B72" t="s">
        <v>29</v>
      </c>
    </row>
    <row r="73" spans="1:2" x14ac:dyDescent="0.35">
      <c r="A73" t="s">
        <v>178</v>
      </c>
      <c r="B73" t="s">
        <v>30</v>
      </c>
    </row>
    <row r="74" spans="1:2" x14ac:dyDescent="0.35">
      <c r="A74" t="s">
        <v>179</v>
      </c>
      <c r="B74" t="s">
        <v>30</v>
      </c>
    </row>
    <row r="75" spans="1:2" x14ac:dyDescent="0.35">
      <c r="A75" t="s">
        <v>181</v>
      </c>
      <c r="B75" t="s">
        <v>29</v>
      </c>
    </row>
    <row r="76" spans="1:2" x14ac:dyDescent="0.35">
      <c r="A76" t="s">
        <v>202</v>
      </c>
      <c r="B76" t="s">
        <v>30</v>
      </c>
    </row>
    <row r="77" spans="1:2" x14ac:dyDescent="0.35">
      <c r="A77" t="s">
        <v>203</v>
      </c>
      <c r="B77" t="s">
        <v>30</v>
      </c>
    </row>
    <row r="78" spans="1:2" x14ac:dyDescent="0.35">
      <c r="A78" t="s">
        <v>204</v>
      </c>
      <c r="B78" t="s">
        <v>30</v>
      </c>
    </row>
    <row r="79" spans="1:2" x14ac:dyDescent="0.35">
      <c r="A79" t="s">
        <v>205</v>
      </c>
      <c r="B79" t="s">
        <v>30</v>
      </c>
    </row>
    <row r="80" spans="1:2" x14ac:dyDescent="0.35">
      <c r="A80" t="s">
        <v>206</v>
      </c>
      <c r="B80" t="s">
        <v>30</v>
      </c>
    </row>
    <row r="81" spans="1:2" x14ac:dyDescent="0.35">
      <c r="A81" t="s">
        <v>208</v>
      </c>
      <c r="B81" t="s">
        <v>30</v>
      </c>
    </row>
    <row r="82" spans="1:2" x14ac:dyDescent="0.35">
      <c r="A82" t="s">
        <v>209</v>
      </c>
      <c r="B82" t="s">
        <v>29</v>
      </c>
    </row>
    <row r="83" spans="1:2" x14ac:dyDescent="0.35">
      <c r="A83" t="s">
        <v>224</v>
      </c>
      <c r="B83" t="s">
        <v>30</v>
      </c>
    </row>
    <row r="84" spans="1:2" x14ac:dyDescent="0.35">
      <c r="A84" t="s">
        <v>225</v>
      </c>
      <c r="B84" t="s">
        <v>29</v>
      </c>
    </row>
    <row r="85" spans="1:2" x14ac:dyDescent="0.35">
      <c r="A85" t="s">
        <v>226</v>
      </c>
      <c r="B85" t="s">
        <v>30</v>
      </c>
    </row>
    <row r="86" spans="1:2" x14ac:dyDescent="0.35">
      <c r="A86" t="s">
        <v>227</v>
      </c>
      <c r="B86" t="s">
        <v>30</v>
      </c>
    </row>
    <row r="87" spans="1:2" x14ac:dyDescent="0.35">
      <c r="A87" t="s">
        <v>229</v>
      </c>
      <c r="B87" t="s">
        <v>29</v>
      </c>
    </row>
    <row r="88" spans="1:2" x14ac:dyDescent="0.35">
      <c r="A88" t="s">
        <v>240</v>
      </c>
      <c r="B88" t="s">
        <v>29</v>
      </c>
    </row>
    <row r="89" spans="1:2" x14ac:dyDescent="0.35">
      <c r="A89" t="s">
        <v>241</v>
      </c>
      <c r="B89" t="s">
        <v>29</v>
      </c>
    </row>
    <row r="90" spans="1:2" x14ac:dyDescent="0.35">
      <c r="A90" t="s">
        <v>242</v>
      </c>
      <c r="B90" t="s">
        <v>30</v>
      </c>
    </row>
    <row r="91" spans="1:2" x14ac:dyDescent="0.35">
      <c r="A91" t="s">
        <v>243</v>
      </c>
      <c r="B91" t="s">
        <v>30</v>
      </c>
    </row>
    <row r="92" spans="1:2" x14ac:dyDescent="0.35">
      <c r="A92" t="s">
        <v>241</v>
      </c>
      <c r="B92" t="s">
        <v>29</v>
      </c>
    </row>
    <row r="93" spans="1:2" x14ac:dyDescent="0.35">
      <c r="A93" t="s">
        <v>245</v>
      </c>
      <c r="B93" t="s">
        <v>30</v>
      </c>
    </row>
    <row r="94" spans="1:2" x14ac:dyDescent="0.35">
      <c r="A94" t="s">
        <v>246</v>
      </c>
      <c r="B94" t="s">
        <v>30</v>
      </c>
    </row>
    <row r="95" spans="1:2" x14ac:dyDescent="0.35">
      <c r="A95" t="s">
        <v>247</v>
      </c>
      <c r="B95" t="s">
        <v>30</v>
      </c>
    </row>
    <row r="96" spans="1:2" x14ac:dyDescent="0.35">
      <c r="A96" t="s">
        <v>249</v>
      </c>
      <c r="B96" t="s">
        <v>30</v>
      </c>
    </row>
    <row r="97" spans="1:2" x14ac:dyDescent="0.35">
      <c r="A97" t="s">
        <v>250</v>
      </c>
      <c r="B97" t="s">
        <v>29</v>
      </c>
    </row>
    <row r="98" spans="1:2" x14ac:dyDescent="0.35">
      <c r="A98" t="s">
        <v>251</v>
      </c>
      <c r="B98" t="s">
        <v>30</v>
      </c>
    </row>
    <row r="99" spans="1:2" x14ac:dyDescent="0.35">
      <c r="A99" t="s">
        <v>252</v>
      </c>
      <c r="B99" t="s">
        <v>30</v>
      </c>
    </row>
    <row r="100" spans="1:2" x14ac:dyDescent="0.35">
      <c r="A100" t="s">
        <v>275</v>
      </c>
      <c r="B100" t="s">
        <v>30</v>
      </c>
    </row>
    <row r="101" spans="1:2" x14ac:dyDescent="0.35">
      <c r="A101" t="s">
        <v>276</v>
      </c>
      <c r="B101" t="s">
        <v>30</v>
      </c>
    </row>
    <row r="102" spans="1:2" x14ac:dyDescent="0.35">
      <c r="A102" t="s">
        <v>277</v>
      </c>
      <c r="B102" t="s">
        <v>30</v>
      </c>
    </row>
    <row r="103" spans="1:2" x14ac:dyDescent="0.35">
      <c r="A103" t="s">
        <v>289</v>
      </c>
      <c r="B103" t="s">
        <v>29</v>
      </c>
    </row>
    <row r="104" spans="1:2" x14ac:dyDescent="0.35">
      <c r="A104" t="s">
        <v>278</v>
      </c>
      <c r="B104" t="s">
        <v>30</v>
      </c>
    </row>
    <row r="105" spans="1:2" x14ac:dyDescent="0.35">
      <c r="A105" t="s">
        <v>293</v>
      </c>
      <c r="B105" t="s">
        <v>30</v>
      </c>
    </row>
    <row r="106" spans="1:2" x14ac:dyDescent="0.35">
      <c r="A106" t="s">
        <v>279</v>
      </c>
      <c r="B106" t="s">
        <v>30</v>
      </c>
    </row>
    <row r="107" spans="1:2" x14ac:dyDescent="0.35">
      <c r="A107" t="s">
        <v>283</v>
      </c>
      <c r="B107" t="s">
        <v>30</v>
      </c>
    </row>
    <row r="108" spans="1:2" x14ac:dyDescent="0.35">
      <c r="A108" t="s">
        <v>284</v>
      </c>
      <c r="B108" t="s">
        <v>30</v>
      </c>
    </row>
    <row r="109" spans="1:2" x14ac:dyDescent="0.35">
      <c r="A109" t="s">
        <v>285</v>
      </c>
      <c r="B109" t="s">
        <v>30</v>
      </c>
    </row>
    <row r="110" spans="1:2" x14ac:dyDescent="0.35">
      <c r="A110" t="s">
        <v>286</v>
      </c>
      <c r="B110" t="s">
        <v>29</v>
      </c>
    </row>
    <row r="111" spans="1:2" x14ac:dyDescent="0.35">
      <c r="A111" t="s">
        <v>287</v>
      </c>
      <c r="B111" t="s">
        <v>30</v>
      </c>
    </row>
    <row r="112" spans="1:2" x14ac:dyDescent="0.35">
      <c r="A112" t="s">
        <v>288</v>
      </c>
      <c r="B112" t="s">
        <v>30</v>
      </c>
    </row>
    <row r="113" spans="1:4" x14ac:dyDescent="0.35">
      <c r="A113" t="s">
        <v>290</v>
      </c>
      <c r="B113" t="s">
        <v>29</v>
      </c>
    </row>
    <row r="114" spans="1:4" x14ac:dyDescent="0.35">
      <c r="A114" t="s">
        <v>292</v>
      </c>
      <c r="B114" t="s">
        <v>29</v>
      </c>
    </row>
    <row r="115" spans="1:4" x14ac:dyDescent="0.35">
      <c r="A115" t="s">
        <v>294</v>
      </c>
      <c r="B115" t="s">
        <v>29</v>
      </c>
    </row>
    <row r="116" spans="1:4" x14ac:dyDescent="0.35">
      <c r="A116" t="s">
        <v>296</v>
      </c>
      <c r="B116" t="s">
        <v>30</v>
      </c>
    </row>
    <row r="117" spans="1:4" x14ac:dyDescent="0.35">
      <c r="A117" t="s">
        <v>300</v>
      </c>
      <c r="B117" t="s">
        <v>30</v>
      </c>
    </row>
    <row r="118" spans="1:4" x14ac:dyDescent="0.35">
      <c r="A118" t="s">
        <v>301</v>
      </c>
      <c r="B118" t="s">
        <v>30</v>
      </c>
    </row>
    <row r="119" spans="1:4" x14ac:dyDescent="0.35">
      <c r="A119" t="s">
        <v>302</v>
      </c>
      <c r="B119" t="s">
        <v>30</v>
      </c>
    </row>
    <row r="120" spans="1:4" x14ac:dyDescent="0.35">
      <c r="A120" t="s">
        <v>303</v>
      </c>
      <c r="B120" t="s">
        <v>29</v>
      </c>
    </row>
    <row r="121" spans="1:4" x14ac:dyDescent="0.35">
      <c r="A121" t="s">
        <v>304</v>
      </c>
      <c r="B121" t="s">
        <v>29</v>
      </c>
    </row>
    <row r="122" spans="1:4" x14ac:dyDescent="0.35">
      <c r="A122" t="s">
        <v>305</v>
      </c>
      <c r="B122" t="s">
        <v>29</v>
      </c>
    </row>
    <row r="123" spans="1:4" x14ac:dyDescent="0.35">
      <c r="A123" t="s">
        <v>306</v>
      </c>
      <c r="B123" t="s">
        <v>29</v>
      </c>
    </row>
    <row r="124" spans="1:4" x14ac:dyDescent="0.35">
      <c r="A124" t="s">
        <v>332</v>
      </c>
      <c r="B124" t="s">
        <v>30</v>
      </c>
      <c r="C124" s="112">
        <v>0.4</v>
      </c>
      <c r="D124" t="s">
        <v>103</v>
      </c>
    </row>
    <row r="125" spans="1:4" x14ac:dyDescent="0.35">
      <c r="A125" t="s">
        <v>333</v>
      </c>
      <c r="B125" t="s">
        <v>30</v>
      </c>
      <c r="D125" t="s">
        <v>103</v>
      </c>
    </row>
    <row r="126" spans="1:4" x14ac:dyDescent="0.35">
      <c r="A126" t="s">
        <v>335</v>
      </c>
      <c r="B126" t="s">
        <v>30</v>
      </c>
      <c r="C126" s="112">
        <v>0.4</v>
      </c>
      <c r="D126" t="s">
        <v>103</v>
      </c>
    </row>
    <row r="127" spans="1:4" x14ac:dyDescent="0.35">
      <c r="A127" t="s">
        <v>336</v>
      </c>
      <c r="B127" t="s">
        <v>30</v>
      </c>
      <c r="D127" t="s">
        <v>103</v>
      </c>
    </row>
    <row r="128" spans="1:4" x14ac:dyDescent="0.35">
      <c r="A128" t="s">
        <v>331</v>
      </c>
      <c r="B128" t="s">
        <v>29</v>
      </c>
      <c r="D128" t="s">
        <v>103</v>
      </c>
    </row>
    <row r="129" spans="1:4" x14ac:dyDescent="0.35">
      <c r="A129" t="s">
        <v>337</v>
      </c>
      <c r="B129" t="s">
        <v>30</v>
      </c>
      <c r="D129" t="s">
        <v>103</v>
      </c>
    </row>
    <row r="130" spans="1:4" x14ac:dyDescent="0.35">
      <c r="A130" t="s">
        <v>338</v>
      </c>
      <c r="B130" t="s">
        <v>29</v>
      </c>
      <c r="D130" t="s">
        <v>103</v>
      </c>
    </row>
    <row r="131" spans="1:4" x14ac:dyDescent="0.35">
      <c r="A131" t="s">
        <v>339</v>
      </c>
      <c r="B131" t="s">
        <v>30</v>
      </c>
      <c r="D131" t="s">
        <v>103</v>
      </c>
    </row>
    <row r="132" spans="1:4" x14ac:dyDescent="0.35">
      <c r="A132" t="s">
        <v>340</v>
      </c>
      <c r="B132" t="s">
        <v>30</v>
      </c>
      <c r="D132" t="s">
        <v>103</v>
      </c>
    </row>
    <row r="133" spans="1:4" x14ac:dyDescent="0.35">
      <c r="A133" t="s">
        <v>341</v>
      </c>
      <c r="B133" t="s">
        <v>30</v>
      </c>
      <c r="D133" t="s">
        <v>103</v>
      </c>
    </row>
    <row r="134" spans="1:4" x14ac:dyDescent="0.35">
      <c r="A134" t="s">
        <v>342</v>
      </c>
      <c r="B134" t="s">
        <v>30</v>
      </c>
      <c r="D134" t="s">
        <v>103</v>
      </c>
    </row>
    <row r="135" spans="1:4" x14ac:dyDescent="0.35">
      <c r="A135" t="s">
        <v>343</v>
      </c>
      <c r="B135" t="s">
        <v>30</v>
      </c>
      <c r="D135" t="s">
        <v>103</v>
      </c>
    </row>
    <row r="136" spans="1:4" x14ac:dyDescent="0.35">
      <c r="A136" t="s">
        <v>378</v>
      </c>
      <c r="B136" t="s">
        <v>29</v>
      </c>
      <c r="D136" t="s">
        <v>103</v>
      </c>
    </row>
    <row r="137" spans="1:4" x14ac:dyDescent="0.35">
      <c r="A137" t="s">
        <v>344</v>
      </c>
      <c r="B137" t="s">
        <v>29</v>
      </c>
      <c r="D137" t="s">
        <v>103</v>
      </c>
    </row>
    <row r="138" spans="1:4" x14ac:dyDescent="0.35">
      <c r="A138" t="s">
        <v>345</v>
      </c>
      <c r="B138" t="s">
        <v>29</v>
      </c>
      <c r="D138" t="s">
        <v>103</v>
      </c>
    </row>
    <row r="139" spans="1:4" x14ac:dyDescent="0.35">
      <c r="A139" t="s">
        <v>346</v>
      </c>
      <c r="B139" t="s">
        <v>30</v>
      </c>
      <c r="D139" t="s">
        <v>103</v>
      </c>
    </row>
    <row r="140" spans="1:4" x14ac:dyDescent="0.35">
      <c r="A140" t="s">
        <v>347</v>
      </c>
      <c r="B140" t="s">
        <v>29</v>
      </c>
      <c r="D140" t="s">
        <v>103</v>
      </c>
    </row>
    <row r="141" spans="1:4" x14ac:dyDescent="0.35">
      <c r="A141" t="s">
        <v>350</v>
      </c>
      <c r="B141" t="s">
        <v>29</v>
      </c>
      <c r="D141" t="s">
        <v>103</v>
      </c>
    </row>
    <row r="142" spans="1:4" x14ac:dyDescent="0.35">
      <c r="A142" t="s">
        <v>351</v>
      </c>
      <c r="B142" t="s">
        <v>29</v>
      </c>
      <c r="D142" t="s">
        <v>103</v>
      </c>
    </row>
    <row r="143" spans="1:4" x14ac:dyDescent="0.35">
      <c r="A143" t="s">
        <v>352</v>
      </c>
      <c r="B143" t="s">
        <v>30</v>
      </c>
      <c r="D143" t="s">
        <v>103</v>
      </c>
    </row>
    <row r="144" spans="1:4" x14ac:dyDescent="0.35">
      <c r="A144" t="s">
        <v>353</v>
      </c>
      <c r="B144" t="s">
        <v>30</v>
      </c>
      <c r="D144" t="s">
        <v>103</v>
      </c>
    </row>
    <row r="145" spans="1:4" x14ac:dyDescent="0.35">
      <c r="A145" t="s">
        <v>354</v>
      </c>
      <c r="B145" t="s">
        <v>30</v>
      </c>
      <c r="D145" t="s">
        <v>103</v>
      </c>
    </row>
    <row r="146" spans="1:4" x14ac:dyDescent="0.35">
      <c r="A146" t="s">
        <v>355</v>
      </c>
      <c r="B146" t="s">
        <v>29</v>
      </c>
      <c r="D146" t="s">
        <v>103</v>
      </c>
    </row>
    <row r="147" spans="1:4" x14ac:dyDescent="0.35">
      <c r="A147" t="s">
        <v>356</v>
      </c>
      <c r="B147" t="s">
        <v>30</v>
      </c>
      <c r="D147" t="s">
        <v>103</v>
      </c>
    </row>
    <row r="148" spans="1:4" x14ac:dyDescent="0.35">
      <c r="A148" t="s">
        <v>357</v>
      </c>
      <c r="B148" t="s">
        <v>30</v>
      </c>
      <c r="D148" t="s">
        <v>103</v>
      </c>
    </row>
    <row r="149" spans="1:4" x14ac:dyDescent="0.35">
      <c r="A149" t="s">
        <v>358</v>
      </c>
      <c r="B149" t="s">
        <v>29</v>
      </c>
      <c r="D149" t="s">
        <v>103</v>
      </c>
    </row>
    <row r="150" spans="1:4" x14ac:dyDescent="0.35">
      <c r="A150" t="s">
        <v>359</v>
      </c>
      <c r="B150" t="s">
        <v>30</v>
      </c>
      <c r="D150" t="s">
        <v>103</v>
      </c>
    </row>
    <row r="151" spans="1:4" x14ac:dyDescent="0.35">
      <c r="A151" t="s">
        <v>361</v>
      </c>
      <c r="B151" t="s">
        <v>30</v>
      </c>
      <c r="D151" t="s">
        <v>103</v>
      </c>
    </row>
    <row r="152" spans="1:4" x14ac:dyDescent="0.35">
      <c r="A152" t="s">
        <v>362</v>
      </c>
      <c r="B152" t="s">
        <v>30</v>
      </c>
      <c r="D152" t="s">
        <v>103</v>
      </c>
    </row>
    <row r="153" spans="1:4" x14ac:dyDescent="0.35">
      <c r="A153" t="s">
        <v>363</v>
      </c>
      <c r="B153" t="s">
        <v>29</v>
      </c>
      <c r="D153" t="s">
        <v>103</v>
      </c>
    </row>
    <row r="154" spans="1:4" x14ac:dyDescent="0.35">
      <c r="A154" t="s">
        <v>364</v>
      </c>
      <c r="B154" t="s">
        <v>30</v>
      </c>
      <c r="D154" t="s">
        <v>103</v>
      </c>
    </row>
    <row r="155" spans="1:4" x14ac:dyDescent="0.35">
      <c r="A155" t="s">
        <v>365</v>
      </c>
      <c r="B155" t="s">
        <v>30</v>
      </c>
      <c r="D155" t="s">
        <v>103</v>
      </c>
    </row>
    <row r="156" spans="1:4" x14ac:dyDescent="0.35">
      <c r="A156" t="s">
        <v>366</v>
      </c>
      <c r="B156" t="s">
        <v>30</v>
      </c>
      <c r="D156" t="s">
        <v>103</v>
      </c>
    </row>
    <row r="157" spans="1:4" x14ac:dyDescent="0.35">
      <c r="A157" t="s">
        <v>367</v>
      </c>
      <c r="B157" t="s">
        <v>29</v>
      </c>
      <c r="D157" t="s">
        <v>103</v>
      </c>
    </row>
    <row r="158" spans="1:4" x14ac:dyDescent="0.35">
      <c r="A158" t="s">
        <v>368</v>
      </c>
      <c r="B158" t="s">
        <v>30</v>
      </c>
      <c r="D158" t="s">
        <v>103</v>
      </c>
    </row>
    <row r="159" spans="1:4" x14ac:dyDescent="0.35">
      <c r="A159" t="s">
        <v>128</v>
      </c>
      <c r="B159" t="s">
        <v>30</v>
      </c>
      <c r="D159" t="s">
        <v>103</v>
      </c>
    </row>
    <row r="160" spans="1:4" x14ac:dyDescent="0.35">
      <c r="A160" t="s">
        <v>369</v>
      </c>
      <c r="B160" t="s">
        <v>30</v>
      </c>
      <c r="D160" t="s">
        <v>103</v>
      </c>
    </row>
    <row r="161" spans="1:4" x14ac:dyDescent="0.35">
      <c r="A161" t="s">
        <v>370</v>
      </c>
      <c r="B161" t="s">
        <v>29</v>
      </c>
      <c r="D161" t="s">
        <v>103</v>
      </c>
    </row>
    <row r="162" spans="1:4" x14ac:dyDescent="0.35">
      <c r="A162" t="s">
        <v>371</v>
      </c>
      <c r="B162" t="s">
        <v>29</v>
      </c>
      <c r="D162" t="s">
        <v>103</v>
      </c>
    </row>
    <row r="163" spans="1:4" x14ac:dyDescent="0.35">
      <c r="A163" t="s">
        <v>373</v>
      </c>
      <c r="B163" t="s">
        <v>29</v>
      </c>
      <c r="D163" t="s">
        <v>103</v>
      </c>
    </row>
    <row r="164" spans="1:4" x14ac:dyDescent="0.35">
      <c r="A164" t="s">
        <v>374</v>
      </c>
      <c r="B164" t="s">
        <v>30</v>
      </c>
      <c r="D164" t="s">
        <v>103</v>
      </c>
    </row>
    <row r="165" spans="1:4" x14ac:dyDescent="0.35">
      <c r="A165" t="s">
        <v>375</v>
      </c>
      <c r="B165" t="s">
        <v>30</v>
      </c>
      <c r="D165" t="s">
        <v>103</v>
      </c>
    </row>
    <row r="166" spans="1:4" x14ac:dyDescent="0.35">
      <c r="A166" t="s">
        <v>376</v>
      </c>
      <c r="B166" t="s">
        <v>30</v>
      </c>
      <c r="D166" t="s">
        <v>103</v>
      </c>
    </row>
    <row r="167" spans="1:4" x14ac:dyDescent="0.35">
      <c r="A167" s="15" t="s">
        <v>380</v>
      </c>
      <c r="B167" t="s">
        <v>30</v>
      </c>
      <c r="D167" t="s">
        <v>103</v>
      </c>
    </row>
    <row r="168" spans="1:4" x14ac:dyDescent="0.35">
      <c r="A168" t="s">
        <v>381</v>
      </c>
      <c r="B168" t="s">
        <v>30</v>
      </c>
      <c r="D168" t="s">
        <v>103</v>
      </c>
    </row>
    <row r="169" spans="1:4" x14ac:dyDescent="0.35">
      <c r="A169" t="s">
        <v>383</v>
      </c>
      <c r="B169" t="s">
        <v>29</v>
      </c>
      <c r="D169" t="s">
        <v>103</v>
      </c>
    </row>
    <row r="170" spans="1:4" x14ac:dyDescent="0.35">
      <c r="A170" t="s">
        <v>384</v>
      </c>
      <c r="B170" t="s">
        <v>30</v>
      </c>
      <c r="D170" t="s">
        <v>103</v>
      </c>
    </row>
    <row r="171" spans="1:4" x14ac:dyDescent="0.35">
      <c r="A171" t="s">
        <v>385</v>
      </c>
      <c r="B171" t="s">
        <v>29</v>
      </c>
      <c r="D171" t="s">
        <v>103</v>
      </c>
    </row>
    <row r="172" spans="1:4" x14ac:dyDescent="0.35">
      <c r="A172" s="15" t="s">
        <v>387</v>
      </c>
      <c r="B172" t="s">
        <v>29</v>
      </c>
      <c r="D172" t="s">
        <v>103</v>
      </c>
    </row>
    <row r="173" spans="1:4" x14ac:dyDescent="0.35">
      <c r="A173" t="s">
        <v>304</v>
      </c>
      <c r="B173" t="s">
        <v>29</v>
      </c>
      <c r="D173" t="s">
        <v>103</v>
      </c>
    </row>
    <row r="174" spans="1:4" x14ac:dyDescent="0.35">
      <c r="A174" t="s">
        <v>390</v>
      </c>
      <c r="B174" t="s">
        <v>29</v>
      </c>
      <c r="D174" t="s">
        <v>103</v>
      </c>
    </row>
    <row r="175" spans="1:4" x14ac:dyDescent="0.35">
      <c r="A175" t="s">
        <v>392</v>
      </c>
      <c r="B175" t="s">
        <v>30</v>
      </c>
      <c r="D175" t="s">
        <v>103</v>
      </c>
    </row>
    <row r="176" spans="1:4" x14ac:dyDescent="0.35">
      <c r="A176" t="s">
        <v>393</v>
      </c>
      <c r="B176" t="s">
        <v>30</v>
      </c>
      <c r="D176" t="s">
        <v>103</v>
      </c>
    </row>
    <row r="177" spans="1:4" x14ac:dyDescent="0.35">
      <c r="A177" t="s">
        <v>394</v>
      </c>
      <c r="B177" t="s">
        <v>30</v>
      </c>
      <c r="D177" t="s">
        <v>103</v>
      </c>
    </row>
    <row r="178" spans="1:4" x14ac:dyDescent="0.35">
      <c r="A178" s="15" t="s">
        <v>398</v>
      </c>
      <c r="B178" t="s">
        <v>29</v>
      </c>
      <c r="C178" s="112">
        <v>0.7</v>
      </c>
      <c r="D178" t="s">
        <v>103</v>
      </c>
    </row>
    <row r="179" spans="1:4" x14ac:dyDescent="0.35">
      <c r="A179" t="s">
        <v>396</v>
      </c>
      <c r="B179" t="s">
        <v>29</v>
      </c>
      <c r="D179" t="s">
        <v>103</v>
      </c>
    </row>
    <row r="180" spans="1:4" x14ac:dyDescent="0.35">
      <c r="A180" t="s">
        <v>403</v>
      </c>
      <c r="B180" t="s">
        <v>30</v>
      </c>
      <c r="D180" t="s">
        <v>103</v>
      </c>
    </row>
    <row r="181" spans="1:4" x14ac:dyDescent="0.35">
      <c r="A181" t="s">
        <v>406</v>
      </c>
      <c r="B181" t="s">
        <v>30</v>
      </c>
      <c r="D181" t="s">
        <v>103</v>
      </c>
    </row>
    <row r="182" spans="1:4" x14ac:dyDescent="0.35">
      <c r="A182" s="15" t="s">
        <v>430</v>
      </c>
      <c r="B182" t="s">
        <v>30</v>
      </c>
      <c r="D182" t="s">
        <v>103</v>
      </c>
    </row>
    <row r="183" spans="1:4" x14ac:dyDescent="0.35">
      <c r="A183" t="s">
        <v>431</v>
      </c>
      <c r="B183" t="s">
        <v>29</v>
      </c>
      <c r="C183" s="112">
        <v>0.4</v>
      </c>
      <c r="D183" t="s">
        <v>103</v>
      </c>
    </row>
    <row r="184" spans="1:4" x14ac:dyDescent="0.35">
      <c r="A184" t="s">
        <v>433</v>
      </c>
      <c r="B184" t="s">
        <v>30</v>
      </c>
      <c r="D184" t="s">
        <v>103</v>
      </c>
    </row>
    <row r="185" spans="1:4" x14ac:dyDescent="0.35">
      <c r="A185" t="s">
        <v>448</v>
      </c>
      <c r="B185" t="s">
        <v>30</v>
      </c>
      <c r="D185" t="s">
        <v>103</v>
      </c>
    </row>
    <row r="186" spans="1:4" x14ac:dyDescent="0.35">
      <c r="A186" t="s">
        <v>461</v>
      </c>
      <c r="B186" t="s">
        <v>30</v>
      </c>
      <c r="D186" t="s">
        <v>103</v>
      </c>
    </row>
    <row r="187" spans="1:4" x14ac:dyDescent="0.35">
      <c r="A187" s="15" t="s">
        <v>469</v>
      </c>
      <c r="B187" t="s">
        <v>30</v>
      </c>
      <c r="D187" t="s">
        <v>103</v>
      </c>
    </row>
    <row r="188" spans="1:4" x14ac:dyDescent="0.35">
      <c r="A188" s="15" t="s">
        <v>483</v>
      </c>
      <c r="B188" t="s">
        <v>30</v>
      </c>
      <c r="D188" t="s">
        <v>103</v>
      </c>
    </row>
    <row r="189" spans="1:4" x14ac:dyDescent="0.35">
      <c r="A189" s="15" t="s">
        <v>493</v>
      </c>
      <c r="B189" t="s">
        <v>30</v>
      </c>
      <c r="D189" t="s">
        <v>103</v>
      </c>
    </row>
    <row r="190" spans="1:4" x14ac:dyDescent="0.35">
      <c r="A190" s="15" t="s">
        <v>498</v>
      </c>
      <c r="B190" t="s">
        <v>30</v>
      </c>
      <c r="D190" t="s">
        <v>103</v>
      </c>
    </row>
    <row r="191" spans="1:4" x14ac:dyDescent="0.35">
      <c r="A191" t="s">
        <v>510</v>
      </c>
      <c r="B191" t="s">
        <v>30</v>
      </c>
      <c r="D191" t="s">
        <v>103</v>
      </c>
    </row>
  </sheetData>
  <autoFilter ref="A1:D1" xr:uid="{DD11AF76-6D02-4C7C-9816-638610D31ECD}"/>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249977111117893"/>
  </sheetPr>
  <dimension ref="A1:AA1270"/>
  <sheetViews>
    <sheetView zoomScaleNormal="100" workbookViewId="0">
      <pane ySplit="1" topLeftCell="A2" activePane="bottomLeft" state="frozen"/>
      <selection activeCell="A31" sqref="A31"/>
      <selection pane="bottomLeft" sqref="A1:A1048576"/>
    </sheetView>
  </sheetViews>
  <sheetFormatPr defaultColWidth="9.1796875" defaultRowHeight="12" x14ac:dyDescent="0.3"/>
  <cols>
    <col min="1" max="1" width="25" style="1" customWidth="1"/>
    <col min="2" max="2" width="3" style="1" customWidth="1"/>
    <col min="3" max="3" width="2.54296875" style="75" customWidth="1"/>
    <col min="4" max="4" width="9.453125" style="1" bestFit="1" customWidth="1"/>
    <col min="5" max="5" width="14.1796875" style="1" bestFit="1" customWidth="1"/>
    <col min="6" max="6" width="9.453125" style="1" customWidth="1"/>
    <col min="7" max="7" width="8.54296875" style="1" bestFit="1" customWidth="1"/>
    <col min="8" max="8" width="6.453125" style="22" customWidth="1"/>
    <col min="9" max="9" width="9.1796875" style="1"/>
    <col min="10" max="11" width="6.54296875" style="1" customWidth="1"/>
    <col min="12" max="12" width="6.81640625" style="1" customWidth="1"/>
    <col min="13" max="13" width="5.81640625" style="1" customWidth="1"/>
    <col min="14" max="14" width="6.81640625" style="1" bestFit="1" customWidth="1"/>
    <col min="15" max="15" width="6.453125" style="1" bestFit="1" customWidth="1"/>
    <col min="16" max="16" width="5.453125" style="1" customWidth="1"/>
    <col min="17" max="18" width="6" style="21" customWidth="1"/>
    <col min="19" max="19" width="6.453125" style="21" customWidth="1"/>
    <col min="20" max="20" width="6" style="21" customWidth="1"/>
    <col min="21" max="21" width="5.81640625" style="19" customWidth="1"/>
    <col min="22" max="22" width="10.453125" style="1" customWidth="1"/>
    <col min="23" max="23" width="6.81640625" style="75" customWidth="1"/>
    <col min="24" max="24" width="10.54296875" style="1" bestFit="1" customWidth="1"/>
    <col min="25" max="25" width="9.54296875" style="1" customWidth="1"/>
    <col min="26" max="26" width="5.81640625" style="1" customWidth="1"/>
    <col min="27" max="16384" width="9.1796875" style="1"/>
  </cols>
  <sheetData>
    <row r="1" spans="1:27" ht="23.25" customHeight="1" x14ac:dyDescent="0.3">
      <c r="A1" s="38" t="s">
        <v>31</v>
      </c>
      <c r="B1" s="11" t="s">
        <v>32</v>
      </c>
      <c r="C1" s="73" t="s">
        <v>28</v>
      </c>
      <c r="D1" s="38" t="s">
        <v>33</v>
      </c>
      <c r="E1" s="98" t="s">
        <v>126</v>
      </c>
      <c r="F1" s="54" t="s">
        <v>127</v>
      </c>
      <c r="G1" s="54" t="s">
        <v>34</v>
      </c>
      <c r="H1" s="39" t="s">
        <v>85</v>
      </c>
      <c r="I1" s="11" t="s">
        <v>35</v>
      </c>
      <c r="J1" s="11" t="s">
        <v>36</v>
      </c>
      <c r="K1" s="11" t="s">
        <v>37</v>
      </c>
      <c r="L1" s="98" t="s">
        <v>219</v>
      </c>
      <c r="M1" s="99" t="s">
        <v>105</v>
      </c>
      <c r="N1" s="11" t="s">
        <v>106</v>
      </c>
      <c r="O1" s="11" t="s">
        <v>107</v>
      </c>
      <c r="P1" s="11" t="s">
        <v>207</v>
      </c>
      <c r="Q1" s="20" t="s">
        <v>71</v>
      </c>
      <c r="R1" s="20" t="s">
        <v>75</v>
      </c>
      <c r="S1" s="20" t="s">
        <v>83</v>
      </c>
      <c r="T1" s="20" t="s">
        <v>84</v>
      </c>
      <c r="U1" s="96" t="s">
        <v>38</v>
      </c>
      <c r="V1" s="38" t="s">
        <v>223</v>
      </c>
      <c r="W1" s="76" t="s">
        <v>39</v>
      </c>
      <c r="X1" s="1" t="s">
        <v>117</v>
      </c>
      <c r="Y1" s="1" t="s">
        <v>253</v>
      </c>
      <c r="Z1" s="1" t="s">
        <v>255</v>
      </c>
      <c r="AA1" s="1" t="s">
        <v>503</v>
      </c>
    </row>
    <row r="2" spans="1:27" x14ac:dyDescent="0.3">
      <c r="A2" s="49" t="s">
        <v>333</v>
      </c>
      <c r="B2" s="1" t="str">
        <f>VLOOKUP(A2,Participanti!A:B,2,0)</f>
        <v>M</v>
      </c>
      <c r="C2" s="74">
        <v>1</v>
      </c>
      <c r="D2" s="50">
        <v>11.36</v>
      </c>
      <c r="E2" s="51">
        <v>4.2349537037037033E-2</v>
      </c>
      <c r="F2" s="51">
        <v>4.252314814814815E-2</v>
      </c>
      <c r="G2" s="69">
        <f>AVERAGE(E2:F2)</f>
        <v>4.2436342592592588E-2</v>
      </c>
      <c r="H2" s="52">
        <v>0</v>
      </c>
      <c r="I2" s="12">
        <f>G2/D2</f>
        <v>3.7355935380803335E-3</v>
      </c>
      <c r="J2" s="37">
        <f>IF(B2="F",IF(D2&lt;2.5,0,IF(D2&gt;19.99,5,D2/4)),IF(D2&lt;3,0, IF(D2&gt;20.99,5,D2/4.2)))</f>
        <v>2.7047619047619045</v>
      </c>
      <c r="K2" s="37">
        <f>IF(J2=0,0,IF(B2="F",VLOOKUP(I2,Barem!$G$2:$H$16,2,1),VLOOKUP(I2,Barem!$G$17:$H$31,2,1)))</f>
        <v>2</v>
      </c>
      <c r="L2" s="50">
        <v>2</v>
      </c>
      <c r="M2" s="124" t="s">
        <v>106</v>
      </c>
      <c r="N2" s="10">
        <f>IF($M2=N$1,50%,25%)</f>
        <v>0.5</v>
      </c>
      <c r="O2" s="10">
        <f t="shared" ref="O2:P16" si="0">IF($M2=O$1,50%,25%)</f>
        <v>0.25</v>
      </c>
      <c r="P2" s="10">
        <f t="shared" si="0"/>
        <v>0.25</v>
      </c>
      <c r="Q2" s="40">
        <f>IF(H2&gt;49,H2/1500,0)</f>
        <v>0</v>
      </c>
      <c r="R2" s="21">
        <f>IF(D2&gt;21,VLOOKUP(D2,Barem!$T$1:$U$141,2,1),0)</f>
        <v>0</v>
      </c>
      <c r="S2" s="152">
        <f>IF(D2&lt;1.609,0,IF(B2="F",VLOOKUP(I2,Barem!$X$2:$Z$13,2,1),VLOOKUP(I2,Barem!$X$14:$Z$25,2,1)))</f>
        <v>0</v>
      </c>
      <c r="T2" s="21">
        <f>VLOOKUP(A2,Participanti!A:C,3,0)</f>
        <v>0</v>
      </c>
      <c r="U2" s="18">
        <f>IF(H2&lt;0,0,J2*N2+K2*O2+L2*P2+Q2+R2+S2+T2)</f>
        <v>2.352380952380952</v>
      </c>
      <c r="V2" s="58" t="s">
        <v>334</v>
      </c>
      <c r="W2" s="77">
        <f t="shared" ref="W2:W65" si="1">COUNTIFS(A:A,A2,C:C,C2)</f>
        <v>1</v>
      </c>
      <c r="X2" s="1" t="str">
        <f>VLOOKUP(A2,Data_Echipe!A:R,18,0)</f>
        <v>UltraHaita lu' Borcan</v>
      </c>
      <c r="Z2" s="115">
        <f>IF(K2&gt;0,1,0)</f>
        <v>1</v>
      </c>
    </row>
    <row r="3" spans="1:27" x14ac:dyDescent="0.3">
      <c r="A3" s="49" t="s">
        <v>336</v>
      </c>
      <c r="B3" s="1" t="str">
        <f>VLOOKUP(A3,Participanti!A:B,2,0)</f>
        <v>M</v>
      </c>
      <c r="C3" s="74">
        <v>1</v>
      </c>
      <c r="D3" s="50">
        <v>25.23</v>
      </c>
      <c r="E3" s="51">
        <v>0.10732638888888889</v>
      </c>
      <c r="F3" s="51">
        <v>0.10732638888888889</v>
      </c>
      <c r="G3" s="69">
        <f>AVERAGE(E3:F3)</f>
        <v>0.10732638888888889</v>
      </c>
      <c r="H3" s="52">
        <v>0</v>
      </c>
      <c r="I3" s="12">
        <f t="shared" ref="I3" si="2">G3/D3</f>
        <v>4.2539194961906017E-3</v>
      </c>
      <c r="J3" s="37">
        <f>IF(B3="F",IF(D3&lt;2.5,0,IF(D3&gt;19.99,5,D3/4)),IF(D3&lt;3,0, IF(D3&gt;20.99,5,D3/4.2)))</f>
        <v>5</v>
      </c>
      <c r="K3" s="37">
        <f>IF(J3=0,0,IF(B3="F",VLOOKUP(I3,Barem!$G$2:$H$16,2,1),VLOOKUP(I3,Barem!$G$17:$H$31,2,1)))</f>
        <v>1.25</v>
      </c>
      <c r="L3" s="50">
        <v>1</v>
      </c>
      <c r="M3" s="124" t="s">
        <v>106</v>
      </c>
      <c r="N3" s="10">
        <f>IF($M3=N$1,50%,25%)</f>
        <v>0.5</v>
      </c>
      <c r="O3" s="10">
        <f t="shared" si="0"/>
        <v>0.25</v>
      </c>
      <c r="P3" s="10">
        <f t="shared" si="0"/>
        <v>0.25</v>
      </c>
      <c r="Q3" s="40">
        <f>IF(H3&gt;49,H3/1500,0)</f>
        <v>0</v>
      </c>
      <c r="R3" s="21">
        <f>IF(D3&gt;21,VLOOKUP(D3,Barem!$T$1:$U$141,2,1),0)</f>
        <v>0.2</v>
      </c>
      <c r="S3" s="152">
        <f>IF(D3&lt;1.609,0,IF(B3="F",VLOOKUP(I3,Barem!$X$2:$Z$13,2,1),VLOOKUP(I3,Barem!$X$14:$Z$25,2,1)))</f>
        <v>0</v>
      </c>
      <c r="T3" s="21">
        <f>VLOOKUP(A3,Participanti!A:C,3,0)</f>
        <v>0</v>
      </c>
      <c r="U3" s="18">
        <f>IF(H3&lt;0,0,J3*N3+K3*O3+L3*P3+Q3+R3+S3+T3)</f>
        <v>3.2625000000000002</v>
      </c>
      <c r="V3" s="58" t="s">
        <v>334</v>
      </c>
      <c r="W3" s="77">
        <f t="shared" si="1"/>
        <v>1</v>
      </c>
      <c r="X3" s="1" t="e">
        <f>VLOOKUP(A3,Data_Echipe!A:R,18,0)</f>
        <v>#N/A</v>
      </c>
      <c r="Z3" s="115">
        <f t="shared" ref="Z3" si="3">IF(K3&gt;0,1,0)</f>
        <v>1</v>
      </c>
    </row>
    <row r="4" spans="1:27" x14ac:dyDescent="0.3">
      <c r="A4" s="49" t="s">
        <v>331</v>
      </c>
      <c r="B4" s="1" t="str">
        <f>VLOOKUP(A4,Participanti!A:B,2,0)</f>
        <v>F</v>
      </c>
      <c r="C4" s="74">
        <v>1</v>
      </c>
      <c r="D4" s="50">
        <v>4.01</v>
      </c>
      <c r="E4" s="51">
        <v>1.5266203703703705E-2</v>
      </c>
      <c r="F4" s="51">
        <v>1.6620370370370372E-2</v>
      </c>
      <c r="G4" s="69">
        <f>AVERAGE(E4:F4)</f>
        <v>1.5943287037037041E-2</v>
      </c>
      <c r="H4" s="52">
        <v>17</v>
      </c>
      <c r="I4" s="12">
        <f t="shared" ref="I4" si="4">G4/D4</f>
        <v>3.9758820541239501E-3</v>
      </c>
      <c r="J4" s="37">
        <f>IF(B4="F",IF(D4&lt;2.5,0,IF(D4&gt;19.99,5,D4/4)),IF(D4&lt;3,0, IF(D4&gt;20.99,5,D4/4.2)))</f>
        <v>1.0024999999999999</v>
      </c>
      <c r="K4" s="37">
        <f>IF(J4=0,0,IF(B4="F",VLOOKUP(I4,Barem!$G$2:$H$16,2,1),VLOOKUP(I4,Barem!$G$17:$H$31,2,1)))</f>
        <v>2.5</v>
      </c>
      <c r="L4" s="50">
        <v>2.5</v>
      </c>
      <c r="M4" s="124" t="s">
        <v>107</v>
      </c>
      <c r="N4" s="10">
        <f>IF($M4=N$1,50%,25%)</f>
        <v>0.25</v>
      </c>
      <c r="O4" s="10">
        <f t="shared" si="0"/>
        <v>0.5</v>
      </c>
      <c r="P4" s="10">
        <f t="shared" si="0"/>
        <v>0.25</v>
      </c>
      <c r="Q4" s="40">
        <f>IF(H4&gt;49,H4/1500,0)</f>
        <v>0</v>
      </c>
      <c r="R4" s="21">
        <f>IF(D4&gt;21,VLOOKUP(D4,Barem!$T$1:$U$141,2,1),0)</f>
        <v>0</v>
      </c>
      <c r="S4" s="152">
        <f>IF(D4&lt;1.609,0,IF(B4="F",VLOOKUP(I4,Barem!$X$2:$Z$13,2,1),VLOOKUP(I4,Barem!$X$14:$Z$25,2,1)))</f>
        <v>0</v>
      </c>
      <c r="T4" s="21">
        <f>VLOOKUP(A4,Participanti!A:C,3,0)</f>
        <v>0</v>
      </c>
      <c r="U4" s="18">
        <f>IF(H4&lt;0,0,J4*N4+K4*O4+L4*P4+Q4+R4+S4+T4)</f>
        <v>2.1256249999999999</v>
      </c>
      <c r="V4" s="58" t="s">
        <v>334</v>
      </c>
      <c r="W4" s="77">
        <f t="shared" si="1"/>
        <v>1</v>
      </c>
      <c r="X4" s="1" t="str">
        <f>VLOOKUP(A4,Data_Echipe!A:R,18,0)</f>
        <v>MedgidiaRunning</v>
      </c>
      <c r="Z4" s="115">
        <f>IF(K4&gt;0,1,0)</f>
        <v>1</v>
      </c>
    </row>
    <row r="5" spans="1:27" x14ac:dyDescent="0.3">
      <c r="A5" s="49" t="s">
        <v>332</v>
      </c>
      <c r="B5" s="1" t="str">
        <f>VLOOKUP(A5,Participanti!A:B,2,0)</f>
        <v>M</v>
      </c>
      <c r="C5" s="74">
        <v>1</v>
      </c>
      <c r="D5" s="50">
        <v>10.01</v>
      </c>
      <c r="E5" s="51">
        <v>3.3472222222222223E-2</v>
      </c>
      <c r="F5" s="51">
        <v>3.3842592592592598E-2</v>
      </c>
      <c r="G5" s="69">
        <f>AVERAGE(E5:F5)</f>
        <v>3.3657407407407414E-2</v>
      </c>
      <c r="H5" s="52">
        <v>13</v>
      </c>
      <c r="I5" s="12">
        <f t="shared" ref="I5" si="5">G5/D5</f>
        <v>3.3623783623783631E-3</v>
      </c>
      <c r="J5" s="37">
        <f>IF(B5="F",IF(D5&lt;2.5,0,IF(D5&gt;19.99,5,D5/4)),IF(D5&lt;3,0, IF(D5&gt;20.99,5,D5/4.2)))</f>
        <v>2.3833333333333333</v>
      </c>
      <c r="K5" s="37">
        <f>IF(J5=0,0,IF(B5="F",VLOOKUP(I5,Barem!$G$2:$H$16,2,1),VLOOKUP(I5,Barem!$G$17:$H$31,2,1)))</f>
        <v>3</v>
      </c>
      <c r="L5" s="50">
        <v>1.5</v>
      </c>
      <c r="M5" s="124" t="s">
        <v>106</v>
      </c>
      <c r="N5" s="10">
        <f>IF($M5=N$1,50%,25%)</f>
        <v>0.5</v>
      </c>
      <c r="O5" s="10">
        <f t="shared" si="0"/>
        <v>0.25</v>
      </c>
      <c r="P5" s="10">
        <f t="shared" si="0"/>
        <v>0.25</v>
      </c>
      <c r="Q5" s="40">
        <f>IF(H5&gt;49,H5/1500,0)</f>
        <v>0</v>
      </c>
      <c r="R5" s="21">
        <f>IF(D5&gt;21,VLOOKUP(D5,Barem!$T$1:$U$141,2,1),0)</f>
        <v>0</v>
      </c>
      <c r="S5" s="152">
        <f>IF(D5&lt;1.609,0,IF(B5="F",VLOOKUP(I5,Barem!$X$2:$Z$13,2,1),VLOOKUP(I5,Barem!$X$14:$Z$25,2,1)))</f>
        <v>0</v>
      </c>
      <c r="T5" s="21">
        <f>VLOOKUP(A5,Participanti!A:C,3,0)</f>
        <v>0.4</v>
      </c>
      <c r="U5" s="18">
        <f>IF(H5&lt;0,0,J5*N5+K5*O5+L5*P5+Q5+R5+S5+T5)</f>
        <v>2.7166666666666663</v>
      </c>
      <c r="V5" s="58" t="s">
        <v>334</v>
      </c>
      <c r="W5" s="77">
        <f t="shared" si="1"/>
        <v>1</v>
      </c>
      <c r="X5" s="1" t="str">
        <f>VLOOKUP(A5,Data_Echipe!A:R,18,0)</f>
        <v>MedgidiaRunning</v>
      </c>
      <c r="Z5" s="115">
        <f>IF(K5&gt;0,1,0)</f>
        <v>1</v>
      </c>
    </row>
    <row r="6" spans="1:27" x14ac:dyDescent="0.3">
      <c r="A6" s="49" t="s">
        <v>133</v>
      </c>
      <c r="B6" s="1" t="str">
        <f>VLOOKUP(A6,Participanti!A:B,2,0)</f>
        <v>M</v>
      </c>
      <c r="C6" s="74">
        <v>1</v>
      </c>
      <c r="D6" s="50">
        <v>5.01</v>
      </c>
      <c r="E6" s="51">
        <v>1.2824074074074073E-2</v>
      </c>
      <c r="F6" s="51">
        <v>1.2939814814814814E-2</v>
      </c>
      <c r="G6" s="69">
        <f t="shared" ref="G6:G45" si="6">AVERAGE(E6:F6)</f>
        <v>1.2881944444444442E-2</v>
      </c>
      <c r="H6" s="52">
        <v>1</v>
      </c>
      <c r="I6" s="12">
        <f t="shared" ref="I6:I45" si="7">G6/D6</f>
        <v>2.5712463960966951E-3</v>
      </c>
      <c r="J6" s="37">
        <f t="shared" ref="J6:J45" si="8">IF(B6="F",IF(D6&lt;2.5,0,IF(D6&gt;19.99,5,D6/4)),IF(D6&lt;3,0, IF(D6&gt;20.99,5,D6/4.2)))</f>
        <v>1.1928571428571428</v>
      </c>
      <c r="K6" s="37">
        <f>IF(J6=0,0,IF(B6="F",VLOOKUP(I6,Barem!$G$2:$H$16,2,1),VLOOKUP(I6,Barem!$G$17:$H$31,2,1)))</f>
        <v>5</v>
      </c>
      <c r="L6" s="50">
        <v>1</v>
      </c>
      <c r="M6" s="124" t="s">
        <v>107</v>
      </c>
      <c r="N6" s="10">
        <f t="shared" ref="N6:P46" si="9">IF($M6=N$1,50%,25%)</f>
        <v>0.25</v>
      </c>
      <c r="O6" s="10">
        <f t="shared" si="0"/>
        <v>0.5</v>
      </c>
      <c r="P6" s="10">
        <f t="shared" si="0"/>
        <v>0.25</v>
      </c>
      <c r="Q6" s="40">
        <f t="shared" ref="Q6:Q45" si="10">IF(H6&gt;49,H6/1500,0)</f>
        <v>0</v>
      </c>
      <c r="R6" s="21">
        <f>IF(D6&gt;21,VLOOKUP(D6,Barem!$T$1:$U$141,2,1),0)</f>
        <v>0</v>
      </c>
      <c r="S6" s="152">
        <f>IF(D6&lt;1.609,0,IF(B6="F",VLOOKUP(I6,Barem!$X$2:$Z$13,2,1),VLOOKUP(I6,Barem!$X$14:$Z$25,2,1)))</f>
        <v>1.4999999999999998</v>
      </c>
      <c r="T6" s="21">
        <f>VLOOKUP(A6,Participanti!A:C,3,0)</f>
        <v>0.4</v>
      </c>
      <c r="U6" s="18">
        <f t="shared" ref="U6:U45" si="11">IF(H6&lt;0,0,J6*N6+K6*O6+L6*P6+Q6+R6+S6+T6)</f>
        <v>4.9482142857142861</v>
      </c>
      <c r="V6" s="58" t="s">
        <v>334</v>
      </c>
      <c r="W6" s="77">
        <f t="shared" si="1"/>
        <v>1</v>
      </c>
      <c r="X6" s="1" t="str">
        <f>VLOOKUP(A6,Data_Echipe!A:R,18,0)</f>
        <v>UltraHaita lu' Borcan</v>
      </c>
      <c r="Z6" s="115">
        <f t="shared" ref="Z6:Z45" si="12">IF(K6&gt;0,1,0)</f>
        <v>1</v>
      </c>
    </row>
    <row r="7" spans="1:27" ht="11.5" customHeight="1" x14ac:dyDescent="0.3">
      <c r="A7" s="49" t="s">
        <v>337</v>
      </c>
      <c r="B7" s="1" t="str">
        <f>VLOOKUP(A7,Participanti!A:B,2,0)</f>
        <v>M</v>
      </c>
      <c r="C7" s="74">
        <v>1</v>
      </c>
      <c r="D7" s="50">
        <v>10.61</v>
      </c>
      <c r="E7" s="51">
        <v>4.221064814814815E-2</v>
      </c>
      <c r="F7" s="51">
        <v>4.223379629629629E-2</v>
      </c>
      <c r="G7" s="69">
        <f t="shared" si="6"/>
        <v>4.2222222222222217E-2</v>
      </c>
      <c r="H7" s="52">
        <v>27</v>
      </c>
      <c r="I7" s="12">
        <f t="shared" si="7"/>
        <v>3.979474290501623E-3</v>
      </c>
      <c r="J7" s="37">
        <f t="shared" si="8"/>
        <v>2.5261904761904761</v>
      </c>
      <c r="K7" s="37">
        <f>IF(J7=0,0,IF(B7="F",VLOOKUP(I7,Barem!$G$2:$H$16,2,1),VLOOKUP(I7,Barem!$G$17:$H$31,2,1)))</f>
        <v>1.75</v>
      </c>
      <c r="L7" s="50">
        <v>3.5</v>
      </c>
      <c r="M7" s="124" t="s">
        <v>207</v>
      </c>
      <c r="N7" s="10">
        <f t="shared" si="9"/>
        <v>0.25</v>
      </c>
      <c r="O7" s="10">
        <f t="shared" si="0"/>
        <v>0.25</v>
      </c>
      <c r="P7" s="10">
        <f t="shared" si="0"/>
        <v>0.5</v>
      </c>
      <c r="Q7" s="40">
        <f t="shared" si="10"/>
        <v>0</v>
      </c>
      <c r="R7" s="21">
        <f>IF(D7&gt;21,VLOOKUP(D7,Barem!$T$1:$U$141,2,1),0)</f>
        <v>0</v>
      </c>
      <c r="S7" s="152">
        <f>IF(D7&lt;1.609,0,IF(B7="F",VLOOKUP(I7,Barem!$X$2:$Z$13,2,1),VLOOKUP(I7,Barem!$X$14:$Z$25,2,1)))</f>
        <v>0</v>
      </c>
      <c r="T7" s="21">
        <f>VLOOKUP(A7,Participanti!A:C,3,0)</f>
        <v>0</v>
      </c>
      <c r="U7" s="18">
        <f t="shared" si="11"/>
        <v>2.8190476190476188</v>
      </c>
      <c r="V7" s="58" t="s">
        <v>334</v>
      </c>
      <c r="W7" s="77">
        <f t="shared" si="1"/>
        <v>1</v>
      </c>
      <c r="X7" s="1" t="str">
        <f>VLOOKUP(A7,Data_Echipe!A:R,18,0)</f>
        <v>The GOATs</v>
      </c>
      <c r="Z7" s="115">
        <f t="shared" si="12"/>
        <v>1</v>
      </c>
    </row>
    <row r="8" spans="1:27" x14ac:dyDescent="0.3">
      <c r="A8" s="49" t="s">
        <v>338</v>
      </c>
      <c r="B8" s="1" t="str">
        <f>VLOOKUP(A8,Participanti!A:B,2,0)</f>
        <v>F</v>
      </c>
      <c r="C8" s="74">
        <v>1</v>
      </c>
      <c r="D8" s="50">
        <v>13.59</v>
      </c>
      <c r="E8" s="51">
        <v>0.12836805555555555</v>
      </c>
      <c r="F8" s="51">
        <v>0.18567129629629631</v>
      </c>
      <c r="G8" s="69">
        <f t="shared" si="6"/>
        <v>0.15701967592592592</v>
      </c>
      <c r="H8" s="52">
        <v>893</v>
      </c>
      <c r="I8" s="12">
        <f t="shared" si="7"/>
        <v>1.1554060038699479E-2</v>
      </c>
      <c r="J8" s="37">
        <f t="shared" si="8"/>
        <v>3.3975</v>
      </c>
      <c r="K8" s="37">
        <f>IF(J8=0,0,IF(B8="F",VLOOKUP(I8,Barem!$G$2:$H$16,2,1),VLOOKUP(I8,Barem!$G$17:$H$31,2,1)))</f>
        <v>0</v>
      </c>
      <c r="L8" s="50">
        <v>3.25</v>
      </c>
      <c r="M8" s="124" t="s">
        <v>106</v>
      </c>
      <c r="N8" s="10">
        <f t="shared" si="9"/>
        <v>0.5</v>
      </c>
      <c r="O8" s="10">
        <f t="shared" si="0"/>
        <v>0.25</v>
      </c>
      <c r="P8" s="10">
        <f t="shared" si="0"/>
        <v>0.25</v>
      </c>
      <c r="Q8" s="40">
        <f t="shared" si="10"/>
        <v>0.59533333333333338</v>
      </c>
      <c r="R8" s="21">
        <f>IF(D8&gt;21,VLOOKUP(D8,Barem!$T$1:$U$141,2,1),0)</f>
        <v>0</v>
      </c>
      <c r="S8" s="152">
        <f>IF(D8&lt;1.609,0,IF(B8="F",VLOOKUP(I8,Barem!$X$2:$Z$13,2,1),VLOOKUP(I8,Barem!$X$14:$Z$25,2,1)))</f>
        <v>0</v>
      </c>
      <c r="T8" s="21">
        <f>VLOOKUP(A8,Participanti!A:C,3,0)</f>
        <v>0</v>
      </c>
      <c r="U8" s="18">
        <f t="shared" si="11"/>
        <v>3.1065833333333335</v>
      </c>
      <c r="V8" s="58" t="s">
        <v>334</v>
      </c>
      <c r="W8" s="77">
        <f t="shared" si="1"/>
        <v>1</v>
      </c>
      <c r="X8" s="1" t="e">
        <f>VLOOKUP(A8,Data_Echipe!A:R,18,0)</f>
        <v>#N/A</v>
      </c>
      <c r="Z8" s="115">
        <f t="shared" si="12"/>
        <v>0</v>
      </c>
    </row>
    <row r="9" spans="1:27" x14ac:dyDescent="0.3">
      <c r="A9" s="49" t="s">
        <v>339</v>
      </c>
      <c r="B9" s="1" t="str">
        <f>VLOOKUP(A9,Participanti!A:B,2,0)</f>
        <v>M</v>
      </c>
      <c r="C9" s="74">
        <v>1</v>
      </c>
      <c r="D9" s="50">
        <v>10.59</v>
      </c>
      <c r="E9" s="51">
        <v>3.4201388888888885E-2</v>
      </c>
      <c r="F9" s="51">
        <v>3.4548611111111113E-2</v>
      </c>
      <c r="G9" s="69">
        <f t="shared" si="6"/>
        <v>3.4375000000000003E-2</v>
      </c>
      <c r="H9" s="52">
        <v>65</v>
      </c>
      <c r="I9" s="12">
        <f t="shared" si="7"/>
        <v>3.2459867799811146E-3</v>
      </c>
      <c r="J9" s="37">
        <f t="shared" si="8"/>
        <v>2.5214285714285714</v>
      </c>
      <c r="K9" s="37">
        <f>IF(J9=0,0,IF(B9="F",VLOOKUP(I9,Barem!$G$2:$H$16,2,1),VLOOKUP(I9,Barem!$G$17:$H$31,2,1)))</f>
        <v>3.5</v>
      </c>
      <c r="L9" s="50">
        <v>1.5</v>
      </c>
      <c r="M9" s="124" t="s">
        <v>107</v>
      </c>
      <c r="N9" s="10">
        <f t="shared" si="9"/>
        <v>0.25</v>
      </c>
      <c r="O9" s="10">
        <f t="shared" si="0"/>
        <v>0.5</v>
      </c>
      <c r="P9" s="10">
        <f t="shared" si="0"/>
        <v>0.25</v>
      </c>
      <c r="Q9" s="40">
        <f t="shared" si="10"/>
        <v>4.3333333333333335E-2</v>
      </c>
      <c r="R9" s="21">
        <f>IF(D9&gt;21,VLOOKUP(D9,Barem!$T$1:$U$141,2,1),0)</f>
        <v>0</v>
      </c>
      <c r="S9" s="152">
        <f>IF(D9&lt;1.609,0,IF(B9="F",VLOOKUP(I9,Barem!$X$2:$Z$13,2,1),VLOOKUP(I9,Barem!$X$14:$Z$25,2,1)))</f>
        <v>0</v>
      </c>
      <c r="T9" s="21">
        <f>VLOOKUP(A9,Participanti!A:C,3,0)</f>
        <v>0</v>
      </c>
      <c r="U9" s="18">
        <f t="shared" si="11"/>
        <v>2.7986904761904765</v>
      </c>
      <c r="V9" s="58" t="s">
        <v>334</v>
      </c>
      <c r="W9" s="77">
        <f t="shared" si="1"/>
        <v>1</v>
      </c>
      <c r="X9" s="1" t="str">
        <f>VLOOKUP(A9,Data_Echipe!A:R,18,0)</f>
        <v>MedgidiaRunning</v>
      </c>
      <c r="Z9" s="115">
        <f t="shared" si="12"/>
        <v>1</v>
      </c>
    </row>
    <row r="10" spans="1:27" x14ac:dyDescent="0.3">
      <c r="A10" s="49" t="s">
        <v>340</v>
      </c>
      <c r="B10" s="1" t="str">
        <f>VLOOKUP(A10,Participanti!A:B,2,0)</f>
        <v>M</v>
      </c>
      <c r="C10" s="74">
        <v>1</v>
      </c>
      <c r="D10" s="50">
        <v>10.15</v>
      </c>
      <c r="E10" s="51">
        <v>3.8043981481481477E-2</v>
      </c>
      <c r="F10" s="51">
        <v>4.1354166666666664E-2</v>
      </c>
      <c r="G10" s="69">
        <f t="shared" si="6"/>
        <v>3.9699074074074067E-2</v>
      </c>
      <c r="H10" s="52">
        <v>36</v>
      </c>
      <c r="I10" s="12">
        <f t="shared" si="7"/>
        <v>3.9112388250319274E-3</v>
      </c>
      <c r="J10" s="37">
        <f t="shared" si="8"/>
        <v>2.4166666666666665</v>
      </c>
      <c r="K10" s="37">
        <f>IF(J10=0,0,IF(B10="F",VLOOKUP(I10,Barem!$G$2:$H$16,2,1),VLOOKUP(I10,Barem!$G$17:$H$31,2,1)))</f>
        <v>1.75</v>
      </c>
      <c r="L10" s="50">
        <v>1</v>
      </c>
      <c r="M10" s="124" t="s">
        <v>106</v>
      </c>
      <c r="N10" s="10">
        <f t="shared" si="9"/>
        <v>0.5</v>
      </c>
      <c r="O10" s="10">
        <f t="shared" si="0"/>
        <v>0.25</v>
      </c>
      <c r="P10" s="10">
        <f t="shared" si="0"/>
        <v>0.25</v>
      </c>
      <c r="Q10" s="40">
        <f t="shared" si="10"/>
        <v>0</v>
      </c>
      <c r="R10" s="21">
        <f>IF(D10&gt;21,VLOOKUP(D10,Barem!$T$1:$U$141,2,1),0)</f>
        <v>0</v>
      </c>
      <c r="S10" s="152">
        <f>IF(D10&lt;1.609,0,IF(B10="F",VLOOKUP(I10,Barem!$X$2:$Z$13,2,1),VLOOKUP(I10,Barem!$X$14:$Z$25,2,1)))</f>
        <v>0</v>
      </c>
      <c r="T10" s="21">
        <f>VLOOKUP(A10,Participanti!A:C,3,0)</f>
        <v>0</v>
      </c>
      <c r="U10" s="18">
        <f t="shared" si="11"/>
        <v>1.8958333333333333</v>
      </c>
      <c r="V10" s="58" t="s">
        <v>334</v>
      </c>
      <c r="W10" s="77">
        <f t="shared" si="1"/>
        <v>1</v>
      </c>
      <c r="X10" s="1" t="e">
        <f>VLOOKUP(A10,Data_Echipe!A:R,18,0)</f>
        <v>#N/A</v>
      </c>
      <c r="Z10" s="115">
        <f t="shared" si="12"/>
        <v>1</v>
      </c>
    </row>
    <row r="11" spans="1:27" x14ac:dyDescent="0.3">
      <c r="A11" s="49" t="s">
        <v>341</v>
      </c>
      <c r="B11" s="1" t="str">
        <f>VLOOKUP(A11,Participanti!A:B,2,0)</f>
        <v>M</v>
      </c>
      <c r="C11" s="74">
        <v>1</v>
      </c>
      <c r="D11" s="50">
        <v>3.01</v>
      </c>
      <c r="E11" s="51">
        <v>7.5810185185185182E-3</v>
      </c>
      <c r="F11" s="51">
        <v>7.5810185185185182E-3</v>
      </c>
      <c r="G11" s="69">
        <f t="shared" si="6"/>
        <v>7.5810185185185182E-3</v>
      </c>
      <c r="H11" s="52"/>
      <c r="I11" s="12">
        <f t="shared" si="7"/>
        <v>2.5186108034945245E-3</v>
      </c>
      <c r="J11" s="37">
        <f t="shared" si="8"/>
        <v>0.71666666666666656</v>
      </c>
      <c r="K11" s="37">
        <f>IF(J11=0,0,IF(B11="F",VLOOKUP(I11,Barem!$G$2:$H$16,2,1),VLOOKUP(I11,Barem!$G$17:$H$31,2,1)))</f>
        <v>5</v>
      </c>
      <c r="L11" s="50">
        <v>0.75</v>
      </c>
      <c r="M11" s="124" t="s">
        <v>107</v>
      </c>
      <c r="N11" s="10">
        <f t="shared" si="9"/>
        <v>0.25</v>
      </c>
      <c r="O11" s="10">
        <f t="shared" si="0"/>
        <v>0.5</v>
      </c>
      <c r="P11" s="10">
        <f t="shared" si="0"/>
        <v>0.25</v>
      </c>
      <c r="Q11" s="40">
        <f t="shared" si="10"/>
        <v>0</v>
      </c>
      <c r="R11" s="21">
        <f>IF(D11&gt;21,VLOOKUP(D11,Barem!$T$1:$U$141,2,1),0)</f>
        <v>0</v>
      </c>
      <c r="S11" s="152">
        <f>IF(D11&lt;1.609,0,IF(B11="F",VLOOKUP(I11,Barem!$X$2:$Z$13,2,1),VLOOKUP(I11,Barem!$X$14:$Z$25,2,1)))</f>
        <v>2.25</v>
      </c>
      <c r="T11" s="21">
        <f>VLOOKUP(A11,Participanti!A:C,3,0)</f>
        <v>0</v>
      </c>
      <c r="U11" s="18">
        <f t="shared" si="11"/>
        <v>5.1166666666666671</v>
      </c>
      <c r="V11" s="58" t="s">
        <v>334</v>
      </c>
      <c r="W11" s="77">
        <f t="shared" si="1"/>
        <v>1</v>
      </c>
      <c r="X11" s="1" t="str">
        <f>VLOOKUP(A11,Data_Echipe!A:R,18,0)</f>
        <v>The GOATs</v>
      </c>
      <c r="Z11" s="115">
        <f t="shared" si="12"/>
        <v>1</v>
      </c>
    </row>
    <row r="12" spans="1:27" x14ac:dyDescent="0.3">
      <c r="A12" s="49" t="s">
        <v>342</v>
      </c>
      <c r="B12" s="1" t="str">
        <f>VLOOKUP(A12,Participanti!A:B,2,0)</f>
        <v>M</v>
      </c>
      <c r="C12" s="74">
        <v>1</v>
      </c>
      <c r="D12" s="50">
        <v>5.04</v>
      </c>
      <c r="E12" s="51">
        <v>1.7708333333333333E-2</v>
      </c>
      <c r="F12" s="51">
        <v>1.9305555555555555E-2</v>
      </c>
      <c r="G12" s="69">
        <f t="shared" si="6"/>
        <v>1.8506944444444444E-2</v>
      </c>
      <c r="H12" s="52">
        <v>3</v>
      </c>
      <c r="I12" s="12">
        <f t="shared" si="7"/>
        <v>3.6720127865961199E-3</v>
      </c>
      <c r="J12" s="37">
        <f t="shared" si="8"/>
        <v>1.2</v>
      </c>
      <c r="K12" s="37">
        <f>IF(J12=0,0,IF(B12="F",VLOOKUP(I12,Barem!$G$2:$H$16,2,1),VLOOKUP(I12,Barem!$G$17:$H$31,2,1)))</f>
        <v>2</v>
      </c>
      <c r="L12" s="50">
        <v>1.5</v>
      </c>
      <c r="M12" s="124" t="s">
        <v>107</v>
      </c>
      <c r="N12" s="10">
        <f t="shared" si="9"/>
        <v>0.25</v>
      </c>
      <c r="O12" s="10">
        <f t="shared" si="0"/>
        <v>0.5</v>
      </c>
      <c r="P12" s="10">
        <f t="shared" si="0"/>
        <v>0.25</v>
      </c>
      <c r="Q12" s="40">
        <f t="shared" si="10"/>
        <v>0</v>
      </c>
      <c r="R12" s="21">
        <f>IF(D12&gt;21,VLOOKUP(D12,Barem!$T$1:$U$141,2,1),0)</f>
        <v>0</v>
      </c>
      <c r="S12" s="152">
        <f>IF(D12&lt;1.609,0,IF(B12="F",VLOOKUP(I12,Barem!$X$2:$Z$13,2,1),VLOOKUP(I12,Barem!$X$14:$Z$25,2,1)))</f>
        <v>0</v>
      </c>
      <c r="T12" s="21">
        <f>VLOOKUP(A12,Participanti!A:C,3,0)</f>
        <v>0</v>
      </c>
      <c r="U12" s="18">
        <f t="shared" si="11"/>
        <v>1.675</v>
      </c>
      <c r="V12" s="58" t="s">
        <v>334</v>
      </c>
      <c r="W12" s="77">
        <f t="shared" si="1"/>
        <v>1</v>
      </c>
      <c r="X12" s="1" t="e">
        <f>VLOOKUP(A12,Data_Echipe!A:R,18,0)</f>
        <v>#N/A</v>
      </c>
      <c r="Z12" s="115">
        <f t="shared" si="12"/>
        <v>1</v>
      </c>
    </row>
    <row r="13" spans="1:27" x14ac:dyDescent="0.3">
      <c r="A13" s="49" t="s">
        <v>335</v>
      </c>
      <c r="B13" s="1" t="str">
        <f>VLOOKUP(A13,Participanti!A:B,2,0)</f>
        <v>M</v>
      </c>
      <c r="C13" s="74">
        <v>1</v>
      </c>
      <c r="D13" s="50">
        <v>10.01</v>
      </c>
      <c r="E13" s="51">
        <v>3.3472222222222223E-2</v>
      </c>
      <c r="F13" s="51">
        <v>3.3842592592592598E-2</v>
      </c>
      <c r="G13" s="69">
        <f t="shared" si="6"/>
        <v>3.3657407407407414E-2</v>
      </c>
      <c r="H13" s="52"/>
      <c r="I13" s="12">
        <f t="shared" si="7"/>
        <v>3.3623783623783631E-3</v>
      </c>
      <c r="J13" s="37">
        <f t="shared" si="8"/>
        <v>2.3833333333333333</v>
      </c>
      <c r="K13" s="37">
        <f>IF(J13=0,0,IF(B13="F",VLOOKUP(I13,Barem!$G$2:$H$16,2,1),VLOOKUP(I13,Barem!$G$17:$H$31,2,1)))</f>
        <v>3</v>
      </c>
      <c r="L13" s="50">
        <v>0.5</v>
      </c>
      <c r="M13" s="124" t="s">
        <v>107</v>
      </c>
      <c r="N13" s="10">
        <f t="shared" si="9"/>
        <v>0.25</v>
      </c>
      <c r="O13" s="10">
        <f t="shared" si="0"/>
        <v>0.5</v>
      </c>
      <c r="P13" s="10">
        <f t="shared" si="0"/>
        <v>0.25</v>
      </c>
      <c r="Q13" s="40">
        <f t="shared" si="10"/>
        <v>0</v>
      </c>
      <c r="R13" s="21">
        <f>IF(D13&gt;21,VLOOKUP(D13,Barem!$T$1:$U$141,2,1),0)</f>
        <v>0</v>
      </c>
      <c r="S13" s="152">
        <f>IF(D13&lt;1.609,0,IF(B13="F",VLOOKUP(I13,Barem!$X$2:$Z$13,2,1),VLOOKUP(I13,Barem!$X$14:$Z$25,2,1)))</f>
        <v>0</v>
      </c>
      <c r="T13" s="21">
        <f>VLOOKUP(A13,Participanti!A:C,3,0)</f>
        <v>0.4</v>
      </c>
      <c r="U13" s="18">
        <f t="shared" si="11"/>
        <v>2.6208333333333331</v>
      </c>
      <c r="V13" s="58" t="s">
        <v>334</v>
      </c>
      <c r="W13" s="77">
        <f t="shared" si="1"/>
        <v>1</v>
      </c>
      <c r="X13" s="1" t="e">
        <f>VLOOKUP(A13,Data_Echipe!A:R,18,0)</f>
        <v>#N/A</v>
      </c>
      <c r="Z13" s="115">
        <f t="shared" si="12"/>
        <v>1</v>
      </c>
    </row>
    <row r="14" spans="1:27" x14ac:dyDescent="0.3">
      <c r="A14" s="49" t="s">
        <v>343</v>
      </c>
      <c r="B14" s="1" t="str">
        <f>VLOOKUP(A14,Participanti!A:B,2,0)</f>
        <v>M</v>
      </c>
      <c r="C14" s="74">
        <v>1</v>
      </c>
      <c r="D14" s="50">
        <v>5.01</v>
      </c>
      <c r="E14" s="51">
        <v>1.4409722222222221E-2</v>
      </c>
      <c r="F14" s="51">
        <v>1.4467592592592593E-2</v>
      </c>
      <c r="G14" s="69">
        <f t="shared" si="6"/>
        <v>1.4438657407407407E-2</v>
      </c>
      <c r="H14" s="52">
        <v>22</v>
      </c>
      <c r="I14" s="12">
        <f t="shared" si="7"/>
        <v>2.8819675463887043E-3</v>
      </c>
      <c r="J14" s="37">
        <f t="shared" si="8"/>
        <v>1.1928571428571428</v>
      </c>
      <c r="K14" s="37">
        <f>IF(J14=0,0,IF(B14="F",VLOOKUP(I14,Barem!$G$2:$H$16,2,1),VLOOKUP(I14,Barem!$G$17:$H$31,2,1)))</f>
        <v>4.5</v>
      </c>
      <c r="L14" s="50">
        <v>0.75</v>
      </c>
      <c r="M14" s="124" t="s">
        <v>107</v>
      </c>
      <c r="N14" s="10">
        <f t="shared" si="9"/>
        <v>0.25</v>
      </c>
      <c r="O14" s="10">
        <f t="shared" si="0"/>
        <v>0.5</v>
      </c>
      <c r="P14" s="10">
        <f t="shared" si="0"/>
        <v>0.25</v>
      </c>
      <c r="Q14" s="40">
        <f t="shared" si="10"/>
        <v>0</v>
      </c>
      <c r="R14" s="21">
        <f>IF(D14&gt;21,VLOOKUP(D14,Barem!$T$1:$U$141,2,1),0)</f>
        <v>0</v>
      </c>
      <c r="S14" s="152">
        <f>IF(D14&lt;1.609,0,IF(B14="F",VLOOKUP(I14,Barem!$X$2:$Z$13,2,1),VLOOKUP(I14,Barem!$X$14:$Z$25,2,1)))</f>
        <v>0</v>
      </c>
      <c r="T14" s="21">
        <f>VLOOKUP(A14,Participanti!A:C,3,0)</f>
        <v>0</v>
      </c>
      <c r="U14" s="18">
        <f t="shared" si="11"/>
        <v>2.7357142857142858</v>
      </c>
      <c r="V14" s="58" t="s">
        <v>334</v>
      </c>
      <c r="W14" s="77">
        <f t="shared" si="1"/>
        <v>1</v>
      </c>
      <c r="X14" s="1" t="str">
        <f>VLOOKUP(A14,Data_Echipe!A:R,18,0)</f>
        <v>#notSYRious</v>
      </c>
      <c r="Z14" s="115">
        <f t="shared" si="12"/>
        <v>1</v>
      </c>
    </row>
    <row r="15" spans="1:27" x14ac:dyDescent="0.3">
      <c r="A15" s="49" t="s">
        <v>296</v>
      </c>
      <c r="B15" s="1" t="str">
        <f>VLOOKUP(A15,Participanti!A:B,2,0)</f>
        <v>M</v>
      </c>
      <c r="C15" s="74">
        <v>1</v>
      </c>
      <c r="D15" s="50">
        <v>5.07</v>
      </c>
      <c r="E15" s="51">
        <v>2.4525462962962968E-2</v>
      </c>
      <c r="F15" s="51">
        <v>2.6504629629629628E-2</v>
      </c>
      <c r="G15" s="69">
        <f t="shared" si="6"/>
        <v>2.55150462962963E-2</v>
      </c>
      <c r="H15" s="52">
        <v>53</v>
      </c>
      <c r="I15" s="12">
        <f t="shared" si="7"/>
        <v>5.0325535101176135E-3</v>
      </c>
      <c r="J15" s="37">
        <f t="shared" si="8"/>
        <v>1.2071428571428571</v>
      </c>
      <c r="K15" s="37">
        <f>IF(J15=0,0,IF(B15="F",VLOOKUP(I15,Barem!$G$2:$H$16,2,1),VLOOKUP(I15,Barem!$G$17:$H$31,2,1)))</f>
        <v>0.25</v>
      </c>
      <c r="L15" s="50">
        <v>2.5</v>
      </c>
      <c r="M15" s="124" t="s">
        <v>106</v>
      </c>
      <c r="N15" s="10">
        <f t="shared" si="9"/>
        <v>0.5</v>
      </c>
      <c r="O15" s="10">
        <f t="shared" si="0"/>
        <v>0.25</v>
      </c>
      <c r="P15" s="10">
        <f t="shared" si="0"/>
        <v>0.25</v>
      </c>
      <c r="Q15" s="40">
        <f t="shared" si="10"/>
        <v>3.5333333333333335E-2</v>
      </c>
      <c r="R15" s="21">
        <f>IF(D15&gt;21,VLOOKUP(D15,Barem!$T$1:$U$141,2,1),0)</f>
        <v>0</v>
      </c>
      <c r="S15" s="152">
        <f>IF(D15&lt;1.609,0,IF(B15="F",VLOOKUP(I15,Barem!$X$2:$Z$13,2,1),VLOOKUP(I15,Barem!$X$14:$Z$25,2,1)))</f>
        <v>0</v>
      </c>
      <c r="T15" s="21">
        <f>VLOOKUP(A15,Participanti!A:C,3,0)</f>
        <v>0</v>
      </c>
      <c r="U15" s="18">
        <f t="shared" si="11"/>
        <v>1.3264047619047621</v>
      </c>
      <c r="V15" s="58" t="s">
        <v>334</v>
      </c>
      <c r="W15" s="77">
        <f t="shared" si="1"/>
        <v>1</v>
      </c>
      <c r="X15" s="1" t="str">
        <f>VLOOKUP(A15,Data_Echipe!A:R,18,0)</f>
        <v>MedgidiaRunning</v>
      </c>
      <c r="Z15" s="115">
        <f t="shared" si="12"/>
        <v>1</v>
      </c>
    </row>
    <row r="16" spans="1:27" x14ac:dyDescent="0.3">
      <c r="A16" s="49" t="s">
        <v>378</v>
      </c>
      <c r="B16" s="1" t="str">
        <f>VLOOKUP(A16,Participanti!A:B,2,0)</f>
        <v>F</v>
      </c>
      <c r="C16" s="74">
        <v>1</v>
      </c>
      <c r="D16" s="50">
        <v>10.19</v>
      </c>
      <c r="E16" s="51">
        <v>3.7256944444444447E-2</v>
      </c>
      <c r="F16" s="51">
        <v>4.7280092592592589E-2</v>
      </c>
      <c r="G16" s="69">
        <f t="shared" si="6"/>
        <v>4.2268518518518518E-2</v>
      </c>
      <c r="H16" s="52">
        <v>91</v>
      </c>
      <c r="I16" s="12">
        <f t="shared" si="7"/>
        <v>4.1480391087849386E-3</v>
      </c>
      <c r="J16" s="37">
        <f t="shared" si="8"/>
        <v>2.5474999999999999</v>
      </c>
      <c r="K16" s="37">
        <f>IF(J16=0,0,IF(B16="F",VLOOKUP(I16,Barem!$G$2:$H$16,2,1),VLOOKUP(I16,Barem!$G$17:$H$31,2,1)))</f>
        <v>2</v>
      </c>
      <c r="L16" s="50">
        <v>1.75</v>
      </c>
      <c r="M16" s="124" t="s">
        <v>106</v>
      </c>
      <c r="N16" s="10">
        <f t="shared" si="9"/>
        <v>0.5</v>
      </c>
      <c r="O16" s="10">
        <f t="shared" si="0"/>
        <v>0.25</v>
      </c>
      <c r="P16" s="10">
        <f t="shared" si="0"/>
        <v>0.25</v>
      </c>
      <c r="Q16" s="40">
        <f t="shared" si="10"/>
        <v>6.0666666666666667E-2</v>
      </c>
      <c r="R16" s="21">
        <f>IF(D16&gt;21,VLOOKUP(D16,Barem!$T$1:$U$141,2,1),0)</f>
        <v>0</v>
      </c>
      <c r="S16" s="152">
        <f>IF(D16&lt;1.609,0,IF(B16="F",VLOOKUP(I16,Barem!$X$2:$Z$13,2,1),VLOOKUP(I16,Barem!$X$14:$Z$25,2,1)))</f>
        <v>0</v>
      </c>
      <c r="T16" s="21">
        <f>VLOOKUP(A16,Participanti!A:C,3,0)</f>
        <v>0</v>
      </c>
      <c r="U16" s="18">
        <f t="shared" si="11"/>
        <v>2.2719166666666664</v>
      </c>
      <c r="V16" s="58" t="s">
        <v>334</v>
      </c>
      <c r="W16" s="77">
        <f t="shared" si="1"/>
        <v>1</v>
      </c>
      <c r="X16" s="1" t="str">
        <f>VLOOKUP(A16,Data_Echipe!A:R,18,0)</f>
        <v>MedgidiaRunning</v>
      </c>
      <c r="Z16" s="115">
        <f t="shared" si="12"/>
        <v>1</v>
      </c>
    </row>
    <row r="17" spans="1:26" x14ac:dyDescent="0.3">
      <c r="A17" s="49" t="s">
        <v>344</v>
      </c>
      <c r="B17" s="1" t="str">
        <f>VLOOKUP(A17,Participanti!A:B,2,0)</f>
        <v>F</v>
      </c>
      <c r="C17" s="74">
        <v>1</v>
      </c>
      <c r="D17" s="50">
        <v>9.01</v>
      </c>
      <c r="E17" s="51">
        <v>3.7986111111111116E-2</v>
      </c>
      <c r="F17" s="51">
        <v>4.4814814814814814E-2</v>
      </c>
      <c r="G17" s="69">
        <f t="shared" si="6"/>
        <v>4.1400462962962965E-2</v>
      </c>
      <c r="H17" s="52"/>
      <c r="I17" s="12">
        <f t="shared" si="7"/>
        <v>4.5949459448349573E-3</v>
      </c>
      <c r="J17" s="37">
        <f t="shared" si="8"/>
        <v>2.2524999999999999</v>
      </c>
      <c r="K17" s="37">
        <f>IF(J17=0,0,IF(B17="F",VLOOKUP(I17,Barem!$G$2:$H$16,2,1),VLOOKUP(I17,Barem!$G$17:$H$31,2,1)))</f>
        <v>1.25</v>
      </c>
      <c r="L17" s="50">
        <v>1.75</v>
      </c>
      <c r="M17" s="124" t="s">
        <v>106</v>
      </c>
      <c r="N17" s="10">
        <f t="shared" si="9"/>
        <v>0.5</v>
      </c>
      <c r="O17" s="10">
        <f t="shared" si="9"/>
        <v>0.25</v>
      </c>
      <c r="P17" s="10">
        <f t="shared" si="9"/>
        <v>0.25</v>
      </c>
      <c r="Q17" s="40">
        <f t="shared" si="10"/>
        <v>0</v>
      </c>
      <c r="R17" s="21">
        <f>IF(D17&gt;21,VLOOKUP(D17,Barem!$T$1:$U$141,2,1),0)</f>
        <v>0</v>
      </c>
      <c r="S17" s="152">
        <f>IF(D17&lt;1.609,0,IF(B17="F",VLOOKUP(I17,Barem!$X$2:$Z$13,2,1),VLOOKUP(I17,Barem!$X$14:$Z$25,2,1)))</f>
        <v>0</v>
      </c>
      <c r="T17" s="21">
        <f>VLOOKUP(A17,Participanti!A:C,3,0)</f>
        <v>0</v>
      </c>
      <c r="U17" s="18">
        <f t="shared" si="11"/>
        <v>1.87625</v>
      </c>
      <c r="V17" s="58" t="s">
        <v>334</v>
      </c>
      <c r="W17" s="77">
        <f t="shared" si="1"/>
        <v>1</v>
      </c>
      <c r="X17" s="1" t="e">
        <f>VLOOKUP(A17,Data_Echipe!A:R,18,0)</f>
        <v>#N/A</v>
      </c>
      <c r="Z17" s="115">
        <f t="shared" si="12"/>
        <v>1</v>
      </c>
    </row>
    <row r="18" spans="1:26" x14ac:dyDescent="0.3">
      <c r="A18" s="49" t="s">
        <v>345</v>
      </c>
      <c r="B18" s="1" t="str">
        <f>VLOOKUP(A18,Participanti!A:B,2,0)</f>
        <v>F</v>
      </c>
      <c r="C18" s="74">
        <v>1</v>
      </c>
      <c r="D18" s="50">
        <v>5.01</v>
      </c>
      <c r="E18" s="51">
        <v>1.8043981481481484E-2</v>
      </c>
      <c r="F18" s="51">
        <v>1.8043981481481484E-2</v>
      </c>
      <c r="G18" s="69">
        <f t="shared" si="6"/>
        <v>1.8043981481481484E-2</v>
      </c>
      <c r="H18" s="52"/>
      <c r="I18" s="12">
        <f t="shared" si="7"/>
        <v>3.6015931100761445E-3</v>
      </c>
      <c r="J18" s="37">
        <f t="shared" si="8"/>
        <v>1.2524999999999999</v>
      </c>
      <c r="K18" s="37">
        <f>IF(J18=0,0,IF(B18="F",VLOOKUP(I18,Barem!$G$2:$H$16,2,1),VLOOKUP(I18,Barem!$G$17:$H$31,2,1)))</f>
        <v>3.5</v>
      </c>
      <c r="L18" s="50">
        <v>1.5</v>
      </c>
      <c r="M18" s="124" t="s">
        <v>207</v>
      </c>
      <c r="N18" s="10">
        <f t="shared" si="9"/>
        <v>0.25</v>
      </c>
      <c r="O18" s="10">
        <f t="shared" si="9"/>
        <v>0.25</v>
      </c>
      <c r="P18" s="10">
        <f t="shared" si="9"/>
        <v>0.5</v>
      </c>
      <c r="Q18" s="40">
        <f t="shared" si="10"/>
        <v>0</v>
      </c>
      <c r="R18" s="21">
        <f>IF(D18&gt;21,VLOOKUP(D18,Barem!$T$1:$U$141,2,1),0)</f>
        <v>0</v>
      </c>
      <c r="S18" s="152">
        <f>IF(D18&lt;1.609,0,IF(B18="F",VLOOKUP(I18,Barem!$X$2:$Z$13,2,1),VLOOKUP(I18,Barem!$X$14:$Z$25,2,1)))</f>
        <v>0</v>
      </c>
      <c r="T18" s="21">
        <f>VLOOKUP(A18,Participanti!A:C,3,0)</f>
        <v>0</v>
      </c>
      <c r="U18" s="18">
        <f t="shared" si="11"/>
        <v>1.9381249999999999</v>
      </c>
      <c r="V18" s="58" t="s">
        <v>334</v>
      </c>
      <c r="W18" s="77">
        <f t="shared" si="1"/>
        <v>1</v>
      </c>
      <c r="X18" s="1" t="str">
        <f>VLOOKUP(A18,Data_Echipe!A:R,18,0)</f>
        <v>MedgidiaRunning</v>
      </c>
      <c r="Z18" s="115">
        <f t="shared" si="12"/>
        <v>1</v>
      </c>
    </row>
    <row r="19" spans="1:26" x14ac:dyDescent="0.3">
      <c r="A19" s="49" t="s">
        <v>301</v>
      </c>
      <c r="B19" s="1" t="str">
        <f>VLOOKUP(A19,Participanti!A:B,2,0)</f>
        <v>M</v>
      </c>
      <c r="C19" s="74">
        <v>1</v>
      </c>
      <c r="D19" s="50">
        <v>20.04</v>
      </c>
      <c r="E19" s="51">
        <v>7.2696759259259267E-2</v>
      </c>
      <c r="F19" s="51">
        <v>7.7708333333333338E-2</v>
      </c>
      <c r="G19" s="69">
        <f t="shared" si="6"/>
        <v>7.5202546296296302E-2</v>
      </c>
      <c r="H19" s="52">
        <v>182</v>
      </c>
      <c r="I19" s="12">
        <f t="shared" si="7"/>
        <v>3.7526220706734685E-3</v>
      </c>
      <c r="J19" s="37">
        <f t="shared" si="8"/>
        <v>4.7714285714285714</v>
      </c>
      <c r="K19" s="37">
        <f>IF(J19=0,0,IF(B19="F",VLOOKUP(I19,Barem!$G$2:$H$16,2,1),VLOOKUP(I19,Barem!$G$17:$H$31,2,1)))</f>
        <v>2</v>
      </c>
      <c r="L19" s="50">
        <v>1.75</v>
      </c>
      <c r="M19" s="124" t="s">
        <v>106</v>
      </c>
      <c r="N19" s="10">
        <f t="shared" si="9"/>
        <v>0.5</v>
      </c>
      <c r="O19" s="10">
        <f t="shared" si="9"/>
        <v>0.25</v>
      </c>
      <c r="P19" s="10">
        <f t="shared" si="9"/>
        <v>0.25</v>
      </c>
      <c r="Q19" s="40">
        <f t="shared" si="10"/>
        <v>0.12133333333333333</v>
      </c>
      <c r="R19" s="21">
        <f>IF(D19&gt;21,VLOOKUP(D19,Barem!$T$1:$U$141,2,1),0)</f>
        <v>0</v>
      </c>
      <c r="S19" s="152">
        <f>IF(D19&lt;1.609,0,IF(B19="F",VLOOKUP(I19,Barem!$X$2:$Z$13,2,1),VLOOKUP(I19,Barem!$X$14:$Z$25,2,1)))</f>
        <v>0</v>
      </c>
      <c r="T19" s="21">
        <f>VLOOKUP(A19,Participanti!A:C,3,0)</f>
        <v>0</v>
      </c>
      <c r="U19" s="18">
        <f t="shared" si="11"/>
        <v>3.444547619047619</v>
      </c>
      <c r="V19" s="58" t="s">
        <v>334</v>
      </c>
      <c r="W19" s="77">
        <f t="shared" si="1"/>
        <v>1</v>
      </c>
      <c r="X19" s="1" t="e">
        <f>VLOOKUP(A19,Data_Echipe!A:R,18,0)</f>
        <v>#N/A</v>
      </c>
      <c r="Z19" s="115">
        <f t="shared" si="12"/>
        <v>1</v>
      </c>
    </row>
    <row r="20" spans="1:26" x14ac:dyDescent="0.3">
      <c r="A20" s="49" t="s">
        <v>346</v>
      </c>
      <c r="B20" s="1" t="str">
        <f>VLOOKUP(A20,Participanti!A:B,2,0)</f>
        <v>M</v>
      </c>
      <c r="C20" s="74">
        <v>1</v>
      </c>
      <c r="D20" s="50">
        <v>42.39</v>
      </c>
      <c r="E20" s="51">
        <v>0.19881944444444444</v>
      </c>
      <c r="F20" s="51">
        <v>0.20119212962962962</v>
      </c>
      <c r="G20" s="69">
        <f t="shared" si="6"/>
        <v>0.20000578703703703</v>
      </c>
      <c r="H20" s="52">
        <v>479</v>
      </c>
      <c r="I20" s="12">
        <f t="shared" si="7"/>
        <v>4.7182304089888423E-3</v>
      </c>
      <c r="J20" s="37">
        <f t="shared" si="8"/>
        <v>5</v>
      </c>
      <c r="K20" s="37">
        <f>IF(J20=0,0,IF(B20="F",VLOOKUP(I20,Barem!$G$2:$H$16,2,1),VLOOKUP(I20,Barem!$G$17:$H$31,2,1)))</f>
        <v>0.5</v>
      </c>
      <c r="L20" s="50">
        <v>0.25</v>
      </c>
      <c r="M20" s="124" t="s">
        <v>106</v>
      </c>
      <c r="N20" s="10">
        <f t="shared" si="9"/>
        <v>0.5</v>
      </c>
      <c r="O20" s="10">
        <f t="shared" si="9"/>
        <v>0.25</v>
      </c>
      <c r="P20" s="10">
        <f t="shared" si="9"/>
        <v>0.25</v>
      </c>
      <c r="Q20" s="40">
        <f t="shared" si="10"/>
        <v>0.31933333333333336</v>
      </c>
      <c r="R20" s="21">
        <f>IF(D20&gt;21,VLOOKUP(D20,Barem!$T$1:$U$141,2,1),0)</f>
        <v>1</v>
      </c>
      <c r="S20" s="152">
        <f>IF(D20&lt;1.609,0,IF(B20="F",VLOOKUP(I20,Barem!$X$2:$Z$13,2,1),VLOOKUP(I20,Barem!$X$14:$Z$25,2,1)))</f>
        <v>0</v>
      </c>
      <c r="T20" s="21">
        <f>VLOOKUP(A20,Participanti!A:C,3,0)</f>
        <v>0</v>
      </c>
      <c r="U20" s="18">
        <f t="shared" si="11"/>
        <v>4.0068333333333328</v>
      </c>
      <c r="V20" s="58" t="s">
        <v>334</v>
      </c>
      <c r="W20" s="77">
        <f t="shared" si="1"/>
        <v>1</v>
      </c>
      <c r="X20" s="1" t="str">
        <f>VLOOKUP(A20,Data_Echipe!A:R,18,0)</f>
        <v>UltraHaita lu' Borcan</v>
      </c>
      <c r="Z20" s="115">
        <f t="shared" si="12"/>
        <v>1</v>
      </c>
    </row>
    <row r="21" spans="1:26" x14ac:dyDescent="0.3">
      <c r="A21" s="49" t="s">
        <v>275</v>
      </c>
      <c r="B21" s="1" t="str">
        <f>VLOOKUP(A21,Participanti!A:B,2,0)</f>
        <v>M</v>
      </c>
      <c r="C21" s="74">
        <v>1</v>
      </c>
      <c r="D21" s="50">
        <v>14.35</v>
      </c>
      <c r="E21" s="51">
        <v>5.4768518518518522E-2</v>
      </c>
      <c r="F21" s="51">
        <v>6.2002314814814809E-2</v>
      </c>
      <c r="G21" s="69">
        <f t="shared" si="6"/>
        <v>5.8385416666666662E-2</v>
      </c>
      <c r="H21" s="52">
        <v>10</v>
      </c>
      <c r="I21" s="12">
        <f t="shared" si="7"/>
        <v>4.0686701509872235E-3</v>
      </c>
      <c r="J21" s="37">
        <f t="shared" si="8"/>
        <v>3.4166666666666665</v>
      </c>
      <c r="K21" s="37">
        <f>IF(J21=0,0,IF(B21="F",VLOOKUP(I21,Barem!$G$2:$H$16,2,1),VLOOKUP(I21,Barem!$G$17:$H$31,2,1)))</f>
        <v>1.5</v>
      </c>
      <c r="L21" s="50">
        <v>1.5</v>
      </c>
      <c r="M21" s="124" t="s">
        <v>106</v>
      </c>
      <c r="N21" s="10">
        <f t="shared" si="9"/>
        <v>0.5</v>
      </c>
      <c r="O21" s="10">
        <f t="shared" si="9"/>
        <v>0.25</v>
      </c>
      <c r="P21" s="10">
        <f t="shared" si="9"/>
        <v>0.25</v>
      </c>
      <c r="Q21" s="40">
        <f t="shared" si="10"/>
        <v>0</v>
      </c>
      <c r="R21" s="21">
        <f>IF(D21&gt;21,VLOOKUP(D21,Barem!$T$1:$U$141,2,1),0)</f>
        <v>0</v>
      </c>
      <c r="S21" s="152">
        <f>IF(D21&lt;1.609,0,IF(B21="F",VLOOKUP(I21,Barem!$X$2:$Z$13,2,1),VLOOKUP(I21,Barem!$X$14:$Z$25,2,1)))</f>
        <v>0</v>
      </c>
      <c r="T21" s="21">
        <f>VLOOKUP(A21,Participanti!A:C,3,0)</f>
        <v>0</v>
      </c>
      <c r="U21" s="18">
        <f t="shared" si="11"/>
        <v>2.458333333333333</v>
      </c>
      <c r="V21" s="58" t="s">
        <v>334</v>
      </c>
      <c r="W21" s="77">
        <f t="shared" si="1"/>
        <v>1</v>
      </c>
      <c r="X21" s="1" t="e">
        <f>VLOOKUP(A21,Data_Echipe!A:R,18,0)</f>
        <v>#N/A</v>
      </c>
      <c r="Z21" s="115">
        <f t="shared" si="12"/>
        <v>1</v>
      </c>
    </row>
    <row r="22" spans="1:26" x14ac:dyDescent="0.3">
      <c r="A22" s="49" t="s">
        <v>347</v>
      </c>
      <c r="B22" s="1" t="str">
        <f>VLOOKUP(A22,Participanti!A:B,2,0)</f>
        <v>F</v>
      </c>
      <c r="C22" s="74">
        <v>1</v>
      </c>
      <c r="D22" s="50">
        <v>7.67</v>
      </c>
      <c r="E22" s="51">
        <v>2.7916666666666669E-2</v>
      </c>
      <c r="F22" s="51">
        <v>2.7916666666666669E-2</v>
      </c>
      <c r="G22" s="69">
        <f t="shared" si="6"/>
        <v>2.7916666666666669E-2</v>
      </c>
      <c r="H22" s="52"/>
      <c r="I22" s="12">
        <f t="shared" si="7"/>
        <v>3.6397218600608436E-3</v>
      </c>
      <c r="J22" s="37">
        <f t="shared" si="8"/>
        <v>1.9175</v>
      </c>
      <c r="K22" s="37">
        <f>IF(J22=0,0,IF(B22="F",VLOOKUP(I22,Barem!$G$2:$H$16,2,1),VLOOKUP(I22,Barem!$G$17:$H$31,2,1)))</f>
        <v>3.5</v>
      </c>
      <c r="L22" s="50">
        <v>1.5</v>
      </c>
      <c r="M22" s="124" t="s">
        <v>107</v>
      </c>
      <c r="N22" s="10">
        <f t="shared" si="9"/>
        <v>0.25</v>
      </c>
      <c r="O22" s="10">
        <f t="shared" si="9"/>
        <v>0.5</v>
      </c>
      <c r="P22" s="10">
        <f t="shared" si="9"/>
        <v>0.25</v>
      </c>
      <c r="Q22" s="40">
        <f t="shared" si="10"/>
        <v>0</v>
      </c>
      <c r="R22" s="21">
        <f>IF(D22&gt;21,VLOOKUP(D22,Barem!$T$1:$U$141,2,1),0)</f>
        <v>0</v>
      </c>
      <c r="S22" s="152">
        <f>IF(D22&lt;1.609,0,IF(B22="F",VLOOKUP(I22,Barem!$X$2:$Z$13,2,1),VLOOKUP(I22,Barem!$X$14:$Z$25,2,1)))</f>
        <v>0</v>
      </c>
      <c r="T22" s="21">
        <f>VLOOKUP(A22,Participanti!A:C,3,0)</f>
        <v>0</v>
      </c>
      <c r="U22" s="18">
        <f t="shared" si="11"/>
        <v>2.6043750000000001</v>
      </c>
      <c r="V22" s="58" t="s">
        <v>334</v>
      </c>
      <c r="W22" s="77">
        <f t="shared" si="1"/>
        <v>1</v>
      </c>
      <c r="X22" s="1" t="str">
        <f>VLOOKUP(A22,Data_Echipe!A:R,18,0)</f>
        <v>MedgidiaRunning</v>
      </c>
      <c r="Z22" s="115">
        <f t="shared" si="12"/>
        <v>1</v>
      </c>
    </row>
    <row r="23" spans="1:26" x14ac:dyDescent="0.3">
      <c r="A23" s="49" t="s">
        <v>48</v>
      </c>
      <c r="B23" s="1" t="str">
        <f>VLOOKUP(A23,Participanti!A:B,2,0)</f>
        <v>M</v>
      </c>
      <c r="C23" s="74">
        <v>1</v>
      </c>
      <c r="D23" s="50">
        <v>13.35</v>
      </c>
      <c r="E23" s="51">
        <v>6.3645833333333332E-2</v>
      </c>
      <c r="F23" s="51">
        <v>6.3796296296296295E-2</v>
      </c>
      <c r="G23" s="69">
        <f t="shared" si="6"/>
        <v>6.3721064814814821E-2</v>
      </c>
      <c r="H23" s="52">
        <v>184</v>
      </c>
      <c r="I23" s="12">
        <f t="shared" si="7"/>
        <v>4.7731134692745184E-3</v>
      </c>
      <c r="J23" s="37">
        <f t="shared" si="8"/>
        <v>3.1785714285714284</v>
      </c>
      <c r="K23" s="37">
        <f>IF(J23=0,0,IF(B23="F",VLOOKUP(I23,Barem!$G$2:$H$16,2,1),VLOOKUP(I23,Barem!$G$17:$H$31,2,1)))</f>
        <v>0.5</v>
      </c>
      <c r="L23" s="50">
        <v>2.25</v>
      </c>
      <c r="M23" s="124" t="s">
        <v>106</v>
      </c>
      <c r="N23" s="10">
        <f t="shared" si="9"/>
        <v>0.5</v>
      </c>
      <c r="O23" s="10">
        <f t="shared" si="9"/>
        <v>0.25</v>
      </c>
      <c r="P23" s="10">
        <f t="shared" si="9"/>
        <v>0.25</v>
      </c>
      <c r="Q23" s="40">
        <f t="shared" si="10"/>
        <v>0.12266666666666666</v>
      </c>
      <c r="R23" s="21">
        <f>IF(D23&gt;21,VLOOKUP(D23,Barem!$T$1:$U$141,2,1),0)</f>
        <v>0</v>
      </c>
      <c r="S23" s="152">
        <f>IF(D23&lt;1.609,0,IF(B23="F",VLOOKUP(I23,Barem!$X$2:$Z$13,2,1),VLOOKUP(I23,Barem!$X$14:$Z$25,2,1)))</f>
        <v>0</v>
      </c>
      <c r="T23" s="21">
        <f>VLOOKUP(A23,Participanti!A:C,3,0)</f>
        <v>0.4</v>
      </c>
      <c r="U23" s="18">
        <f t="shared" si="11"/>
        <v>2.7994523809523808</v>
      </c>
      <c r="V23" s="58" t="s">
        <v>334</v>
      </c>
      <c r="W23" s="77">
        <f t="shared" si="1"/>
        <v>1</v>
      </c>
      <c r="X23" s="1" t="str">
        <f>VLOOKUP(A23,Data_Echipe!A:R,18,0)</f>
        <v>#notSYRious</v>
      </c>
      <c r="Z23" s="115">
        <f t="shared" si="12"/>
        <v>1</v>
      </c>
    </row>
    <row r="24" spans="1:26" x14ac:dyDescent="0.3">
      <c r="A24" s="49" t="s">
        <v>132</v>
      </c>
      <c r="B24" s="1" t="str">
        <f>VLOOKUP(A24,Participanti!A:B,2,0)</f>
        <v>F</v>
      </c>
      <c r="C24" s="74">
        <v>1</v>
      </c>
      <c r="D24" s="50">
        <v>4</v>
      </c>
      <c r="E24" s="51">
        <v>1.5833333333333335E-2</v>
      </c>
      <c r="F24" s="51">
        <v>1.5833333333333335E-2</v>
      </c>
      <c r="G24" s="69">
        <f t="shared" si="6"/>
        <v>1.5833333333333335E-2</v>
      </c>
      <c r="H24" s="52">
        <v>33</v>
      </c>
      <c r="I24" s="12">
        <f t="shared" si="7"/>
        <v>3.9583333333333337E-3</v>
      </c>
      <c r="J24" s="37">
        <f t="shared" si="8"/>
        <v>1</v>
      </c>
      <c r="K24" s="37">
        <f>IF(J24=0,0,IF(B24="F",VLOOKUP(I24,Barem!$G$2:$H$16,2,1),VLOOKUP(I24,Barem!$G$17:$H$31,2,1)))</f>
        <v>2.5</v>
      </c>
      <c r="L24" s="50">
        <v>2.75</v>
      </c>
      <c r="M24" s="124" t="s">
        <v>107</v>
      </c>
      <c r="N24" s="10">
        <f t="shared" si="9"/>
        <v>0.25</v>
      </c>
      <c r="O24" s="10">
        <f t="shared" si="9"/>
        <v>0.5</v>
      </c>
      <c r="P24" s="10">
        <f t="shared" si="9"/>
        <v>0.25</v>
      </c>
      <c r="Q24" s="40">
        <f t="shared" si="10"/>
        <v>0</v>
      </c>
      <c r="R24" s="21">
        <f>IF(D24&gt;21,VLOOKUP(D24,Barem!$T$1:$U$141,2,1),0)</f>
        <v>0</v>
      </c>
      <c r="S24" s="152">
        <f>IF(D24&lt;1.609,0,IF(B24="F",VLOOKUP(I24,Barem!$X$2:$Z$13,2,1),VLOOKUP(I24,Barem!$X$14:$Z$25,2,1)))</f>
        <v>0</v>
      </c>
      <c r="T24" s="21">
        <f>VLOOKUP(A24,Participanti!A:C,3,0)</f>
        <v>0</v>
      </c>
      <c r="U24" s="18">
        <f t="shared" si="11"/>
        <v>2.1875</v>
      </c>
      <c r="V24" s="58" t="s">
        <v>334</v>
      </c>
      <c r="W24" s="77">
        <f t="shared" si="1"/>
        <v>1</v>
      </c>
      <c r="X24" s="1" t="str">
        <f>VLOOKUP(A24,Data_Echipe!A:R,18,0)</f>
        <v>MedgidiaRunning</v>
      </c>
      <c r="Z24" s="115">
        <f t="shared" si="12"/>
        <v>1</v>
      </c>
    </row>
    <row r="25" spans="1:26" x14ac:dyDescent="0.3">
      <c r="A25" s="49" t="s">
        <v>41</v>
      </c>
      <c r="B25" s="1" t="str">
        <f>VLOOKUP(A25,Participanti!A:B,2,0)</f>
        <v>M</v>
      </c>
      <c r="C25" s="74">
        <v>1</v>
      </c>
      <c r="D25" s="50">
        <v>7.24</v>
      </c>
      <c r="E25" s="51">
        <v>2.3645833333333335E-2</v>
      </c>
      <c r="F25" s="51">
        <v>2.3645833333333335E-2</v>
      </c>
      <c r="G25" s="69">
        <f t="shared" si="6"/>
        <v>2.3645833333333335E-2</v>
      </c>
      <c r="H25" s="52">
        <v>55</v>
      </c>
      <c r="I25" s="12">
        <f t="shared" si="7"/>
        <v>3.2659990791896868E-3</v>
      </c>
      <c r="J25" s="37">
        <f t="shared" si="8"/>
        <v>1.7238095238095237</v>
      </c>
      <c r="K25" s="37">
        <f>IF(J25=0,0,IF(B25="F",VLOOKUP(I25,Barem!$G$2:$H$16,2,1),VLOOKUP(I25,Barem!$G$17:$H$31,2,1)))</f>
        <v>3.5</v>
      </c>
      <c r="L25" s="50">
        <v>2.5</v>
      </c>
      <c r="M25" s="124" t="s">
        <v>106</v>
      </c>
      <c r="N25" s="10">
        <f t="shared" si="9"/>
        <v>0.5</v>
      </c>
      <c r="O25" s="10">
        <f t="shared" si="9"/>
        <v>0.25</v>
      </c>
      <c r="P25" s="10">
        <f t="shared" si="9"/>
        <v>0.25</v>
      </c>
      <c r="Q25" s="40">
        <f t="shared" si="10"/>
        <v>3.6666666666666667E-2</v>
      </c>
      <c r="R25" s="21">
        <f>IF(D25&gt;21,VLOOKUP(D25,Barem!$T$1:$U$141,2,1),0)</f>
        <v>0</v>
      </c>
      <c r="S25" s="152">
        <f>IF(D25&lt;1.609,0,IF(B25="F",VLOOKUP(I25,Barem!$X$2:$Z$13,2,1),VLOOKUP(I25,Barem!$X$14:$Z$25,2,1)))</f>
        <v>0</v>
      </c>
      <c r="T25" s="21">
        <f>VLOOKUP(A25,Participanti!A:C,3,0)</f>
        <v>0</v>
      </c>
      <c r="U25" s="18">
        <f t="shared" si="11"/>
        <v>2.3985714285714286</v>
      </c>
      <c r="V25" s="58" t="s">
        <v>334</v>
      </c>
      <c r="W25" s="77">
        <f t="shared" si="1"/>
        <v>1</v>
      </c>
      <c r="X25" s="1" t="str">
        <f>VLOOKUP(A25,Data_Echipe!A:R,18,0)</f>
        <v>Almost Kenyan Runners</v>
      </c>
      <c r="Z25" s="115">
        <f t="shared" si="12"/>
        <v>1</v>
      </c>
    </row>
    <row r="26" spans="1:26" x14ac:dyDescent="0.3">
      <c r="A26" s="49" t="s">
        <v>204</v>
      </c>
      <c r="B26" s="1" t="str">
        <f>VLOOKUP(A26,Participanti!A:B,2,0)</f>
        <v>M</v>
      </c>
      <c r="C26" s="74">
        <v>1</v>
      </c>
      <c r="D26" s="50">
        <v>7.34</v>
      </c>
      <c r="E26" s="51">
        <v>2.5891203703703704E-2</v>
      </c>
      <c r="F26" s="51">
        <v>2.6631944444444444E-2</v>
      </c>
      <c r="G26" s="69">
        <f t="shared" si="6"/>
        <v>2.6261574074074076E-2</v>
      </c>
      <c r="H26" s="52"/>
      <c r="I26" s="12">
        <f t="shared" si="7"/>
        <v>3.5778711272580485E-3</v>
      </c>
      <c r="J26" s="37">
        <f t="shared" si="8"/>
        <v>1.7476190476190474</v>
      </c>
      <c r="K26" s="37">
        <f>IF(J26=0,0,IF(B26="F",VLOOKUP(I26,Barem!$G$2:$H$16,2,1),VLOOKUP(I26,Barem!$G$17:$H$31,2,1)))</f>
        <v>2.5</v>
      </c>
      <c r="L26" s="50">
        <v>0.75</v>
      </c>
      <c r="M26" s="124" t="s">
        <v>106</v>
      </c>
      <c r="N26" s="10">
        <f t="shared" si="9"/>
        <v>0.5</v>
      </c>
      <c r="O26" s="10">
        <f t="shared" si="9"/>
        <v>0.25</v>
      </c>
      <c r="P26" s="10">
        <f t="shared" si="9"/>
        <v>0.25</v>
      </c>
      <c r="Q26" s="40">
        <f t="shared" si="10"/>
        <v>0</v>
      </c>
      <c r="R26" s="21">
        <f>IF(D26&gt;21,VLOOKUP(D26,Barem!$T$1:$U$141,2,1),0)</f>
        <v>0</v>
      </c>
      <c r="S26" s="152">
        <f>IF(D26&lt;1.609,0,IF(B26="F",VLOOKUP(I26,Barem!$X$2:$Z$13,2,1),VLOOKUP(I26,Barem!$X$14:$Z$25,2,1)))</f>
        <v>0</v>
      </c>
      <c r="T26" s="21">
        <f>VLOOKUP(A26,Participanti!A:C,3,0)</f>
        <v>0</v>
      </c>
      <c r="U26" s="18">
        <f t="shared" si="11"/>
        <v>1.6863095238095238</v>
      </c>
      <c r="V26" s="58" t="s">
        <v>349</v>
      </c>
      <c r="W26" s="77">
        <f t="shared" si="1"/>
        <v>1</v>
      </c>
      <c r="X26" s="1" t="e">
        <f>VLOOKUP(A26,Data_Echipe!A:R,18,0)</f>
        <v>#N/A</v>
      </c>
      <c r="Z26" s="115">
        <f t="shared" si="12"/>
        <v>1</v>
      </c>
    </row>
    <row r="27" spans="1:26" x14ac:dyDescent="0.3">
      <c r="A27" s="49" t="s">
        <v>242</v>
      </c>
      <c r="B27" s="1" t="str">
        <f>VLOOKUP(A27,Participanti!A:B,2,0)</f>
        <v>M</v>
      </c>
      <c r="C27" s="74">
        <v>1</v>
      </c>
      <c r="D27" s="50">
        <v>11.2</v>
      </c>
      <c r="E27" s="51">
        <v>4.6192129629629632E-2</v>
      </c>
      <c r="F27" s="51">
        <v>4.6805555555555552E-2</v>
      </c>
      <c r="G27" s="69">
        <f t="shared" si="6"/>
        <v>4.6498842592592592E-2</v>
      </c>
      <c r="H27" s="52"/>
      <c r="I27" s="12">
        <f t="shared" si="7"/>
        <v>4.1516823743386246E-3</v>
      </c>
      <c r="J27" s="37">
        <f t="shared" si="8"/>
        <v>2.6666666666666665</v>
      </c>
      <c r="K27" s="37">
        <f>IF(J27=0,0,IF(B27="F",VLOOKUP(I27,Barem!$G$2:$H$16,2,1),VLOOKUP(I27,Barem!$G$17:$H$31,2,1)))</f>
        <v>1.5</v>
      </c>
      <c r="L27" s="50">
        <v>0.75</v>
      </c>
      <c r="M27" s="124" t="s">
        <v>106</v>
      </c>
      <c r="N27" s="10">
        <f t="shared" si="9"/>
        <v>0.5</v>
      </c>
      <c r="O27" s="10">
        <f t="shared" si="9"/>
        <v>0.25</v>
      </c>
      <c r="P27" s="10">
        <f t="shared" si="9"/>
        <v>0.25</v>
      </c>
      <c r="Q27" s="40">
        <f t="shared" si="10"/>
        <v>0</v>
      </c>
      <c r="R27" s="21">
        <f>IF(D27&gt;21,VLOOKUP(D27,Barem!$T$1:$U$141,2,1),0)</f>
        <v>0</v>
      </c>
      <c r="S27" s="152">
        <f>IF(D27&lt;1.609,0,IF(B27="F",VLOOKUP(I27,Barem!$X$2:$Z$13,2,1),VLOOKUP(I27,Barem!$X$14:$Z$25,2,1)))</f>
        <v>0</v>
      </c>
      <c r="T27" s="21">
        <f>VLOOKUP(A27,Participanti!A:C,3,0)</f>
        <v>0</v>
      </c>
      <c r="U27" s="18">
        <f t="shared" si="11"/>
        <v>1.8958333333333333</v>
      </c>
      <c r="V27" s="58" t="s">
        <v>348</v>
      </c>
      <c r="W27" s="77">
        <f t="shared" si="1"/>
        <v>1</v>
      </c>
      <c r="X27" s="1" t="e">
        <f>VLOOKUP(A27,Data_Echipe!A:R,18,0)</f>
        <v>#N/A</v>
      </c>
      <c r="Z27" s="115">
        <f t="shared" si="12"/>
        <v>1</v>
      </c>
    </row>
    <row r="28" spans="1:26" x14ac:dyDescent="0.3">
      <c r="A28" s="49" t="s">
        <v>350</v>
      </c>
      <c r="B28" s="1" t="str">
        <f>VLOOKUP(A28,Participanti!A:B,2,0)</f>
        <v>F</v>
      </c>
      <c r="C28" s="74">
        <v>1</v>
      </c>
      <c r="D28" s="50">
        <v>28.5</v>
      </c>
      <c r="E28" s="51">
        <v>0.18760416666666666</v>
      </c>
      <c r="F28" s="51">
        <v>0.21064814814814814</v>
      </c>
      <c r="G28" s="69">
        <f t="shared" si="6"/>
        <v>0.19912615740740741</v>
      </c>
      <c r="H28" s="52">
        <v>1477</v>
      </c>
      <c r="I28" s="12">
        <f t="shared" si="7"/>
        <v>6.9868827160493828E-3</v>
      </c>
      <c r="J28" s="37">
        <f t="shared" si="8"/>
        <v>5</v>
      </c>
      <c r="K28" s="37">
        <f>IF(J28=0,0,IF(B28="F",VLOOKUP(I28,Barem!$G$2:$H$16,2,1),VLOOKUP(I28,Barem!$G$17:$H$31,2,1)))</f>
        <v>0</v>
      </c>
      <c r="L28" s="50">
        <v>3.25</v>
      </c>
      <c r="M28" s="124" t="s">
        <v>106</v>
      </c>
      <c r="N28" s="10">
        <f t="shared" si="9"/>
        <v>0.5</v>
      </c>
      <c r="O28" s="10">
        <f t="shared" si="9"/>
        <v>0.25</v>
      </c>
      <c r="P28" s="10">
        <f t="shared" si="9"/>
        <v>0.25</v>
      </c>
      <c r="Q28" s="40">
        <f t="shared" si="10"/>
        <v>0.98466666666666669</v>
      </c>
      <c r="R28" s="21">
        <f>IF(D28&gt;21,VLOOKUP(D28,Barem!$T$1:$U$141,2,1),0)</f>
        <v>0.3</v>
      </c>
      <c r="S28" s="152">
        <f>IF(D28&lt;1.609,0,IF(B28="F",VLOOKUP(I28,Barem!$X$2:$Z$13,2,1),VLOOKUP(I28,Barem!$X$14:$Z$25,2,1)))</f>
        <v>0</v>
      </c>
      <c r="T28" s="21">
        <f>VLOOKUP(A28,Participanti!A:C,3,0)</f>
        <v>0</v>
      </c>
      <c r="U28" s="18">
        <f t="shared" si="11"/>
        <v>4.5971666666666664</v>
      </c>
      <c r="V28" s="58" t="s">
        <v>348</v>
      </c>
      <c r="W28" s="77">
        <f t="shared" si="1"/>
        <v>1</v>
      </c>
      <c r="X28" s="1" t="e">
        <f>VLOOKUP(A28,Data_Echipe!A:R,18,0)</f>
        <v>#N/A</v>
      </c>
      <c r="Z28" s="115">
        <f t="shared" si="12"/>
        <v>0</v>
      </c>
    </row>
    <row r="29" spans="1:26" x14ac:dyDescent="0.3">
      <c r="A29" s="49" t="s">
        <v>245</v>
      </c>
      <c r="B29" s="1" t="str">
        <f>VLOOKUP(A29,Participanti!A:B,2,0)</f>
        <v>M</v>
      </c>
      <c r="C29" s="74">
        <v>1</v>
      </c>
      <c r="D29" s="50">
        <v>5.65</v>
      </c>
      <c r="E29" s="51">
        <v>1.7962962962962962E-2</v>
      </c>
      <c r="F29" s="51">
        <v>1.7962962962962962E-2</v>
      </c>
      <c r="G29" s="69">
        <f t="shared" si="6"/>
        <v>1.7962962962962962E-2</v>
      </c>
      <c r="H29" s="52"/>
      <c r="I29" s="12">
        <f t="shared" si="7"/>
        <v>3.1792854801704355E-3</v>
      </c>
      <c r="J29" s="37">
        <f t="shared" si="8"/>
        <v>1.3452380952380953</v>
      </c>
      <c r="K29" s="37">
        <f>IF(J29=0,0,IF(B29="F",VLOOKUP(I29,Barem!$G$2:$H$16,2,1),VLOOKUP(I29,Barem!$G$17:$H$31,2,1)))</f>
        <v>3.5</v>
      </c>
      <c r="L29" s="50">
        <v>2</v>
      </c>
      <c r="M29" s="124" t="s">
        <v>107</v>
      </c>
      <c r="N29" s="10">
        <f t="shared" si="9"/>
        <v>0.25</v>
      </c>
      <c r="O29" s="10">
        <f t="shared" si="9"/>
        <v>0.5</v>
      </c>
      <c r="P29" s="10">
        <f t="shared" si="9"/>
        <v>0.25</v>
      </c>
      <c r="Q29" s="40">
        <f t="shared" si="10"/>
        <v>0</v>
      </c>
      <c r="R29" s="21">
        <f>IF(D29&gt;21,VLOOKUP(D29,Barem!$T$1:$U$141,2,1),0)</f>
        <v>0</v>
      </c>
      <c r="S29" s="152">
        <f>IF(D29&lt;1.609,0,IF(B29="F",VLOOKUP(I29,Barem!$X$2:$Z$13,2,1),VLOOKUP(I29,Barem!$X$14:$Z$25,2,1)))</f>
        <v>0</v>
      </c>
      <c r="T29" s="21">
        <f>VLOOKUP(A29,Participanti!A:C,3,0)</f>
        <v>0</v>
      </c>
      <c r="U29" s="18">
        <f t="shared" si="11"/>
        <v>2.5863095238095237</v>
      </c>
      <c r="V29" s="58" t="s">
        <v>348</v>
      </c>
      <c r="W29" s="77">
        <f t="shared" si="1"/>
        <v>1</v>
      </c>
      <c r="X29" s="1" t="str">
        <f>VLOOKUP(A29,Data_Echipe!A:R,18,0)</f>
        <v>#notSYRious</v>
      </c>
      <c r="Z29" s="115">
        <f t="shared" si="12"/>
        <v>1</v>
      </c>
    </row>
    <row r="30" spans="1:26" x14ac:dyDescent="0.3">
      <c r="A30" s="49" t="s">
        <v>252</v>
      </c>
      <c r="B30" s="1" t="str">
        <f>VLOOKUP(A30,Participanti!A:B,2,0)</f>
        <v>M</v>
      </c>
      <c r="C30" s="74">
        <v>1</v>
      </c>
      <c r="D30" s="50">
        <v>14.51</v>
      </c>
      <c r="E30" s="51">
        <v>4.9687499999999996E-2</v>
      </c>
      <c r="F30" s="51">
        <v>4.9687499999999996E-2</v>
      </c>
      <c r="G30" s="69">
        <f t="shared" si="6"/>
        <v>4.9687499999999996E-2</v>
      </c>
      <c r="H30" s="52"/>
      <c r="I30" s="12">
        <f t="shared" si="7"/>
        <v>3.4243625086147482E-3</v>
      </c>
      <c r="J30" s="37">
        <f t="shared" si="8"/>
        <v>3.4547619047619045</v>
      </c>
      <c r="K30" s="37">
        <f>IF(J30=0,0,IF(B30="F",VLOOKUP(I30,Barem!$G$2:$H$16,2,1),VLOOKUP(I30,Barem!$G$17:$H$31,2,1)))</f>
        <v>3</v>
      </c>
      <c r="L30" s="50">
        <v>1.5</v>
      </c>
      <c r="M30" s="124" t="s">
        <v>106</v>
      </c>
      <c r="N30" s="10">
        <f t="shared" si="9"/>
        <v>0.5</v>
      </c>
      <c r="O30" s="10">
        <f t="shared" si="9"/>
        <v>0.25</v>
      </c>
      <c r="P30" s="10">
        <f t="shared" si="9"/>
        <v>0.25</v>
      </c>
      <c r="Q30" s="40">
        <f t="shared" si="10"/>
        <v>0</v>
      </c>
      <c r="R30" s="21">
        <f>IF(D30&gt;21,VLOOKUP(D30,Barem!$T$1:$U$141,2,1),0)</f>
        <v>0</v>
      </c>
      <c r="S30" s="152">
        <f>IF(D30&lt;1.609,0,IF(B30="F",VLOOKUP(I30,Barem!$X$2:$Z$13,2,1),VLOOKUP(I30,Barem!$X$14:$Z$25,2,1)))</f>
        <v>0</v>
      </c>
      <c r="T30" s="21">
        <f>VLOOKUP(A30,Participanti!A:C,3,0)</f>
        <v>0</v>
      </c>
      <c r="U30" s="18">
        <f t="shared" si="11"/>
        <v>2.852380952380952</v>
      </c>
      <c r="V30" s="58" t="s">
        <v>348</v>
      </c>
      <c r="W30" s="77">
        <f t="shared" si="1"/>
        <v>1</v>
      </c>
      <c r="X30" s="1" t="str">
        <f>VLOOKUP(A30,Data_Echipe!A:R,18,0)</f>
        <v>UltraHaita lu' Borcan</v>
      </c>
      <c r="Z30" s="115">
        <f t="shared" si="12"/>
        <v>1</v>
      </c>
    </row>
    <row r="31" spans="1:26" x14ac:dyDescent="0.3">
      <c r="A31" s="49" t="s">
        <v>351</v>
      </c>
      <c r="B31" s="1" t="str">
        <f>VLOOKUP(A31,Participanti!A:B,2,0)</f>
        <v>F</v>
      </c>
      <c r="C31" s="74">
        <v>1</v>
      </c>
      <c r="D31" s="50">
        <v>15.01</v>
      </c>
      <c r="E31" s="51">
        <v>5.8078703703703709E-2</v>
      </c>
      <c r="F31" s="51">
        <v>6.3807870370370376E-2</v>
      </c>
      <c r="G31" s="69">
        <f t="shared" si="6"/>
        <v>6.0943287037037039E-2</v>
      </c>
      <c r="H31" s="52"/>
      <c r="I31" s="12">
        <f t="shared" si="7"/>
        <v>4.0601790164581635E-3</v>
      </c>
      <c r="J31" s="37">
        <f t="shared" si="8"/>
        <v>3.7524999999999999</v>
      </c>
      <c r="K31" s="37">
        <f>IF(J31=0,0,IF(B31="F",VLOOKUP(I31,Barem!$G$2:$H$16,2,1),VLOOKUP(I31,Barem!$G$17:$H$31,2,1)))</f>
        <v>2</v>
      </c>
      <c r="L31" s="50">
        <v>1.25</v>
      </c>
      <c r="M31" s="124" t="s">
        <v>106</v>
      </c>
      <c r="N31" s="10">
        <f t="shared" si="9"/>
        <v>0.5</v>
      </c>
      <c r="O31" s="10">
        <f t="shared" si="9"/>
        <v>0.25</v>
      </c>
      <c r="P31" s="10">
        <f t="shared" si="9"/>
        <v>0.25</v>
      </c>
      <c r="Q31" s="40">
        <f t="shared" si="10"/>
        <v>0</v>
      </c>
      <c r="R31" s="21">
        <f>IF(D31&gt;21,VLOOKUP(D31,Barem!$T$1:$U$141,2,1),0)</f>
        <v>0</v>
      </c>
      <c r="S31" s="152">
        <f>IF(D31&lt;1.609,0,IF(B31="F",VLOOKUP(I31,Barem!$X$2:$Z$13,2,1),VLOOKUP(I31,Barem!$X$14:$Z$25,2,1)))</f>
        <v>0</v>
      </c>
      <c r="T31" s="21">
        <f>VLOOKUP(A31,Participanti!A:C,3,0)</f>
        <v>0</v>
      </c>
      <c r="U31" s="18">
        <f t="shared" si="11"/>
        <v>2.6887499999999998</v>
      </c>
      <c r="V31" s="58" t="s">
        <v>348</v>
      </c>
      <c r="W31" s="77">
        <f t="shared" si="1"/>
        <v>1</v>
      </c>
      <c r="X31" s="1" t="e">
        <f>VLOOKUP(A31,Data_Echipe!A:R,18,0)</f>
        <v>#N/A</v>
      </c>
      <c r="Z31" s="115">
        <f t="shared" si="12"/>
        <v>1</v>
      </c>
    </row>
    <row r="32" spans="1:26" x14ac:dyDescent="0.3">
      <c r="A32" s="49" t="s">
        <v>51</v>
      </c>
      <c r="B32" s="1" t="str">
        <f>VLOOKUP(A32,Participanti!A:B,2,0)</f>
        <v>M</v>
      </c>
      <c r="C32" s="74">
        <v>1</v>
      </c>
      <c r="D32" s="50">
        <v>31.76</v>
      </c>
      <c r="E32" s="51">
        <v>0.12833333333333333</v>
      </c>
      <c r="F32" s="51">
        <v>0.13560185185185183</v>
      </c>
      <c r="G32" s="69">
        <f t="shared" si="6"/>
        <v>0.13196759259259258</v>
      </c>
      <c r="H32" s="52">
        <v>940</v>
      </c>
      <c r="I32" s="12">
        <f t="shared" si="7"/>
        <v>4.1551509002705472E-3</v>
      </c>
      <c r="J32" s="37">
        <f t="shared" si="8"/>
        <v>5</v>
      </c>
      <c r="K32" s="37">
        <f>IF(J32=0,0,IF(B32="F",VLOOKUP(I32,Barem!$G$2:$H$16,2,1),VLOOKUP(I32,Barem!$G$17:$H$31,2,1)))</f>
        <v>1.5</v>
      </c>
      <c r="L32" s="50">
        <v>3.75</v>
      </c>
      <c r="M32" s="124" t="s">
        <v>106</v>
      </c>
      <c r="N32" s="10">
        <f t="shared" si="9"/>
        <v>0.5</v>
      </c>
      <c r="O32" s="10">
        <f t="shared" si="9"/>
        <v>0.25</v>
      </c>
      <c r="P32" s="10">
        <f t="shared" si="9"/>
        <v>0.25</v>
      </c>
      <c r="Q32" s="40">
        <f t="shared" si="10"/>
        <v>0.62666666666666671</v>
      </c>
      <c r="R32" s="21">
        <f>IF(D32&gt;21,VLOOKUP(D32,Barem!$T$1:$U$141,2,1),0)</f>
        <v>0.5</v>
      </c>
      <c r="S32" s="152">
        <f>IF(D32&lt;1.609,0,IF(B32="F",VLOOKUP(I32,Barem!$X$2:$Z$13,2,1),VLOOKUP(I32,Barem!$X$14:$Z$25,2,1)))</f>
        <v>0</v>
      </c>
      <c r="T32" s="21">
        <f>VLOOKUP(A32,Participanti!A:C,3,0)</f>
        <v>0</v>
      </c>
      <c r="U32" s="18">
        <f t="shared" si="11"/>
        <v>4.9391666666666669</v>
      </c>
      <c r="V32" s="58" t="s">
        <v>348</v>
      </c>
      <c r="W32" s="77">
        <f t="shared" si="1"/>
        <v>1</v>
      </c>
      <c r="X32" s="1" t="str">
        <f>VLOOKUP(A32,Data_Echipe!A:R,18,0)</f>
        <v>The GOATs</v>
      </c>
      <c r="Z32" s="115">
        <f t="shared" si="12"/>
        <v>1</v>
      </c>
    </row>
    <row r="33" spans="1:26" x14ac:dyDescent="0.3">
      <c r="A33" s="49" t="s">
        <v>352</v>
      </c>
      <c r="B33" s="1" t="str">
        <f>VLOOKUP(A33,Participanti!A:B,2,0)</f>
        <v>M</v>
      </c>
      <c r="C33" s="74">
        <v>1</v>
      </c>
      <c r="D33" s="50">
        <v>3.43</v>
      </c>
      <c r="E33" s="51">
        <v>1.1851851851851851E-2</v>
      </c>
      <c r="F33" s="51">
        <v>1.1851851851851851E-2</v>
      </c>
      <c r="G33" s="69">
        <f t="shared" si="6"/>
        <v>1.1851851851851851E-2</v>
      </c>
      <c r="H33" s="52"/>
      <c r="I33" s="12">
        <f t="shared" si="7"/>
        <v>3.455350394125904E-3</v>
      </c>
      <c r="J33" s="37">
        <f t="shared" si="8"/>
        <v>0.81666666666666665</v>
      </c>
      <c r="K33" s="37">
        <f>IF(J33=0,0,IF(B33="F",VLOOKUP(I33,Barem!$G$2:$H$16,2,1),VLOOKUP(I33,Barem!$G$17:$H$31,2,1)))</f>
        <v>3</v>
      </c>
      <c r="L33" s="50">
        <v>0.75</v>
      </c>
      <c r="M33" s="124" t="s">
        <v>107</v>
      </c>
      <c r="N33" s="10">
        <f t="shared" si="9"/>
        <v>0.25</v>
      </c>
      <c r="O33" s="10">
        <f t="shared" si="9"/>
        <v>0.5</v>
      </c>
      <c r="P33" s="10">
        <f t="shared" si="9"/>
        <v>0.25</v>
      </c>
      <c r="Q33" s="40">
        <f t="shared" si="10"/>
        <v>0</v>
      </c>
      <c r="R33" s="21">
        <f>IF(D33&gt;21,VLOOKUP(D33,Barem!$T$1:$U$141,2,1),0)</f>
        <v>0</v>
      </c>
      <c r="S33" s="152">
        <f>IF(D33&lt;1.609,0,IF(B33="F",VLOOKUP(I33,Barem!$X$2:$Z$13,2,1),VLOOKUP(I33,Barem!$X$14:$Z$25,2,1)))</f>
        <v>0</v>
      </c>
      <c r="T33" s="21">
        <f>VLOOKUP(A33,Participanti!A:C,3,0)</f>
        <v>0</v>
      </c>
      <c r="U33" s="18">
        <f t="shared" si="11"/>
        <v>1.8916666666666666</v>
      </c>
      <c r="V33" s="58" t="s">
        <v>348</v>
      </c>
      <c r="W33" s="77">
        <f t="shared" si="1"/>
        <v>1</v>
      </c>
      <c r="X33" s="1" t="e">
        <f>VLOOKUP(A33,Data_Echipe!A:R,18,0)</f>
        <v>#N/A</v>
      </c>
      <c r="Z33" s="115">
        <f t="shared" si="12"/>
        <v>1</v>
      </c>
    </row>
    <row r="34" spans="1:26" x14ac:dyDescent="0.3">
      <c r="A34" s="49" t="s">
        <v>353</v>
      </c>
      <c r="B34" s="1" t="str">
        <f>VLOOKUP(A34,Participanti!A:B,2,0)</f>
        <v>M</v>
      </c>
      <c r="C34" s="74">
        <v>1</v>
      </c>
      <c r="D34" s="50">
        <v>26.02</v>
      </c>
      <c r="E34" s="51">
        <v>9.2986111111111103E-2</v>
      </c>
      <c r="F34" s="51">
        <v>9.3229166666666655E-2</v>
      </c>
      <c r="G34" s="69">
        <f t="shared" si="6"/>
        <v>9.3107638888888872E-2</v>
      </c>
      <c r="H34" s="52"/>
      <c r="I34" s="12">
        <f t="shared" si="7"/>
        <v>3.5783104876590649E-3</v>
      </c>
      <c r="J34" s="37">
        <f t="shared" si="8"/>
        <v>5</v>
      </c>
      <c r="K34" s="37">
        <f>IF(J34=0,0,IF(B34="F",VLOOKUP(I34,Barem!$G$2:$H$16,2,1),VLOOKUP(I34,Barem!$G$17:$H$31,2,1)))</f>
        <v>2.5</v>
      </c>
      <c r="L34" s="50">
        <v>2</v>
      </c>
      <c r="M34" s="124" t="s">
        <v>106</v>
      </c>
      <c r="N34" s="10">
        <f t="shared" si="9"/>
        <v>0.5</v>
      </c>
      <c r="O34" s="10">
        <f t="shared" si="9"/>
        <v>0.25</v>
      </c>
      <c r="P34" s="10">
        <f t="shared" si="9"/>
        <v>0.25</v>
      </c>
      <c r="Q34" s="40">
        <f t="shared" si="10"/>
        <v>0</v>
      </c>
      <c r="R34" s="21">
        <f>IF(D34&gt;21,VLOOKUP(D34,Barem!$T$1:$U$141,2,1),0)</f>
        <v>0.2</v>
      </c>
      <c r="S34" s="152">
        <f>IF(D34&lt;1.609,0,IF(B34="F",VLOOKUP(I34,Barem!$X$2:$Z$13,2,1),VLOOKUP(I34,Barem!$X$14:$Z$25,2,1)))</f>
        <v>0</v>
      </c>
      <c r="T34" s="21">
        <f>VLOOKUP(A34,Participanti!A:C,3,0)</f>
        <v>0</v>
      </c>
      <c r="U34" s="18">
        <f t="shared" si="11"/>
        <v>3.8250000000000002</v>
      </c>
      <c r="V34" s="58" t="s">
        <v>348</v>
      </c>
      <c r="W34" s="77">
        <f t="shared" si="1"/>
        <v>1</v>
      </c>
      <c r="X34" s="1" t="e">
        <f>VLOOKUP(A34,Data_Echipe!A:R,18,0)</f>
        <v>#N/A</v>
      </c>
      <c r="Z34" s="115">
        <f t="shared" si="12"/>
        <v>1</v>
      </c>
    </row>
    <row r="35" spans="1:26" x14ac:dyDescent="0.3">
      <c r="A35" s="49" t="s">
        <v>293</v>
      </c>
      <c r="B35" s="1" t="str">
        <f>VLOOKUP(A35,Participanti!A:B,2,0)</f>
        <v>M</v>
      </c>
      <c r="C35" s="74">
        <v>1</v>
      </c>
      <c r="D35" s="50">
        <v>25.02</v>
      </c>
      <c r="E35" s="51">
        <v>9.1006944444444446E-2</v>
      </c>
      <c r="F35" s="51">
        <v>9.1006944444444446E-2</v>
      </c>
      <c r="G35" s="69">
        <f t="shared" si="6"/>
        <v>9.1006944444444446E-2</v>
      </c>
      <c r="H35" s="52"/>
      <c r="I35" s="12">
        <f t="shared" si="7"/>
        <v>3.6373678834710011E-3</v>
      </c>
      <c r="J35" s="37">
        <f t="shared" si="8"/>
        <v>5</v>
      </c>
      <c r="K35" s="37">
        <f>IF(J35=0,0,IF(B35="F",VLOOKUP(I35,Barem!$G$2:$H$16,2,1),VLOOKUP(I35,Barem!$G$17:$H$31,2,1)))</f>
        <v>2.5</v>
      </c>
      <c r="L35" s="50">
        <v>1.25</v>
      </c>
      <c r="M35" s="124" t="s">
        <v>106</v>
      </c>
      <c r="N35" s="10">
        <f t="shared" si="9"/>
        <v>0.5</v>
      </c>
      <c r="O35" s="10">
        <f t="shared" si="9"/>
        <v>0.25</v>
      </c>
      <c r="P35" s="10">
        <f t="shared" si="9"/>
        <v>0.25</v>
      </c>
      <c r="Q35" s="40">
        <f t="shared" si="10"/>
        <v>0</v>
      </c>
      <c r="R35" s="21">
        <f>IF(D35&gt;21,VLOOKUP(D35,Barem!$T$1:$U$141,2,1),0)</f>
        <v>0.2</v>
      </c>
      <c r="S35" s="152">
        <f>IF(D35&lt;1.609,0,IF(B35="F",VLOOKUP(I35,Barem!$X$2:$Z$13,2,1),VLOOKUP(I35,Barem!$X$14:$Z$25,2,1)))</f>
        <v>0</v>
      </c>
      <c r="T35" s="21">
        <f>VLOOKUP(A35,Participanti!A:C,3,0)</f>
        <v>0</v>
      </c>
      <c r="U35" s="18">
        <f t="shared" si="11"/>
        <v>3.6375000000000002</v>
      </c>
      <c r="V35" s="58" t="s">
        <v>348</v>
      </c>
      <c r="W35" s="77">
        <f t="shared" si="1"/>
        <v>1</v>
      </c>
      <c r="X35" s="1" t="str">
        <f>VLOOKUP(A35,Data_Echipe!A:R,18,0)</f>
        <v>UltraHaita lu' Borcan</v>
      </c>
      <c r="Z35" s="115">
        <f t="shared" si="12"/>
        <v>1</v>
      </c>
    </row>
    <row r="36" spans="1:26" x14ac:dyDescent="0.3">
      <c r="A36" s="49" t="s">
        <v>354</v>
      </c>
      <c r="B36" s="1" t="str">
        <f>VLOOKUP(A36,Participanti!A:B,2,0)</f>
        <v>M</v>
      </c>
      <c r="C36" s="74">
        <v>1</v>
      </c>
      <c r="D36" s="50">
        <v>14</v>
      </c>
      <c r="E36" s="51">
        <v>6.7384259259259269E-2</v>
      </c>
      <c r="F36" s="51">
        <v>7.7094907407407418E-2</v>
      </c>
      <c r="G36" s="69">
        <f t="shared" si="6"/>
        <v>7.2239583333333343E-2</v>
      </c>
      <c r="H36" s="52">
        <v>537</v>
      </c>
      <c r="I36" s="12">
        <f t="shared" si="7"/>
        <v>5.1599702380952387E-3</v>
      </c>
      <c r="J36" s="37">
        <f t="shared" si="8"/>
        <v>3.333333333333333</v>
      </c>
      <c r="K36" s="37">
        <f>IF(J36=0,0,IF(B36="F",VLOOKUP(I36,Barem!$G$2:$H$16,2,1),VLOOKUP(I36,Barem!$G$17:$H$31,2,1)))</f>
        <v>0.25</v>
      </c>
      <c r="L36" s="50">
        <v>2.25</v>
      </c>
      <c r="M36" s="124" t="s">
        <v>106</v>
      </c>
      <c r="N36" s="10">
        <f t="shared" si="9"/>
        <v>0.5</v>
      </c>
      <c r="O36" s="10">
        <f t="shared" si="9"/>
        <v>0.25</v>
      </c>
      <c r="P36" s="10">
        <f t="shared" si="9"/>
        <v>0.25</v>
      </c>
      <c r="Q36" s="40">
        <f t="shared" si="10"/>
        <v>0.35799999999999998</v>
      </c>
      <c r="R36" s="21">
        <f>IF(D36&gt;21,VLOOKUP(D36,Barem!$T$1:$U$141,2,1),0)</f>
        <v>0</v>
      </c>
      <c r="S36" s="152">
        <f>IF(D36&lt;1.609,0,IF(B36="F",VLOOKUP(I36,Barem!$X$2:$Z$13,2,1),VLOOKUP(I36,Barem!$X$14:$Z$25,2,1)))</f>
        <v>0</v>
      </c>
      <c r="T36" s="21">
        <f>VLOOKUP(A36,Participanti!A:C,3,0)</f>
        <v>0</v>
      </c>
      <c r="U36" s="18">
        <f t="shared" si="11"/>
        <v>2.6496666666666666</v>
      </c>
      <c r="V36" s="58" t="s">
        <v>348</v>
      </c>
      <c r="W36" s="77">
        <f t="shared" si="1"/>
        <v>1</v>
      </c>
      <c r="X36" s="1" t="e">
        <f>VLOOKUP(A36,Data_Echipe!A:R,18,0)</f>
        <v>#N/A</v>
      </c>
      <c r="Z36" s="115">
        <f t="shared" si="12"/>
        <v>1</v>
      </c>
    </row>
    <row r="37" spans="1:26" x14ac:dyDescent="0.3">
      <c r="A37" s="49" t="s">
        <v>355</v>
      </c>
      <c r="B37" s="1" t="str">
        <f>VLOOKUP(A37,Participanti!A:B,2,0)</f>
        <v>F</v>
      </c>
      <c r="C37" s="74">
        <v>1</v>
      </c>
      <c r="D37" s="50">
        <v>4.34</v>
      </c>
      <c r="E37" s="51">
        <v>1.8634259259259257E-2</v>
      </c>
      <c r="F37" s="51">
        <v>1.8634259259259257E-2</v>
      </c>
      <c r="G37" s="69">
        <f t="shared" si="6"/>
        <v>1.8634259259259257E-2</v>
      </c>
      <c r="H37" s="52"/>
      <c r="I37" s="12">
        <f t="shared" si="7"/>
        <v>4.2936081242532847E-3</v>
      </c>
      <c r="J37" s="37">
        <f t="shared" si="8"/>
        <v>1.085</v>
      </c>
      <c r="K37" s="37">
        <f>IF(J37=0,0,IF(B37="F",VLOOKUP(I37,Barem!$G$2:$H$16,2,1),VLOOKUP(I37,Barem!$G$17:$H$31,2,1)))</f>
        <v>1.75</v>
      </c>
      <c r="L37" s="50">
        <v>3.25</v>
      </c>
      <c r="M37" s="124" t="s">
        <v>207</v>
      </c>
      <c r="N37" s="10">
        <f t="shared" si="9"/>
        <v>0.25</v>
      </c>
      <c r="O37" s="10">
        <f t="shared" si="9"/>
        <v>0.25</v>
      </c>
      <c r="P37" s="10">
        <f t="shared" si="9"/>
        <v>0.5</v>
      </c>
      <c r="Q37" s="40">
        <f t="shared" si="10"/>
        <v>0</v>
      </c>
      <c r="R37" s="21">
        <f>IF(D37&gt;21,VLOOKUP(D37,Barem!$T$1:$U$141,2,1),0)</f>
        <v>0</v>
      </c>
      <c r="S37" s="152">
        <f>IF(D37&lt;1.609,0,IF(B37="F",VLOOKUP(I37,Barem!$X$2:$Z$13,2,1),VLOOKUP(I37,Barem!$X$14:$Z$25,2,1)))</f>
        <v>0</v>
      </c>
      <c r="T37" s="21">
        <f>VLOOKUP(A37,Participanti!A:C,3,0)</f>
        <v>0</v>
      </c>
      <c r="U37" s="18">
        <f t="shared" si="11"/>
        <v>2.3337500000000002</v>
      </c>
      <c r="V37" s="58" t="s">
        <v>348</v>
      </c>
      <c r="W37" s="77">
        <f t="shared" si="1"/>
        <v>1</v>
      </c>
      <c r="X37" s="1" t="str">
        <f>VLOOKUP(A37,Data_Echipe!A:R,18,0)</f>
        <v>#notSYRious</v>
      </c>
      <c r="Z37" s="115">
        <f t="shared" si="12"/>
        <v>1</v>
      </c>
    </row>
    <row r="38" spans="1:26" x14ac:dyDescent="0.3">
      <c r="A38" s="49" t="s">
        <v>356</v>
      </c>
      <c r="B38" s="1" t="str">
        <f>VLOOKUP(A38,Participanti!A:B,2,0)</f>
        <v>M</v>
      </c>
      <c r="C38" s="74">
        <v>1</v>
      </c>
      <c r="D38" s="50">
        <v>10</v>
      </c>
      <c r="E38" s="51">
        <v>3.5810185185185188E-2</v>
      </c>
      <c r="F38" s="51">
        <v>3.6874999999999998E-2</v>
      </c>
      <c r="G38" s="69">
        <f t="shared" si="6"/>
        <v>3.6342592592592593E-2</v>
      </c>
      <c r="H38" s="52"/>
      <c r="I38" s="12">
        <f t="shared" si="7"/>
        <v>3.6342592592592594E-3</v>
      </c>
      <c r="J38" s="37">
        <f t="shared" si="8"/>
        <v>2.3809523809523809</v>
      </c>
      <c r="K38" s="37">
        <f>IF(J38=0,0,IF(B38="F",VLOOKUP(I38,Barem!$G$2:$H$16,2,1),VLOOKUP(I38,Barem!$G$17:$H$31,2,1)))</f>
        <v>2.5</v>
      </c>
      <c r="L38" s="50">
        <v>2</v>
      </c>
      <c r="M38" s="124" t="s">
        <v>106</v>
      </c>
      <c r="N38" s="10">
        <f t="shared" si="9"/>
        <v>0.5</v>
      </c>
      <c r="O38" s="10">
        <f t="shared" si="9"/>
        <v>0.25</v>
      </c>
      <c r="P38" s="10">
        <f t="shared" si="9"/>
        <v>0.25</v>
      </c>
      <c r="Q38" s="40">
        <f t="shared" si="10"/>
        <v>0</v>
      </c>
      <c r="R38" s="21">
        <f>IF(D38&gt;21,VLOOKUP(D38,Barem!$T$1:$U$141,2,1),0)</f>
        <v>0</v>
      </c>
      <c r="S38" s="152">
        <f>IF(D38&lt;1.609,0,IF(B38="F",VLOOKUP(I38,Barem!$X$2:$Z$13,2,1),VLOOKUP(I38,Barem!$X$14:$Z$25,2,1)))</f>
        <v>0</v>
      </c>
      <c r="T38" s="21">
        <f>VLOOKUP(A38,Participanti!A:C,3,0)</f>
        <v>0</v>
      </c>
      <c r="U38" s="18">
        <f t="shared" si="11"/>
        <v>2.3154761904761907</v>
      </c>
      <c r="V38" s="58" t="s">
        <v>348</v>
      </c>
      <c r="W38" s="77">
        <f t="shared" si="1"/>
        <v>1</v>
      </c>
      <c r="X38" s="1" t="str">
        <f>VLOOKUP(A38,Data_Echipe!A:R,18,0)</f>
        <v>MedgidiaRunning</v>
      </c>
      <c r="Z38" s="115">
        <f t="shared" si="12"/>
        <v>1</v>
      </c>
    </row>
    <row r="39" spans="1:26" x14ac:dyDescent="0.3">
      <c r="A39" s="49" t="s">
        <v>357</v>
      </c>
      <c r="B39" s="1" t="str">
        <f>VLOOKUP(A39,Participanti!A:B,2,0)</f>
        <v>M</v>
      </c>
      <c r="C39" s="74">
        <v>1</v>
      </c>
      <c r="D39" s="50">
        <v>3.2</v>
      </c>
      <c r="E39" s="51">
        <v>9.3402777777777772E-3</v>
      </c>
      <c r="F39" s="51">
        <v>9.3402777777777772E-3</v>
      </c>
      <c r="G39" s="69">
        <f t="shared" si="6"/>
        <v>9.3402777777777772E-3</v>
      </c>
      <c r="H39" s="52"/>
      <c r="I39" s="12">
        <f t="shared" si="7"/>
        <v>2.9188368055555552E-3</v>
      </c>
      <c r="J39" s="37">
        <f t="shared" si="8"/>
        <v>0.76190476190476186</v>
      </c>
      <c r="K39" s="37">
        <f>IF(J39=0,0,IF(B39="F",VLOOKUP(I39,Barem!$G$2:$H$16,2,1),VLOOKUP(I39,Barem!$G$17:$H$31,2,1)))</f>
        <v>4.5</v>
      </c>
      <c r="L39" s="50">
        <v>1.5</v>
      </c>
      <c r="M39" s="124" t="s">
        <v>107</v>
      </c>
      <c r="N39" s="10">
        <f t="shared" si="9"/>
        <v>0.25</v>
      </c>
      <c r="O39" s="10">
        <f t="shared" si="9"/>
        <v>0.5</v>
      </c>
      <c r="P39" s="10">
        <f t="shared" si="9"/>
        <v>0.25</v>
      </c>
      <c r="Q39" s="40">
        <f t="shared" si="10"/>
        <v>0</v>
      </c>
      <c r="R39" s="21">
        <f>IF(D39&gt;21,VLOOKUP(D39,Barem!$T$1:$U$141,2,1),0)</f>
        <v>0</v>
      </c>
      <c r="S39" s="152">
        <f>IF(D39&lt;1.609,0,IF(B39="F",VLOOKUP(I39,Barem!$X$2:$Z$13,2,1),VLOOKUP(I39,Barem!$X$14:$Z$25,2,1)))</f>
        <v>0</v>
      </c>
      <c r="T39" s="21">
        <f>VLOOKUP(A39,Participanti!A:C,3,0)</f>
        <v>0</v>
      </c>
      <c r="U39" s="18">
        <f t="shared" si="11"/>
        <v>2.8154761904761907</v>
      </c>
      <c r="V39" s="58" t="s">
        <v>348</v>
      </c>
      <c r="W39" s="77">
        <f t="shared" si="1"/>
        <v>1</v>
      </c>
      <c r="X39" s="1" t="e">
        <f>VLOOKUP(A39,Data_Echipe!A:R,18,0)</f>
        <v>#N/A</v>
      </c>
      <c r="Z39" s="115">
        <f t="shared" si="12"/>
        <v>1</v>
      </c>
    </row>
    <row r="40" spans="1:26" x14ac:dyDescent="0.3">
      <c r="A40" s="49" t="s">
        <v>358</v>
      </c>
      <c r="B40" s="1" t="str">
        <f>VLOOKUP(A40,Participanti!A:B,2,0)</f>
        <v>F</v>
      </c>
      <c r="C40" s="74">
        <v>1</v>
      </c>
      <c r="D40" s="50">
        <v>21.28</v>
      </c>
      <c r="E40" s="51">
        <v>0.14366898148148147</v>
      </c>
      <c r="F40" s="51">
        <v>0.14431712962962964</v>
      </c>
      <c r="G40" s="69">
        <f t="shared" si="6"/>
        <v>0.14399305555555555</v>
      </c>
      <c r="H40" s="52">
        <v>474</v>
      </c>
      <c r="I40" s="12">
        <f t="shared" si="7"/>
        <v>6.7665909565580613E-3</v>
      </c>
      <c r="J40" s="37">
        <f t="shared" si="8"/>
        <v>5</v>
      </c>
      <c r="K40" s="37">
        <f>IF(J40=0,0,IF(B40="F",VLOOKUP(I40,Barem!$G$2:$H$16,2,1),VLOOKUP(I40,Barem!$G$17:$H$31,2,1)))</f>
        <v>0</v>
      </c>
      <c r="L40" s="50">
        <v>1.5</v>
      </c>
      <c r="M40" s="124" t="s">
        <v>106</v>
      </c>
      <c r="N40" s="10">
        <f t="shared" si="9"/>
        <v>0.5</v>
      </c>
      <c r="O40" s="10">
        <f t="shared" si="9"/>
        <v>0.25</v>
      </c>
      <c r="P40" s="10">
        <f t="shared" si="9"/>
        <v>0.25</v>
      </c>
      <c r="Q40" s="40">
        <f t="shared" si="10"/>
        <v>0.316</v>
      </c>
      <c r="R40" s="21">
        <f>IF(D40&gt;21,VLOOKUP(D40,Barem!$T$1:$U$141,2,1),0)</f>
        <v>0</v>
      </c>
      <c r="S40" s="152">
        <f>IF(D40&lt;1.609,0,IF(B40="F",VLOOKUP(I40,Barem!$X$2:$Z$13,2,1),VLOOKUP(I40,Barem!$X$14:$Z$25,2,1)))</f>
        <v>0</v>
      </c>
      <c r="T40" s="21">
        <f>VLOOKUP(A40,Participanti!A:C,3,0)</f>
        <v>0</v>
      </c>
      <c r="U40" s="18">
        <f t="shared" si="11"/>
        <v>3.1909999999999998</v>
      </c>
      <c r="V40" s="58" t="s">
        <v>348</v>
      </c>
      <c r="W40" s="77">
        <f t="shared" si="1"/>
        <v>1</v>
      </c>
      <c r="X40" s="1" t="str">
        <f>VLOOKUP(A40,Data_Echipe!A:R,18,0)</f>
        <v>#notSYRious</v>
      </c>
      <c r="Z40" s="115">
        <f t="shared" si="12"/>
        <v>0</v>
      </c>
    </row>
    <row r="41" spans="1:26" x14ac:dyDescent="0.3">
      <c r="A41" s="49" t="s">
        <v>114</v>
      </c>
      <c r="B41" s="1" t="str">
        <f>VLOOKUP(A41,Participanti!A:B,2,0)</f>
        <v>M</v>
      </c>
      <c r="C41" s="74">
        <v>1</v>
      </c>
      <c r="D41" s="50">
        <v>11.03</v>
      </c>
      <c r="E41" s="51">
        <v>4.594907407407408E-2</v>
      </c>
      <c r="F41" s="51">
        <v>4.6620370370370368E-2</v>
      </c>
      <c r="G41" s="69">
        <f t="shared" si="6"/>
        <v>4.6284722222222227E-2</v>
      </c>
      <c r="H41" s="52"/>
      <c r="I41" s="12">
        <f t="shared" si="7"/>
        <v>4.1962576810718249E-3</v>
      </c>
      <c r="J41" s="37">
        <f t="shared" si="8"/>
        <v>2.6261904761904757</v>
      </c>
      <c r="K41" s="37">
        <f>IF(J41=0,0,IF(B41="F",VLOOKUP(I41,Barem!$G$2:$H$16,2,1),VLOOKUP(I41,Barem!$G$17:$H$31,2,1)))</f>
        <v>1.25</v>
      </c>
      <c r="L41" s="50">
        <v>3.75</v>
      </c>
      <c r="M41" s="124" t="s">
        <v>207</v>
      </c>
      <c r="N41" s="10">
        <f t="shared" si="9"/>
        <v>0.25</v>
      </c>
      <c r="O41" s="10">
        <f t="shared" si="9"/>
        <v>0.25</v>
      </c>
      <c r="P41" s="10">
        <f t="shared" si="9"/>
        <v>0.5</v>
      </c>
      <c r="Q41" s="40">
        <f t="shared" si="10"/>
        <v>0</v>
      </c>
      <c r="R41" s="21">
        <f>IF(D41&gt;21,VLOOKUP(D41,Barem!$T$1:$U$141,2,1),0)</f>
        <v>0</v>
      </c>
      <c r="S41" s="152">
        <f>IF(D41&lt;1.609,0,IF(B41="F",VLOOKUP(I41,Barem!$X$2:$Z$13,2,1),VLOOKUP(I41,Barem!$X$14:$Z$25,2,1)))</f>
        <v>0</v>
      </c>
      <c r="T41" s="21">
        <f>VLOOKUP(A41,Participanti!A:C,3,0)</f>
        <v>0</v>
      </c>
      <c r="U41" s="18">
        <f t="shared" si="11"/>
        <v>2.8440476190476192</v>
      </c>
      <c r="V41" s="58" t="s">
        <v>348</v>
      </c>
      <c r="W41" s="77">
        <f t="shared" si="1"/>
        <v>1</v>
      </c>
      <c r="X41" s="1" t="str">
        <f>VLOOKUP(A41,Data_Echipe!A:R,18,0)</f>
        <v>#notSYRious</v>
      </c>
      <c r="Z41" s="115">
        <f t="shared" si="12"/>
        <v>1</v>
      </c>
    </row>
    <row r="42" spans="1:26" x14ac:dyDescent="0.3">
      <c r="A42" s="49" t="s">
        <v>359</v>
      </c>
      <c r="B42" s="1" t="str">
        <f>VLOOKUP(A42,Participanti!A:B,2,0)</f>
        <v>M</v>
      </c>
      <c r="C42" s="74">
        <v>1</v>
      </c>
      <c r="D42" s="50">
        <v>15.01</v>
      </c>
      <c r="E42" s="51">
        <v>5.5937500000000001E-2</v>
      </c>
      <c r="F42" s="51">
        <v>5.6851851851851855E-2</v>
      </c>
      <c r="G42" s="69">
        <f t="shared" si="6"/>
        <v>5.6394675925925924E-2</v>
      </c>
      <c r="H42" s="52">
        <v>45</v>
      </c>
      <c r="I42" s="12">
        <f t="shared" si="7"/>
        <v>3.7571403015273768E-3</v>
      </c>
      <c r="J42" s="37">
        <f t="shared" si="8"/>
        <v>3.5738095238095235</v>
      </c>
      <c r="K42" s="37">
        <f>IF(J42=0,0,IF(B42="F",VLOOKUP(I42,Barem!$G$2:$H$16,2,1),VLOOKUP(I42,Barem!$G$17:$H$31,2,1)))</f>
        <v>2</v>
      </c>
      <c r="L42" s="50">
        <v>0.5</v>
      </c>
      <c r="M42" s="124" t="s">
        <v>106</v>
      </c>
      <c r="N42" s="10">
        <f t="shared" si="9"/>
        <v>0.5</v>
      </c>
      <c r="O42" s="10">
        <f t="shared" si="9"/>
        <v>0.25</v>
      </c>
      <c r="P42" s="10">
        <f t="shared" si="9"/>
        <v>0.25</v>
      </c>
      <c r="Q42" s="40">
        <f t="shared" si="10"/>
        <v>0</v>
      </c>
      <c r="R42" s="21">
        <f>IF(D42&gt;21,VLOOKUP(D42,Barem!$T$1:$U$141,2,1),0)</f>
        <v>0</v>
      </c>
      <c r="S42" s="152">
        <f>IF(D42&lt;1.609,0,IF(B42="F",VLOOKUP(I42,Barem!$X$2:$Z$13,2,1),VLOOKUP(I42,Barem!$X$14:$Z$25,2,1)))</f>
        <v>0</v>
      </c>
      <c r="T42" s="21">
        <f>VLOOKUP(A42,Participanti!A:C,3,0)</f>
        <v>0</v>
      </c>
      <c r="U42" s="18">
        <f t="shared" si="11"/>
        <v>2.4119047619047618</v>
      </c>
      <c r="V42" s="58" t="s">
        <v>348</v>
      </c>
      <c r="W42" s="77">
        <f t="shared" si="1"/>
        <v>1</v>
      </c>
      <c r="X42" s="1" t="str">
        <f>VLOOKUP(A42,Data_Echipe!A:R,18,0)</f>
        <v>Almost Kenyan Runners</v>
      </c>
      <c r="Z42" s="115">
        <f t="shared" si="12"/>
        <v>1</v>
      </c>
    </row>
    <row r="43" spans="1:26" x14ac:dyDescent="0.3">
      <c r="A43" s="49" t="s">
        <v>227</v>
      </c>
      <c r="B43" s="1" t="str">
        <f>VLOOKUP(A43,Participanti!A:B,2,0)</f>
        <v>M</v>
      </c>
      <c r="C43" s="74">
        <v>1</v>
      </c>
      <c r="D43" s="50">
        <v>42.42</v>
      </c>
      <c r="E43" s="51">
        <v>0.15300925925925926</v>
      </c>
      <c r="F43" s="51">
        <v>0.15787037037037036</v>
      </c>
      <c r="G43" s="69">
        <f t="shared" si="6"/>
        <v>0.15543981481481481</v>
      </c>
      <c r="H43" s="52">
        <v>398</v>
      </c>
      <c r="I43" s="12">
        <f t="shared" si="7"/>
        <v>3.6643049225557472E-3</v>
      </c>
      <c r="J43" s="37">
        <f t="shared" si="8"/>
        <v>5</v>
      </c>
      <c r="K43" s="37">
        <f>IF(J43=0,0,IF(B43="F",VLOOKUP(I43,Barem!$G$2:$H$16,2,1),VLOOKUP(I43,Barem!$G$17:$H$31,2,1)))</f>
        <v>2</v>
      </c>
      <c r="L43" s="50">
        <v>3.25</v>
      </c>
      <c r="M43" s="124" t="s">
        <v>207</v>
      </c>
      <c r="N43" s="10">
        <f t="shared" si="9"/>
        <v>0.25</v>
      </c>
      <c r="O43" s="10">
        <f t="shared" si="9"/>
        <v>0.25</v>
      </c>
      <c r="P43" s="10">
        <f t="shared" si="9"/>
        <v>0.5</v>
      </c>
      <c r="Q43" s="40">
        <f t="shared" si="10"/>
        <v>0.26533333333333331</v>
      </c>
      <c r="R43" s="21">
        <f>IF(D43&gt;21,VLOOKUP(D43,Barem!$T$1:$U$141,2,1),0)</f>
        <v>1</v>
      </c>
      <c r="S43" s="152">
        <f>IF(D43&lt;1.609,0,IF(B43="F",VLOOKUP(I43,Barem!$X$2:$Z$13,2,1),VLOOKUP(I43,Barem!$X$14:$Z$25,2,1)))</f>
        <v>0</v>
      </c>
      <c r="T43" s="21">
        <f>VLOOKUP(A43,Participanti!A:C,3,0)</f>
        <v>0</v>
      </c>
      <c r="U43" s="18">
        <f t="shared" si="11"/>
        <v>4.6403333333333334</v>
      </c>
      <c r="V43" s="58" t="s">
        <v>360</v>
      </c>
      <c r="W43" s="77">
        <f t="shared" si="1"/>
        <v>1</v>
      </c>
      <c r="X43" s="1" t="str">
        <f>VLOOKUP(A43,Data_Echipe!A:R,18,0)</f>
        <v>UltraHaita lu' Borcan</v>
      </c>
      <c r="Z43" s="115">
        <f t="shared" si="12"/>
        <v>1</v>
      </c>
    </row>
    <row r="44" spans="1:26" x14ac:dyDescent="0.3">
      <c r="A44" s="49" t="s">
        <v>47</v>
      </c>
      <c r="B44" s="1" t="str">
        <f>VLOOKUP(A44,Participanti!A:B,2,0)</f>
        <v>M</v>
      </c>
      <c r="C44" s="74">
        <v>1</v>
      </c>
      <c r="D44" s="50">
        <v>3.3</v>
      </c>
      <c r="E44" s="51">
        <v>9.0277777777777787E-3</v>
      </c>
      <c r="F44" s="51">
        <v>9.0277777777777787E-3</v>
      </c>
      <c r="G44" s="69">
        <f t="shared" si="6"/>
        <v>9.0277777777777787E-3</v>
      </c>
      <c r="H44" s="52"/>
      <c r="I44" s="12">
        <f t="shared" si="7"/>
        <v>2.7356902356902362E-3</v>
      </c>
      <c r="J44" s="37">
        <f t="shared" si="8"/>
        <v>0.78571428571428559</v>
      </c>
      <c r="K44" s="37">
        <f>IF(J44=0,0,IF(B44="F",VLOOKUP(I44,Barem!$G$2:$H$16,2,1),VLOOKUP(I44,Barem!$G$17:$H$31,2,1)))</f>
        <v>5</v>
      </c>
      <c r="L44" s="50">
        <v>3.75</v>
      </c>
      <c r="M44" s="124" t="s">
        <v>107</v>
      </c>
      <c r="N44" s="10">
        <f t="shared" si="9"/>
        <v>0.25</v>
      </c>
      <c r="O44" s="10">
        <f t="shared" si="9"/>
        <v>0.5</v>
      </c>
      <c r="P44" s="10">
        <f t="shared" si="9"/>
        <v>0.25</v>
      </c>
      <c r="Q44" s="40">
        <f t="shared" si="10"/>
        <v>0</v>
      </c>
      <c r="R44" s="21">
        <f>IF(D44&gt;21,VLOOKUP(D44,Barem!$T$1:$U$141,2,1),0)</f>
        <v>0</v>
      </c>
      <c r="S44" s="152">
        <f>IF(D44&lt;1.609,0,IF(B44="F",VLOOKUP(I44,Barem!$X$2:$Z$13,2,1),VLOOKUP(I44,Barem!$X$14:$Z$25,2,1)))</f>
        <v>0.15000000000000002</v>
      </c>
      <c r="T44" s="21">
        <f>VLOOKUP(A44,Participanti!A:C,3,0)</f>
        <v>0</v>
      </c>
      <c r="U44" s="18">
        <f t="shared" si="11"/>
        <v>3.7839285714285711</v>
      </c>
      <c r="V44" s="58" t="s">
        <v>360</v>
      </c>
      <c r="W44" s="77">
        <f t="shared" si="1"/>
        <v>1</v>
      </c>
      <c r="X44" s="1" t="str">
        <f>VLOOKUP(A44,Data_Echipe!A:R,18,0)</f>
        <v>The GOATs</v>
      </c>
      <c r="Z44" s="115">
        <f t="shared" si="12"/>
        <v>1</v>
      </c>
    </row>
    <row r="45" spans="1:26" x14ac:dyDescent="0.3">
      <c r="A45" s="49" t="s">
        <v>120</v>
      </c>
      <c r="B45" s="1" t="str">
        <f>VLOOKUP(A45,Participanti!A:B,2,0)</f>
        <v>M</v>
      </c>
      <c r="C45" s="74">
        <v>1</v>
      </c>
      <c r="D45" s="50">
        <v>16.38</v>
      </c>
      <c r="E45" s="51">
        <v>5.6365740740740744E-2</v>
      </c>
      <c r="F45" s="51">
        <v>5.6365740740740744E-2</v>
      </c>
      <c r="G45" s="69">
        <f t="shared" si="6"/>
        <v>5.6365740740740744E-2</v>
      </c>
      <c r="H45" s="52"/>
      <c r="I45" s="12">
        <f t="shared" si="7"/>
        <v>3.4411319133541359E-3</v>
      </c>
      <c r="J45" s="37">
        <f t="shared" si="8"/>
        <v>3.8999999999999995</v>
      </c>
      <c r="K45" s="37">
        <f>IF(J45=0,0,IF(B45="F",VLOOKUP(I45,Barem!$G$2:$H$16,2,1),VLOOKUP(I45,Barem!$G$17:$H$31,2,1)))</f>
        <v>3</v>
      </c>
      <c r="L45" s="50">
        <v>3.75</v>
      </c>
      <c r="M45" s="124" t="s">
        <v>207</v>
      </c>
      <c r="N45" s="10">
        <f t="shared" si="9"/>
        <v>0.25</v>
      </c>
      <c r="O45" s="10">
        <f t="shared" si="9"/>
        <v>0.25</v>
      </c>
      <c r="P45" s="10">
        <f t="shared" si="9"/>
        <v>0.5</v>
      </c>
      <c r="Q45" s="40">
        <f t="shared" si="10"/>
        <v>0</v>
      </c>
      <c r="R45" s="21">
        <f>IF(D45&gt;21,VLOOKUP(D45,Barem!$T$1:$U$141,2,1),0)</f>
        <v>0</v>
      </c>
      <c r="S45" s="152">
        <f>IF(D45&lt;1.609,0,IF(B45="F",VLOOKUP(I45,Barem!$X$2:$Z$13,2,1),VLOOKUP(I45,Barem!$X$14:$Z$25,2,1)))</f>
        <v>0</v>
      </c>
      <c r="T45" s="21">
        <f>VLOOKUP(A45,Participanti!A:C,3,0)</f>
        <v>0</v>
      </c>
      <c r="U45" s="18">
        <f t="shared" si="11"/>
        <v>3.5999999999999996</v>
      </c>
      <c r="V45" s="58" t="s">
        <v>360</v>
      </c>
      <c r="W45" s="77">
        <f t="shared" si="1"/>
        <v>1</v>
      </c>
      <c r="X45" s="1" t="str">
        <f>VLOOKUP(A45,Data_Echipe!A:R,18,0)</f>
        <v>Almost Kenyan Runners</v>
      </c>
      <c r="Z45" s="115">
        <f t="shared" si="12"/>
        <v>1</v>
      </c>
    </row>
    <row r="46" spans="1:26" x14ac:dyDescent="0.3">
      <c r="A46" s="49" t="s">
        <v>108</v>
      </c>
      <c r="B46" s="1" t="str">
        <f>VLOOKUP(A46,Participanti!A:B,2,0)</f>
        <v>M</v>
      </c>
      <c r="C46" s="74">
        <v>1</v>
      </c>
      <c r="D46" s="50">
        <v>27.77</v>
      </c>
      <c r="E46" s="51">
        <v>0.10052083333333334</v>
      </c>
      <c r="F46" s="51">
        <v>0.10944444444444446</v>
      </c>
      <c r="G46" s="69">
        <f t="shared" ref="G46:G53" si="13">AVERAGE(E46:F46)</f>
        <v>0.1049826388888889</v>
      </c>
      <c r="H46" s="52"/>
      <c r="I46" s="12">
        <f t="shared" ref="I46:I53" si="14">G46/D46</f>
        <v>3.7804335213859883E-3</v>
      </c>
      <c r="J46" s="37">
        <f t="shared" ref="J46:J53" si="15">IF(B46="F",IF(D46&lt;2.5,0,IF(D46&gt;19.99,5,D46/4)),IF(D46&lt;3,0, IF(D46&gt;20.99,5,D46/4.2)))</f>
        <v>5</v>
      </c>
      <c r="K46" s="37">
        <f>IF(J46=0,0,IF(B46="F",VLOOKUP(I46,Barem!$G$2:$H$16,2,1),VLOOKUP(I46,Barem!$G$17:$H$31,2,1)))</f>
        <v>2</v>
      </c>
      <c r="L46" s="50">
        <v>3</v>
      </c>
      <c r="M46" s="124" t="s">
        <v>106</v>
      </c>
      <c r="N46" s="10">
        <f t="shared" si="9"/>
        <v>0.5</v>
      </c>
      <c r="O46" s="10">
        <f t="shared" si="9"/>
        <v>0.25</v>
      </c>
      <c r="P46" s="10">
        <f t="shared" si="9"/>
        <v>0.25</v>
      </c>
      <c r="Q46" s="40">
        <f t="shared" ref="Q46:Q53" si="16">IF(H46&gt;49,H46/1500,0)</f>
        <v>0</v>
      </c>
      <c r="R46" s="21">
        <f>IF(D46&gt;21,VLOOKUP(D46,Barem!$T$1:$U$141,2,1),0)</f>
        <v>0.3</v>
      </c>
      <c r="S46" s="152">
        <f>IF(D46&lt;1.609,0,IF(B46="F",VLOOKUP(I46,Barem!$X$2:$Z$13,2,1),VLOOKUP(I46,Barem!$X$14:$Z$25,2,1)))</f>
        <v>0</v>
      </c>
      <c r="T46" s="21">
        <f>VLOOKUP(A46,Participanti!A:C,3,0)</f>
        <v>0</v>
      </c>
      <c r="U46" s="18">
        <f t="shared" ref="U46:U53" si="17">IF(H46&lt;0,0,J46*N46+K46*O46+L46*P46+Q46+R46+S46+T46)</f>
        <v>4.05</v>
      </c>
      <c r="V46" s="58" t="s">
        <v>360</v>
      </c>
      <c r="W46" s="77">
        <f t="shared" si="1"/>
        <v>1</v>
      </c>
      <c r="X46" s="1" t="str">
        <f>VLOOKUP(A46,Data_Echipe!A:R,18,0)</f>
        <v>UltraHaita lu' Borcan</v>
      </c>
      <c r="Z46" s="115">
        <f t="shared" ref="Z46:Z53" si="18">IF(K46&gt;0,1,0)</f>
        <v>1</v>
      </c>
    </row>
    <row r="47" spans="1:26" x14ac:dyDescent="0.3">
      <c r="A47" s="49" t="s">
        <v>303</v>
      </c>
      <c r="B47" s="1" t="str">
        <f>VLOOKUP(A47,Participanti!A:B,2,0)</f>
        <v>F</v>
      </c>
      <c r="C47" s="74">
        <v>1</v>
      </c>
      <c r="D47" s="50">
        <v>5.62</v>
      </c>
      <c r="E47" s="51">
        <v>3.0729166666666669E-2</v>
      </c>
      <c r="F47" s="51">
        <v>3.0763888888888886E-2</v>
      </c>
      <c r="G47" s="69">
        <f t="shared" si="13"/>
        <v>3.0746527777777775E-2</v>
      </c>
      <c r="H47" s="52">
        <v>390</v>
      </c>
      <c r="I47" s="12">
        <f t="shared" si="14"/>
        <v>5.4709124159746927E-3</v>
      </c>
      <c r="J47" s="37">
        <f t="shared" si="15"/>
        <v>1.405</v>
      </c>
      <c r="K47" s="37">
        <f>IF(J47=0,0,IF(B47="F",VLOOKUP(I47,Barem!$G$2:$H$16,2,1),VLOOKUP(I47,Barem!$G$17:$H$31,2,1)))</f>
        <v>0.25</v>
      </c>
      <c r="L47" s="50">
        <v>1</v>
      </c>
      <c r="M47" s="124" t="s">
        <v>106</v>
      </c>
      <c r="N47" s="10">
        <f t="shared" ref="N47:P64" si="19">IF($M47=N$1,50%,25%)</f>
        <v>0.5</v>
      </c>
      <c r="O47" s="10">
        <f t="shared" si="19"/>
        <v>0.25</v>
      </c>
      <c r="P47" s="10">
        <f t="shared" si="19"/>
        <v>0.25</v>
      </c>
      <c r="Q47" s="40">
        <f t="shared" si="16"/>
        <v>0.26</v>
      </c>
      <c r="R47" s="21">
        <f>IF(D47&gt;21,VLOOKUP(D47,Barem!$T$1:$U$141,2,1),0)</f>
        <v>0</v>
      </c>
      <c r="S47" s="152">
        <f>IF(D47&lt;1.609,0,IF(B47="F",VLOOKUP(I47,Barem!$X$2:$Z$13,2,1),VLOOKUP(I47,Barem!$X$14:$Z$25,2,1)))</f>
        <v>0</v>
      </c>
      <c r="T47" s="21">
        <f>VLOOKUP(A47,Participanti!A:C,3,0)</f>
        <v>0</v>
      </c>
      <c r="U47" s="18">
        <f t="shared" si="17"/>
        <v>1.2750000000000001</v>
      </c>
      <c r="V47" s="58" t="s">
        <v>360</v>
      </c>
      <c r="W47" s="77">
        <f t="shared" si="1"/>
        <v>1</v>
      </c>
      <c r="X47" s="1" t="e">
        <f>VLOOKUP(A47,Data_Echipe!A:R,18,0)</f>
        <v>#N/A</v>
      </c>
      <c r="Z47" s="115">
        <f t="shared" si="18"/>
        <v>1</v>
      </c>
    </row>
    <row r="48" spans="1:26" x14ac:dyDescent="0.3">
      <c r="A48" s="49" t="s">
        <v>122</v>
      </c>
      <c r="B48" s="1" t="str">
        <f>VLOOKUP(A48,Participanti!A:B,2,0)</f>
        <v>M</v>
      </c>
      <c r="C48" s="74">
        <v>1</v>
      </c>
      <c r="D48" s="50">
        <v>12.59</v>
      </c>
      <c r="E48" s="51">
        <v>5.935185185185185E-2</v>
      </c>
      <c r="F48" s="51">
        <v>9.0995370370370365E-2</v>
      </c>
      <c r="G48" s="69">
        <f t="shared" si="13"/>
        <v>7.5173611111111108E-2</v>
      </c>
      <c r="H48" s="52"/>
      <c r="I48" s="12">
        <f t="shared" si="14"/>
        <v>5.9708984202629951E-3</v>
      </c>
      <c r="J48" s="37">
        <f t="shared" si="15"/>
        <v>2.9976190476190476</v>
      </c>
      <c r="K48" s="37">
        <f>IF(J48=0,0,IF(B48="F",VLOOKUP(I48,Barem!$G$2:$H$16,2,1),VLOOKUP(I48,Barem!$G$17:$H$31,2,1)))</f>
        <v>0</v>
      </c>
      <c r="L48" s="50">
        <v>3.75</v>
      </c>
      <c r="M48" s="124" t="s">
        <v>207</v>
      </c>
      <c r="N48" s="10">
        <f t="shared" si="19"/>
        <v>0.25</v>
      </c>
      <c r="O48" s="10">
        <f t="shared" si="19"/>
        <v>0.25</v>
      </c>
      <c r="P48" s="10">
        <f t="shared" si="19"/>
        <v>0.5</v>
      </c>
      <c r="Q48" s="40">
        <f t="shared" si="16"/>
        <v>0</v>
      </c>
      <c r="R48" s="21">
        <f>IF(D48&gt;21,VLOOKUP(D48,Barem!$T$1:$U$141,2,1),0)</f>
        <v>0</v>
      </c>
      <c r="S48" s="152">
        <f>IF(D48&lt;1.609,0,IF(B48="F",VLOOKUP(I48,Barem!$X$2:$Z$13,2,1),VLOOKUP(I48,Barem!$X$14:$Z$25,2,1)))</f>
        <v>0</v>
      </c>
      <c r="T48" s="21">
        <f>VLOOKUP(A48,Participanti!A:C,3,0)</f>
        <v>0</v>
      </c>
      <c r="U48" s="18">
        <f t="shared" si="17"/>
        <v>2.6244047619047617</v>
      </c>
      <c r="V48" s="58" t="s">
        <v>360</v>
      </c>
      <c r="W48" s="77">
        <f t="shared" si="1"/>
        <v>1</v>
      </c>
      <c r="X48" s="1" t="str">
        <f>VLOOKUP(A48,Data_Echipe!A:R,18,0)</f>
        <v>#notSYRious</v>
      </c>
      <c r="Z48" s="115">
        <f t="shared" si="18"/>
        <v>0</v>
      </c>
    </row>
    <row r="49" spans="1:26" x14ac:dyDescent="0.3">
      <c r="A49" s="49" t="s">
        <v>288</v>
      </c>
      <c r="B49" s="1" t="str">
        <f>VLOOKUP(A49,Participanti!A:B,2,0)</f>
        <v>M</v>
      </c>
      <c r="C49" s="74">
        <v>1</v>
      </c>
      <c r="D49" s="50">
        <v>3</v>
      </c>
      <c r="E49" s="51">
        <v>8.5300925925925926E-3</v>
      </c>
      <c r="F49" s="51">
        <v>8.5300925925925926E-3</v>
      </c>
      <c r="G49" s="69">
        <f t="shared" si="13"/>
        <v>8.5300925925925926E-3</v>
      </c>
      <c r="H49" s="52"/>
      <c r="I49" s="12">
        <f t="shared" si="14"/>
        <v>2.8433641975308642E-3</v>
      </c>
      <c r="J49" s="37">
        <f t="shared" si="15"/>
        <v>0.7142857142857143</v>
      </c>
      <c r="K49" s="37">
        <f>IF(J49=0,0,IF(B49="F",VLOOKUP(I49,Barem!$G$2:$H$16,2,1),VLOOKUP(I49,Barem!$G$17:$H$31,2,1)))</f>
        <v>4.5</v>
      </c>
      <c r="L49" s="50">
        <v>3</v>
      </c>
      <c r="M49" s="124" t="s">
        <v>107</v>
      </c>
      <c r="N49" s="10">
        <f t="shared" si="19"/>
        <v>0.25</v>
      </c>
      <c r="O49" s="10">
        <f t="shared" si="19"/>
        <v>0.5</v>
      </c>
      <c r="P49" s="10">
        <f t="shared" si="19"/>
        <v>0.25</v>
      </c>
      <c r="Q49" s="40">
        <f t="shared" si="16"/>
        <v>0</v>
      </c>
      <c r="R49" s="21">
        <f>IF(D49&gt;21,VLOOKUP(D49,Barem!$T$1:$U$141,2,1),0)</f>
        <v>0</v>
      </c>
      <c r="S49" s="152">
        <f>IF(D49&lt;1.609,0,IF(B49="F",VLOOKUP(I49,Barem!$X$2:$Z$13,2,1),VLOOKUP(I49,Barem!$X$14:$Z$25,2,1)))</f>
        <v>0</v>
      </c>
      <c r="T49" s="21">
        <f>VLOOKUP(A49,Participanti!A:C,3,0)</f>
        <v>0</v>
      </c>
      <c r="U49" s="18">
        <f t="shared" si="17"/>
        <v>3.1785714285714284</v>
      </c>
      <c r="V49" s="58" t="s">
        <v>360</v>
      </c>
      <c r="W49" s="77">
        <f t="shared" si="1"/>
        <v>1</v>
      </c>
      <c r="X49" s="1" t="e">
        <f>VLOOKUP(A49,Data_Echipe!A:R,18,0)</f>
        <v>#N/A</v>
      </c>
      <c r="Z49" s="115">
        <f t="shared" si="18"/>
        <v>1</v>
      </c>
    </row>
    <row r="50" spans="1:26" x14ac:dyDescent="0.3">
      <c r="A50" s="49" t="s">
        <v>361</v>
      </c>
      <c r="B50" s="1" t="str">
        <f>VLOOKUP(A50,Participanti!A:B,2,0)</f>
        <v>M</v>
      </c>
      <c r="C50" s="74">
        <v>1</v>
      </c>
      <c r="D50" s="50">
        <v>50</v>
      </c>
      <c r="E50" s="51">
        <v>0.17420138888888889</v>
      </c>
      <c r="F50" s="51">
        <v>0.1895486111111111</v>
      </c>
      <c r="G50" s="69">
        <f t="shared" si="13"/>
        <v>0.18187500000000001</v>
      </c>
      <c r="H50" s="52"/>
      <c r="I50" s="12">
        <f t="shared" si="14"/>
        <v>3.6375000000000001E-3</v>
      </c>
      <c r="J50" s="37">
        <f t="shared" si="15"/>
        <v>5</v>
      </c>
      <c r="K50" s="37">
        <f>IF(J50=0,0,IF(B50="F",VLOOKUP(I50,Barem!$G$2:$H$16,2,1),VLOOKUP(I50,Barem!$G$17:$H$31,2,1)))</f>
        <v>2.5</v>
      </c>
      <c r="L50" s="50">
        <v>2</v>
      </c>
      <c r="M50" s="124" t="s">
        <v>106</v>
      </c>
      <c r="N50" s="10">
        <f t="shared" si="19"/>
        <v>0.5</v>
      </c>
      <c r="O50" s="10">
        <f t="shared" si="19"/>
        <v>0.25</v>
      </c>
      <c r="P50" s="10">
        <f t="shared" si="19"/>
        <v>0.25</v>
      </c>
      <c r="Q50" s="40">
        <f t="shared" si="16"/>
        <v>0</v>
      </c>
      <c r="R50" s="21">
        <f>IF(D50&gt;21,VLOOKUP(D50,Barem!$T$1:$U$141,2,1),0)</f>
        <v>1.4</v>
      </c>
      <c r="S50" s="152">
        <f>IF(D50&lt;1.609,0,IF(B50="F",VLOOKUP(I50,Barem!$X$2:$Z$13,2,1),VLOOKUP(I50,Barem!$X$14:$Z$25,2,1)))</f>
        <v>0</v>
      </c>
      <c r="T50" s="21">
        <f>VLOOKUP(A50,Participanti!A:C,3,0)</f>
        <v>0</v>
      </c>
      <c r="U50" s="18">
        <f t="shared" si="17"/>
        <v>5.0250000000000004</v>
      </c>
      <c r="V50" s="58" t="s">
        <v>360</v>
      </c>
      <c r="W50" s="77">
        <f t="shared" si="1"/>
        <v>1</v>
      </c>
      <c r="X50" s="1" t="str">
        <f>VLOOKUP(A50,Data_Echipe!A:R,18,0)</f>
        <v>UltraHaita lu' Borcan</v>
      </c>
      <c r="Z50" s="115">
        <f t="shared" si="18"/>
        <v>1</v>
      </c>
    </row>
    <row r="51" spans="1:26" x14ac:dyDescent="0.3">
      <c r="A51" s="49" t="s">
        <v>284</v>
      </c>
      <c r="B51" s="1" t="str">
        <f>VLOOKUP(A51,Participanti!A:B,2,0)</f>
        <v>M</v>
      </c>
      <c r="C51" s="74">
        <v>1</v>
      </c>
      <c r="D51" s="50">
        <v>15.54</v>
      </c>
      <c r="E51" s="51">
        <v>6.0810185185185182E-2</v>
      </c>
      <c r="F51" s="51">
        <v>6.4525462962962965E-2</v>
      </c>
      <c r="G51" s="69">
        <f t="shared" si="13"/>
        <v>6.2667824074074077E-2</v>
      </c>
      <c r="H51" s="52">
        <v>65</v>
      </c>
      <c r="I51" s="12">
        <f t="shared" si="14"/>
        <v>4.0326785118451787E-3</v>
      </c>
      <c r="J51" s="37">
        <f t="shared" si="15"/>
        <v>3.6999999999999997</v>
      </c>
      <c r="K51" s="37">
        <f>IF(J51=0,0,IF(B51="F",VLOOKUP(I51,Barem!$G$2:$H$16,2,1),VLOOKUP(I51,Barem!$G$17:$H$31,2,1)))</f>
        <v>1.5</v>
      </c>
      <c r="L51" s="50">
        <v>4.75</v>
      </c>
      <c r="M51" s="124" t="s">
        <v>207</v>
      </c>
      <c r="N51" s="10">
        <f t="shared" si="19"/>
        <v>0.25</v>
      </c>
      <c r="O51" s="10">
        <f t="shared" si="19"/>
        <v>0.25</v>
      </c>
      <c r="P51" s="10">
        <f t="shared" si="19"/>
        <v>0.5</v>
      </c>
      <c r="Q51" s="40">
        <f t="shared" si="16"/>
        <v>4.3333333333333335E-2</v>
      </c>
      <c r="R51" s="21">
        <f>IF(D51&gt;21,VLOOKUP(D51,Barem!$T$1:$U$141,2,1),0)</f>
        <v>0</v>
      </c>
      <c r="S51" s="152">
        <f>IF(D51&lt;1.609,0,IF(B51="F",VLOOKUP(I51,Barem!$X$2:$Z$13,2,1),VLOOKUP(I51,Barem!$X$14:$Z$25,2,1)))</f>
        <v>0</v>
      </c>
      <c r="T51" s="21">
        <f>VLOOKUP(A51,Participanti!A:C,3,0)</f>
        <v>0</v>
      </c>
      <c r="U51" s="18">
        <f t="shared" si="17"/>
        <v>3.7183333333333333</v>
      </c>
      <c r="V51" s="58" t="s">
        <v>360</v>
      </c>
      <c r="W51" s="77">
        <f t="shared" si="1"/>
        <v>1</v>
      </c>
      <c r="X51" s="1" t="str">
        <f>VLOOKUP(A51,Data_Echipe!A:R,18,0)</f>
        <v>The GOATs</v>
      </c>
      <c r="Z51" s="115">
        <f t="shared" si="18"/>
        <v>1</v>
      </c>
    </row>
    <row r="52" spans="1:26" x14ac:dyDescent="0.3">
      <c r="A52" s="49" t="s">
        <v>283</v>
      </c>
      <c r="B52" s="1" t="str">
        <f>VLOOKUP(A52,Participanti!A:B,2,0)</f>
        <v>M</v>
      </c>
      <c r="C52" s="74">
        <v>1</v>
      </c>
      <c r="D52" s="50">
        <v>22.81</v>
      </c>
      <c r="E52" s="51">
        <v>9.5196759259259259E-2</v>
      </c>
      <c r="F52" s="51">
        <v>9.8009259259259254E-2</v>
      </c>
      <c r="G52" s="69">
        <f t="shared" si="13"/>
        <v>9.6603009259259257E-2</v>
      </c>
      <c r="H52" s="52">
        <v>153</v>
      </c>
      <c r="I52" s="12">
        <f t="shared" si="14"/>
        <v>4.2351165830451232E-3</v>
      </c>
      <c r="J52" s="37">
        <f t="shared" si="15"/>
        <v>5</v>
      </c>
      <c r="K52" s="37">
        <f>IF(J52=0,0,IF(B52="F",VLOOKUP(I52,Barem!$G$2:$H$16,2,1),VLOOKUP(I52,Barem!$G$17:$H$31,2,1)))</f>
        <v>1.25</v>
      </c>
      <c r="L52" s="50">
        <v>4.5</v>
      </c>
      <c r="M52" s="124" t="s">
        <v>207</v>
      </c>
      <c r="N52" s="10">
        <f t="shared" si="19"/>
        <v>0.25</v>
      </c>
      <c r="O52" s="10">
        <f t="shared" si="19"/>
        <v>0.25</v>
      </c>
      <c r="P52" s="10">
        <f t="shared" si="19"/>
        <v>0.5</v>
      </c>
      <c r="Q52" s="40">
        <f t="shared" si="16"/>
        <v>0.10199999999999999</v>
      </c>
      <c r="R52" s="21">
        <f>IF(D52&gt;21,VLOOKUP(D52,Barem!$T$1:$U$141,2,1),0)</f>
        <v>0</v>
      </c>
      <c r="S52" s="152">
        <f>IF(D52&lt;1.609,0,IF(B52="F",VLOOKUP(I52,Barem!$X$2:$Z$13,2,1),VLOOKUP(I52,Barem!$X$14:$Z$25,2,1)))</f>
        <v>0</v>
      </c>
      <c r="T52" s="21">
        <f>VLOOKUP(A52,Participanti!A:C,3,0)</f>
        <v>0</v>
      </c>
      <c r="U52" s="18">
        <f t="shared" si="17"/>
        <v>3.9144999999999999</v>
      </c>
      <c r="V52" s="58" t="s">
        <v>360</v>
      </c>
      <c r="W52" s="77">
        <f t="shared" si="1"/>
        <v>1</v>
      </c>
      <c r="X52" s="1" t="str">
        <f>VLOOKUP(A52,Data_Echipe!A:R,18,0)</f>
        <v>The GOATs</v>
      </c>
      <c r="Z52" s="115">
        <f t="shared" si="18"/>
        <v>1</v>
      </c>
    </row>
    <row r="53" spans="1:26" x14ac:dyDescent="0.3">
      <c r="A53" s="49" t="s">
        <v>291</v>
      </c>
      <c r="B53" s="1" t="str">
        <f>VLOOKUP(A53,Participanti!A:B,2,0)</f>
        <v>F</v>
      </c>
      <c r="C53" s="74">
        <v>1</v>
      </c>
      <c r="D53" s="50">
        <v>15</v>
      </c>
      <c r="E53" s="51">
        <v>5.8819444444444445E-2</v>
      </c>
      <c r="F53" s="51">
        <v>7.2129629629629641E-2</v>
      </c>
      <c r="G53" s="69">
        <f t="shared" si="13"/>
        <v>6.5474537037037039E-2</v>
      </c>
      <c r="H53" s="52"/>
      <c r="I53" s="12">
        <f t="shared" si="14"/>
        <v>4.3649691358024689E-3</v>
      </c>
      <c r="J53" s="37">
        <f t="shared" si="15"/>
        <v>3.75</v>
      </c>
      <c r="K53" s="37">
        <f>IF(J53=0,0,IF(B53="F",VLOOKUP(I53,Barem!$G$2:$H$16,2,1),VLOOKUP(I53,Barem!$G$17:$H$31,2,1)))</f>
        <v>1.5</v>
      </c>
      <c r="L53" s="50">
        <v>1.75</v>
      </c>
      <c r="M53" s="124" t="s">
        <v>107</v>
      </c>
      <c r="N53" s="10">
        <f t="shared" si="19"/>
        <v>0.25</v>
      </c>
      <c r="O53" s="10">
        <f t="shared" si="19"/>
        <v>0.5</v>
      </c>
      <c r="P53" s="10">
        <f t="shared" si="19"/>
        <v>0.25</v>
      </c>
      <c r="Q53" s="40">
        <f t="shared" si="16"/>
        <v>0</v>
      </c>
      <c r="R53" s="21">
        <f>IF(D53&gt;21,VLOOKUP(D53,Barem!$T$1:$U$141,2,1),0)</f>
        <v>0</v>
      </c>
      <c r="S53" s="152">
        <f>IF(D53&lt;1.609,0,IF(B53="F",VLOOKUP(I53,Barem!$X$2:$Z$13,2,1),VLOOKUP(I53,Barem!$X$14:$Z$25,2,1)))</f>
        <v>0</v>
      </c>
      <c r="T53" s="21">
        <f>VLOOKUP(A53,Participanti!A:C,3,0)</f>
        <v>0</v>
      </c>
      <c r="U53" s="18">
        <f t="shared" si="17"/>
        <v>2.125</v>
      </c>
      <c r="V53" s="58" t="s">
        <v>360</v>
      </c>
      <c r="W53" s="77">
        <f t="shared" si="1"/>
        <v>1</v>
      </c>
      <c r="X53" s="1" t="str">
        <f>VLOOKUP(A53,Data_Echipe!A:R,18,0)</f>
        <v>#notSYRious</v>
      </c>
      <c r="Z53" s="115">
        <f t="shared" si="18"/>
        <v>1</v>
      </c>
    </row>
    <row r="54" spans="1:26" x14ac:dyDescent="0.3">
      <c r="A54" s="49" t="s">
        <v>208</v>
      </c>
      <c r="B54" s="1" t="str">
        <f>VLOOKUP(A54,Participanti!A:B,2,0)</f>
        <v>M</v>
      </c>
      <c r="C54" s="74">
        <v>1</v>
      </c>
      <c r="D54" s="50">
        <v>9</v>
      </c>
      <c r="E54" s="51">
        <v>2.7349537037037037E-2</v>
      </c>
      <c r="F54" s="51">
        <v>2.7349537037037037E-2</v>
      </c>
      <c r="G54" s="69">
        <f t="shared" ref="G54:G58" si="20">AVERAGE(E54:F54)</f>
        <v>2.7349537037037037E-2</v>
      </c>
      <c r="H54" s="52"/>
      <c r="I54" s="12">
        <f t="shared" ref="I54:I58" si="21">G54/D54</f>
        <v>3.0388374485596707E-3</v>
      </c>
      <c r="J54" s="37">
        <f t="shared" ref="J54:J58" si="22">IF(B54="F",IF(D54&lt;2.5,0,IF(D54&gt;19.99,5,D54/4)),IF(D54&lt;3,0, IF(D54&gt;20.99,5,D54/4.2)))</f>
        <v>2.1428571428571428</v>
      </c>
      <c r="K54" s="37">
        <f>IF(J54=0,0,IF(B54="F",VLOOKUP(I54,Barem!$G$2:$H$16,2,1),VLOOKUP(I54,Barem!$G$17:$H$31,2,1)))</f>
        <v>4</v>
      </c>
      <c r="L54" s="50">
        <v>2.5</v>
      </c>
      <c r="M54" s="124" t="s">
        <v>107</v>
      </c>
      <c r="N54" s="10">
        <f t="shared" si="19"/>
        <v>0.25</v>
      </c>
      <c r="O54" s="10">
        <f t="shared" si="19"/>
        <v>0.5</v>
      </c>
      <c r="P54" s="10">
        <f t="shared" si="19"/>
        <v>0.25</v>
      </c>
      <c r="Q54" s="40">
        <f t="shared" ref="Q54:Q58" si="23">IF(H54&gt;49,H54/1500,0)</f>
        <v>0</v>
      </c>
      <c r="R54" s="21">
        <f>IF(D54&gt;21,VLOOKUP(D54,Barem!$T$1:$U$141,2,1),0)</f>
        <v>0</v>
      </c>
      <c r="S54" s="152">
        <f>IF(D54&lt;1.609,0,IF(B54="F",VLOOKUP(I54,Barem!$X$2:$Z$13,2,1),VLOOKUP(I54,Barem!$X$14:$Z$25,2,1)))</f>
        <v>0</v>
      </c>
      <c r="T54" s="21">
        <f>VLOOKUP(A54,Participanti!A:C,3,0)</f>
        <v>0</v>
      </c>
      <c r="U54" s="18">
        <f t="shared" ref="U54:U58" si="24">IF(H54&lt;0,0,J54*N54+K54*O54+L54*P54+Q54+R54+S54+T54)</f>
        <v>3.1607142857142856</v>
      </c>
      <c r="V54" s="58" t="s">
        <v>360</v>
      </c>
      <c r="W54" s="77">
        <f t="shared" si="1"/>
        <v>1</v>
      </c>
      <c r="X54" s="1" t="e">
        <f>VLOOKUP(A54,Data_Echipe!A:R,18,0)</f>
        <v>#N/A</v>
      </c>
      <c r="Z54" s="115">
        <f t="shared" ref="Z54:Z58" si="25">IF(K54&gt;0,1,0)</f>
        <v>1</v>
      </c>
    </row>
    <row r="55" spans="1:26" x14ac:dyDescent="0.3">
      <c r="A55" s="49" t="s">
        <v>300</v>
      </c>
      <c r="B55" s="1" t="str">
        <f>VLOOKUP(A55,Participanti!A:B,2,0)</f>
        <v>M</v>
      </c>
      <c r="C55" s="74">
        <v>1</v>
      </c>
      <c r="D55" s="50">
        <v>25.05</v>
      </c>
      <c r="E55" s="51">
        <v>8.3136574074074085E-2</v>
      </c>
      <c r="F55" s="51">
        <v>9.4108796296296301E-2</v>
      </c>
      <c r="G55" s="69">
        <f t="shared" si="20"/>
        <v>8.8622685185185193E-2</v>
      </c>
      <c r="H55" s="52">
        <v>42</v>
      </c>
      <c r="I55" s="12">
        <f t="shared" si="21"/>
        <v>3.5378317439195687E-3</v>
      </c>
      <c r="J55" s="37">
        <f t="shared" si="22"/>
        <v>5</v>
      </c>
      <c r="K55" s="37">
        <f>IF(J55=0,0,IF(B55="F",VLOOKUP(I55,Barem!$G$2:$H$16,2,1),VLOOKUP(I55,Barem!$G$17:$H$31,2,1)))</f>
        <v>2.5</v>
      </c>
      <c r="L55" s="50">
        <v>1.25</v>
      </c>
      <c r="M55" s="124" t="s">
        <v>106</v>
      </c>
      <c r="N55" s="10">
        <f t="shared" si="19"/>
        <v>0.5</v>
      </c>
      <c r="O55" s="10">
        <f t="shared" si="19"/>
        <v>0.25</v>
      </c>
      <c r="P55" s="10">
        <f t="shared" si="19"/>
        <v>0.25</v>
      </c>
      <c r="Q55" s="40">
        <f t="shared" si="23"/>
        <v>0</v>
      </c>
      <c r="R55" s="21">
        <f>IF(D55&gt;21,VLOOKUP(D55,Barem!$T$1:$U$141,2,1),0)</f>
        <v>0.2</v>
      </c>
      <c r="S55" s="152">
        <f>IF(D55&lt;1.609,0,IF(B55="F",VLOOKUP(I55,Barem!$X$2:$Z$13,2,1),VLOOKUP(I55,Barem!$X$14:$Z$25,2,1)))</f>
        <v>0</v>
      </c>
      <c r="T55" s="21">
        <f>VLOOKUP(A55,Participanti!A:C,3,0)</f>
        <v>0</v>
      </c>
      <c r="U55" s="18">
        <f t="shared" si="24"/>
        <v>3.6375000000000002</v>
      </c>
      <c r="V55" s="58" t="s">
        <v>360</v>
      </c>
      <c r="W55" s="77">
        <f t="shared" si="1"/>
        <v>1</v>
      </c>
      <c r="X55" s="1" t="str">
        <f>VLOOKUP(A55,Data_Echipe!A:R,18,0)</f>
        <v>#notSYRious</v>
      </c>
      <c r="Z55" s="115">
        <f t="shared" si="25"/>
        <v>1</v>
      </c>
    </row>
    <row r="56" spans="1:26" x14ac:dyDescent="0.3">
      <c r="A56" s="49" t="s">
        <v>64</v>
      </c>
      <c r="B56" s="1" t="str">
        <f>VLOOKUP(A56,Participanti!A:B,2,0)</f>
        <v>F</v>
      </c>
      <c r="C56" s="74">
        <v>1</v>
      </c>
      <c r="D56" s="50">
        <v>8.09</v>
      </c>
      <c r="E56" s="51">
        <v>4.1631944444444451E-2</v>
      </c>
      <c r="F56" s="51">
        <v>5.6620370370370376E-2</v>
      </c>
      <c r="G56" s="69">
        <f t="shared" si="20"/>
        <v>4.9126157407407417E-2</v>
      </c>
      <c r="H56" s="52"/>
      <c r="I56" s="12">
        <f t="shared" si="21"/>
        <v>6.0724545621022767E-3</v>
      </c>
      <c r="J56" s="37">
        <f t="shared" si="22"/>
        <v>2.0225</v>
      </c>
      <c r="K56" s="37">
        <f>IF(J56=0,0,IF(B56="F",VLOOKUP(I56,Barem!$G$2:$H$16,2,1),VLOOKUP(I56,Barem!$G$17:$H$31,2,1)))</f>
        <v>0.25</v>
      </c>
      <c r="L56" s="50">
        <v>1.75</v>
      </c>
      <c r="M56" s="124" t="s">
        <v>106</v>
      </c>
      <c r="N56" s="10">
        <f t="shared" si="19"/>
        <v>0.5</v>
      </c>
      <c r="O56" s="10">
        <f t="shared" si="19"/>
        <v>0.25</v>
      </c>
      <c r="P56" s="10">
        <f t="shared" si="19"/>
        <v>0.25</v>
      </c>
      <c r="Q56" s="40">
        <f t="shared" si="23"/>
        <v>0</v>
      </c>
      <c r="R56" s="21">
        <f>IF(D56&gt;21,VLOOKUP(D56,Barem!$T$1:$U$141,2,1),0)</f>
        <v>0</v>
      </c>
      <c r="S56" s="152">
        <f>IF(D56&lt;1.609,0,IF(B56="F",VLOOKUP(I56,Barem!$X$2:$Z$13,2,1),VLOOKUP(I56,Barem!$X$14:$Z$25,2,1)))</f>
        <v>0</v>
      </c>
      <c r="T56" s="21">
        <f>VLOOKUP(A56,Participanti!A:C,3,0)</f>
        <v>0.7</v>
      </c>
      <c r="U56" s="18">
        <f t="shared" si="24"/>
        <v>2.2112499999999997</v>
      </c>
      <c r="V56" s="58" t="s">
        <v>360</v>
      </c>
      <c r="W56" s="77">
        <f t="shared" si="1"/>
        <v>1</v>
      </c>
      <c r="X56" s="1" t="str">
        <f>VLOOKUP(A56,Data_Echipe!A:R,18,0)</f>
        <v>UltraHaita lu' Borcan</v>
      </c>
      <c r="Z56" s="115">
        <f t="shared" si="25"/>
        <v>1</v>
      </c>
    </row>
    <row r="57" spans="1:26" x14ac:dyDescent="0.3">
      <c r="A57" s="49" t="s">
        <v>362</v>
      </c>
      <c r="B57" s="1" t="str">
        <f>VLOOKUP(A57,Participanti!A:B,2,0)</f>
        <v>M</v>
      </c>
      <c r="C57" s="74">
        <v>1</v>
      </c>
      <c r="D57" s="50">
        <v>42.22</v>
      </c>
      <c r="E57" s="51">
        <v>0.12667824074074074</v>
      </c>
      <c r="F57" s="51">
        <v>0.12710648148148149</v>
      </c>
      <c r="G57" s="69">
        <f t="shared" si="20"/>
        <v>0.12689236111111113</v>
      </c>
      <c r="H57" s="52"/>
      <c r="I57" s="12">
        <f t="shared" si="21"/>
        <v>3.0055035791357446E-3</v>
      </c>
      <c r="J57" s="37">
        <f t="shared" si="22"/>
        <v>5</v>
      </c>
      <c r="K57" s="37">
        <f>IF(J57=0,0,IF(B57="F",VLOOKUP(I57,Barem!$G$2:$H$16,2,1),VLOOKUP(I57,Barem!$G$17:$H$31,2,1)))</f>
        <v>4</v>
      </c>
      <c r="L57" s="50">
        <v>1.25</v>
      </c>
      <c r="M57" s="124" t="s">
        <v>106</v>
      </c>
      <c r="N57" s="10">
        <f t="shared" si="19"/>
        <v>0.5</v>
      </c>
      <c r="O57" s="10">
        <f t="shared" si="19"/>
        <v>0.25</v>
      </c>
      <c r="P57" s="10">
        <f t="shared" si="19"/>
        <v>0.25</v>
      </c>
      <c r="Q57" s="40">
        <f t="shared" si="23"/>
        <v>0</v>
      </c>
      <c r="R57" s="21">
        <f>IF(D57&gt;21,VLOOKUP(D57,Barem!$T$1:$U$141,2,1),0)</f>
        <v>1</v>
      </c>
      <c r="S57" s="152">
        <f>IF(D57&lt;1.609,0,IF(B57="F",VLOOKUP(I57,Barem!$X$2:$Z$13,2,1),VLOOKUP(I57,Barem!$X$14:$Z$25,2,1)))</f>
        <v>0</v>
      </c>
      <c r="T57" s="21">
        <f>VLOOKUP(A57,Participanti!A:C,3,0)</f>
        <v>0</v>
      </c>
      <c r="U57" s="18">
        <f t="shared" si="24"/>
        <v>4.8125</v>
      </c>
      <c r="V57" s="58" t="s">
        <v>360</v>
      </c>
      <c r="W57" s="77">
        <f t="shared" si="1"/>
        <v>1</v>
      </c>
      <c r="X57" s="1" t="e">
        <f>VLOOKUP(A57,Data_Echipe!A:R,18,0)</f>
        <v>#N/A</v>
      </c>
      <c r="Z57" s="115">
        <f t="shared" si="25"/>
        <v>1</v>
      </c>
    </row>
    <row r="58" spans="1:26" x14ac:dyDescent="0.3">
      <c r="A58" s="49" t="s">
        <v>363</v>
      </c>
      <c r="B58" s="1" t="str">
        <f>VLOOKUP(A58,Participanti!A:B,2,0)</f>
        <v>F</v>
      </c>
      <c r="C58" s="74">
        <v>1</v>
      </c>
      <c r="D58" s="50">
        <v>17.53</v>
      </c>
      <c r="E58" s="51">
        <v>9.3217592592592588E-2</v>
      </c>
      <c r="F58" s="51">
        <v>0.1111111111111111</v>
      </c>
      <c r="G58" s="69">
        <f t="shared" si="20"/>
        <v>0.10216435185185185</v>
      </c>
      <c r="H58" s="52"/>
      <c r="I58" s="12">
        <f t="shared" si="21"/>
        <v>5.827972153556865E-3</v>
      </c>
      <c r="J58" s="37">
        <f t="shared" si="22"/>
        <v>4.3825000000000003</v>
      </c>
      <c r="K58" s="37">
        <f>IF(J58=0,0,IF(B58="F",VLOOKUP(I58,Barem!$G$2:$H$16,2,1),VLOOKUP(I58,Barem!$G$17:$H$31,2,1)))</f>
        <v>0.25</v>
      </c>
      <c r="L58" s="50">
        <v>1.5</v>
      </c>
      <c r="M58" s="124" t="s">
        <v>106</v>
      </c>
      <c r="N58" s="10">
        <f t="shared" si="19"/>
        <v>0.5</v>
      </c>
      <c r="O58" s="10">
        <f t="shared" si="19"/>
        <v>0.25</v>
      </c>
      <c r="P58" s="10">
        <f t="shared" si="19"/>
        <v>0.25</v>
      </c>
      <c r="Q58" s="40">
        <f t="shared" si="23"/>
        <v>0</v>
      </c>
      <c r="R58" s="21">
        <f>IF(D58&gt;21,VLOOKUP(D58,Barem!$T$1:$U$141,2,1),0)</f>
        <v>0</v>
      </c>
      <c r="S58" s="152">
        <f>IF(D58&lt;1.609,0,IF(B58="F",VLOOKUP(I58,Barem!$X$2:$Z$13,2,1),VLOOKUP(I58,Barem!$X$14:$Z$25,2,1)))</f>
        <v>0</v>
      </c>
      <c r="T58" s="21">
        <f>VLOOKUP(A58,Participanti!A:C,3,0)</f>
        <v>0</v>
      </c>
      <c r="U58" s="18">
        <f t="shared" si="24"/>
        <v>2.6287500000000001</v>
      </c>
      <c r="V58" s="58" t="s">
        <v>360</v>
      </c>
      <c r="W58" s="77">
        <f t="shared" si="1"/>
        <v>1</v>
      </c>
      <c r="X58" s="1" t="e">
        <f>VLOOKUP(A58,Data_Echipe!A:R,18,0)</f>
        <v>#N/A</v>
      </c>
      <c r="Z58" s="115">
        <f t="shared" si="25"/>
        <v>1</v>
      </c>
    </row>
    <row r="59" spans="1:26" x14ac:dyDescent="0.3">
      <c r="A59" s="49" t="s">
        <v>137</v>
      </c>
      <c r="B59" s="1" t="str">
        <f>VLOOKUP(A59,Participanti!A:B,2,0)</f>
        <v>M</v>
      </c>
      <c r="C59" s="74">
        <v>1</v>
      </c>
      <c r="D59" s="50">
        <v>15.01</v>
      </c>
      <c r="E59" s="51">
        <v>5.693287037037037E-2</v>
      </c>
      <c r="F59" s="51">
        <v>6.2534722222222228E-2</v>
      </c>
      <c r="G59" s="69">
        <f t="shared" ref="G59:G63" si="26">AVERAGE(E59:F59)</f>
        <v>5.9733796296296299E-2</v>
      </c>
      <c r="H59" s="52"/>
      <c r="I59" s="12">
        <f t="shared" ref="I59:I63" si="27">G59/D59</f>
        <v>3.9796000197399265E-3</v>
      </c>
      <c r="J59" s="37">
        <f t="shared" ref="J59:J63" si="28">IF(B59="F",IF(D59&lt;2.5,0,IF(D59&gt;19.99,5,D59/4)),IF(D59&lt;3,0, IF(D59&gt;20.99,5,D59/4.2)))</f>
        <v>3.5738095238095235</v>
      </c>
      <c r="K59" s="37">
        <f>IF(J59=0,0,IF(B59="F",VLOOKUP(I59,Barem!$G$2:$H$16,2,1),VLOOKUP(I59,Barem!$G$17:$H$31,2,1)))</f>
        <v>1.75</v>
      </c>
      <c r="L59" s="50">
        <v>2.5</v>
      </c>
      <c r="M59" s="124" t="s">
        <v>106</v>
      </c>
      <c r="N59" s="10">
        <f t="shared" si="19"/>
        <v>0.5</v>
      </c>
      <c r="O59" s="10">
        <f t="shared" si="19"/>
        <v>0.25</v>
      </c>
      <c r="P59" s="10">
        <f t="shared" si="19"/>
        <v>0.25</v>
      </c>
      <c r="Q59" s="40">
        <f t="shared" ref="Q59:Q63" si="29">IF(H59&gt;49,H59/1500,0)</f>
        <v>0</v>
      </c>
      <c r="R59" s="21">
        <f>IF(D59&gt;21,VLOOKUP(D59,Barem!$T$1:$U$141,2,1),0)</f>
        <v>0</v>
      </c>
      <c r="S59" s="152">
        <f>IF(D59&lt;1.609,0,IF(B59="F",VLOOKUP(I59,Barem!$X$2:$Z$13,2,1),VLOOKUP(I59,Barem!$X$14:$Z$25,2,1)))</f>
        <v>0</v>
      </c>
      <c r="T59" s="21">
        <f>VLOOKUP(A59,Participanti!A:C,3,0)</f>
        <v>0</v>
      </c>
      <c r="U59" s="18">
        <f t="shared" ref="U59:U63" si="30">IF(H59&lt;0,0,J59*N59+K59*O59+L59*P59+Q59+R59+S59+T59)</f>
        <v>2.8494047619047618</v>
      </c>
      <c r="V59" s="58" t="s">
        <v>360</v>
      </c>
      <c r="W59" s="77">
        <f t="shared" si="1"/>
        <v>1</v>
      </c>
      <c r="X59" s="1" t="str">
        <f>VLOOKUP(A59,Data_Echipe!A:R,18,0)</f>
        <v>The GOATs</v>
      </c>
      <c r="Z59" s="115">
        <f t="shared" ref="Z59:Z63" si="31">IF(K59&gt;0,1,0)</f>
        <v>1</v>
      </c>
    </row>
    <row r="60" spans="1:26" x14ac:dyDescent="0.3">
      <c r="A60" s="132" t="s">
        <v>59</v>
      </c>
      <c r="B60" s="133" t="str">
        <f>VLOOKUP(A60,Participanti!A:B,2,0)</f>
        <v>M</v>
      </c>
      <c r="C60" s="134">
        <v>1</v>
      </c>
      <c r="D60" s="135">
        <v>10.01</v>
      </c>
      <c r="E60" s="136">
        <v>3.3472222222222202E-2</v>
      </c>
      <c r="F60" s="136">
        <v>3.3842592592592598E-2</v>
      </c>
      <c r="G60" s="137">
        <f t="shared" si="26"/>
        <v>3.36574074074074E-2</v>
      </c>
      <c r="H60" s="138"/>
      <c r="I60" s="139">
        <f t="shared" si="27"/>
        <v>3.3623783623783618E-3</v>
      </c>
      <c r="J60" s="140">
        <f t="shared" si="28"/>
        <v>2.3833333333333333</v>
      </c>
      <c r="K60" s="140">
        <v>0</v>
      </c>
      <c r="L60" s="135">
        <v>0</v>
      </c>
      <c r="M60" s="141" t="s">
        <v>459</v>
      </c>
      <c r="N60" s="142">
        <f t="shared" si="19"/>
        <v>0.25</v>
      </c>
      <c r="O60" s="142">
        <f t="shared" si="19"/>
        <v>0.25</v>
      </c>
      <c r="P60" s="142">
        <f t="shared" si="19"/>
        <v>0.25</v>
      </c>
      <c r="Q60" s="143">
        <f t="shared" si="29"/>
        <v>0</v>
      </c>
      <c r="R60" s="144">
        <f>IF(D60&gt;21,VLOOKUP(D60,Barem!$T$1:$U$141,2,1),0)</f>
        <v>0</v>
      </c>
      <c r="S60" s="152">
        <f>IF(D60&lt;1.609,0,IF(B60="F",VLOOKUP(I60,Barem!$X$2:$Z$13,2,1),VLOOKUP(I60,Barem!$X$14:$Z$25,2,1)))</f>
        <v>0</v>
      </c>
      <c r="T60" s="144">
        <f>VLOOKUP(A60,Participanti!A:C,3,0)</f>
        <v>0</v>
      </c>
      <c r="U60" s="143">
        <v>1.5</v>
      </c>
      <c r="V60" s="145" t="s">
        <v>360</v>
      </c>
      <c r="W60" s="146">
        <f t="shared" si="1"/>
        <v>1</v>
      </c>
      <c r="X60" s="1" t="str">
        <f>VLOOKUP(A60,Data_Echipe!A:R,18,0)</f>
        <v>Almost Kenyan Runners</v>
      </c>
      <c r="Y60" s="133"/>
      <c r="Z60" s="147">
        <f t="shared" si="31"/>
        <v>0</v>
      </c>
    </row>
    <row r="61" spans="1:26" x14ac:dyDescent="0.3">
      <c r="A61" s="49" t="s">
        <v>247</v>
      </c>
      <c r="B61" s="1" t="str">
        <f>VLOOKUP(A61,Participanti!A:B,2,0)</f>
        <v>M</v>
      </c>
      <c r="C61" s="74">
        <v>1</v>
      </c>
      <c r="D61" s="50">
        <v>14.71</v>
      </c>
      <c r="E61" s="51">
        <v>5.7997685185185187E-2</v>
      </c>
      <c r="F61" s="51">
        <v>5.9143518518518519E-2</v>
      </c>
      <c r="G61" s="69">
        <f t="shared" si="26"/>
        <v>5.8570601851851853E-2</v>
      </c>
      <c r="H61" s="52">
        <v>47</v>
      </c>
      <c r="I61" s="12">
        <f t="shared" si="27"/>
        <v>3.9816860538308529E-3</v>
      </c>
      <c r="J61" s="37">
        <f t="shared" si="28"/>
        <v>3.5023809523809524</v>
      </c>
      <c r="K61" s="37">
        <f>IF(J61=0,0,IF(B61="F",VLOOKUP(I61,Barem!$G$2:$H$16,2,1),VLOOKUP(I61,Barem!$G$17:$H$31,2,1)))</f>
        <v>1.75</v>
      </c>
      <c r="L61" s="50">
        <v>1</v>
      </c>
      <c r="M61" s="124" t="s">
        <v>106</v>
      </c>
      <c r="N61" s="10">
        <f t="shared" si="19"/>
        <v>0.5</v>
      </c>
      <c r="O61" s="10">
        <f t="shared" si="19"/>
        <v>0.25</v>
      </c>
      <c r="P61" s="10">
        <f t="shared" si="19"/>
        <v>0.25</v>
      </c>
      <c r="Q61" s="40">
        <f t="shared" si="29"/>
        <v>0</v>
      </c>
      <c r="R61" s="21">
        <f>IF(D61&gt;21,VLOOKUP(D61,Barem!$T$1:$U$141,2,1),0)</f>
        <v>0</v>
      </c>
      <c r="S61" s="152">
        <f>IF(D61&lt;1.609,0,IF(B61="F",VLOOKUP(I61,Barem!$X$2:$Z$13,2,1),VLOOKUP(I61,Barem!$X$14:$Z$25,2,1)))</f>
        <v>0</v>
      </c>
      <c r="T61" s="21">
        <f>VLOOKUP(A61,Participanti!A:C,3,0)</f>
        <v>0</v>
      </c>
      <c r="U61" s="18">
        <f t="shared" si="30"/>
        <v>2.4386904761904762</v>
      </c>
      <c r="V61" s="58" t="s">
        <v>360</v>
      </c>
      <c r="W61" s="77">
        <f t="shared" si="1"/>
        <v>1</v>
      </c>
      <c r="X61" s="1" t="str">
        <f>VLOOKUP(A61,Data_Echipe!A:R,18,0)</f>
        <v>UltraHaita lu' Borcan</v>
      </c>
      <c r="Z61" s="115">
        <f t="shared" si="31"/>
        <v>1</v>
      </c>
    </row>
    <row r="62" spans="1:26" x14ac:dyDescent="0.3">
      <c r="A62" s="49" t="s">
        <v>124</v>
      </c>
      <c r="B62" s="1" t="str">
        <f>VLOOKUP(A62,Participanti!A:B,2,0)</f>
        <v>M</v>
      </c>
      <c r="C62" s="74">
        <v>1</v>
      </c>
      <c r="D62" s="50">
        <v>30.29</v>
      </c>
      <c r="E62" s="51">
        <v>7.8981481481481486E-2</v>
      </c>
      <c r="F62" s="51">
        <v>7.9293981481481479E-2</v>
      </c>
      <c r="G62" s="69">
        <f t="shared" si="26"/>
        <v>7.9137731481481483E-2</v>
      </c>
      <c r="H62" s="52"/>
      <c r="I62" s="12">
        <f t="shared" si="27"/>
        <v>2.612668586381033E-3</v>
      </c>
      <c r="J62" s="37">
        <f t="shared" si="28"/>
        <v>5</v>
      </c>
      <c r="K62" s="37">
        <f>IF(J62=0,0,IF(B62="F",VLOOKUP(I62,Barem!$G$2:$H$16,2,1),VLOOKUP(I62,Barem!$G$17:$H$31,2,1)))</f>
        <v>5</v>
      </c>
      <c r="L62" s="50">
        <v>3.5</v>
      </c>
      <c r="M62" s="124" t="s">
        <v>107</v>
      </c>
      <c r="N62" s="10">
        <f t="shared" si="19"/>
        <v>0.25</v>
      </c>
      <c r="O62" s="10">
        <f t="shared" si="19"/>
        <v>0.5</v>
      </c>
      <c r="P62" s="10">
        <f t="shared" si="19"/>
        <v>0.25</v>
      </c>
      <c r="Q62" s="40">
        <f t="shared" si="29"/>
        <v>0</v>
      </c>
      <c r="R62" s="21">
        <f>IF(D62&gt;21,VLOOKUP(D62,Barem!$T$1:$U$141,2,1),0)</f>
        <v>0.4</v>
      </c>
      <c r="S62" s="152">
        <f>IF(D62&lt;1.609,0,IF(B62="F",VLOOKUP(I62,Barem!$X$2:$Z$13,2,1),VLOOKUP(I62,Barem!$X$14:$Z$25,2,1)))</f>
        <v>1.4999999999999998</v>
      </c>
      <c r="T62" s="21">
        <f>VLOOKUP(A62,Participanti!A:C,3,0)</f>
        <v>0</v>
      </c>
      <c r="U62" s="18">
        <f t="shared" si="30"/>
        <v>6.5250000000000004</v>
      </c>
      <c r="V62" s="58" t="s">
        <v>360</v>
      </c>
      <c r="W62" s="77">
        <f t="shared" si="1"/>
        <v>1</v>
      </c>
      <c r="X62" s="1" t="str">
        <f>VLOOKUP(A62,Data_Echipe!A:R,18,0)</f>
        <v>#notSYRious</v>
      </c>
      <c r="Z62" s="115">
        <f t="shared" si="31"/>
        <v>1</v>
      </c>
    </row>
    <row r="63" spans="1:26" x14ac:dyDescent="0.3">
      <c r="A63" s="49" t="s">
        <v>53</v>
      </c>
      <c r="B63" s="1" t="str">
        <f>VLOOKUP(A63,Participanti!A:B,2,0)</f>
        <v>M</v>
      </c>
      <c r="C63" s="74">
        <v>1</v>
      </c>
      <c r="D63" s="50">
        <v>22.02</v>
      </c>
      <c r="E63" s="51">
        <v>0.10109953703703704</v>
      </c>
      <c r="F63" s="51">
        <v>0.10109953703703704</v>
      </c>
      <c r="G63" s="69">
        <f t="shared" si="26"/>
        <v>0.10109953703703704</v>
      </c>
      <c r="H63" s="52">
        <v>58</v>
      </c>
      <c r="I63" s="12">
        <f t="shared" si="27"/>
        <v>4.5912596292932359E-3</v>
      </c>
      <c r="J63" s="37">
        <f t="shared" si="28"/>
        <v>5</v>
      </c>
      <c r="K63" s="37">
        <f>IF(J63=0,0,IF(B63="F",VLOOKUP(I63,Barem!$G$2:$H$16,2,1),VLOOKUP(I63,Barem!$G$17:$H$31,2,1)))</f>
        <v>0.75</v>
      </c>
      <c r="L63" s="50">
        <v>2.5</v>
      </c>
      <c r="M63" s="124" t="s">
        <v>106</v>
      </c>
      <c r="N63" s="10">
        <f t="shared" ref="N63:P78" si="32">IF($M63=N$1,50%,25%)</f>
        <v>0.5</v>
      </c>
      <c r="O63" s="10">
        <f t="shared" si="32"/>
        <v>0.25</v>
      </c>
      <c r="P63" s="10">
        <f t="shared" si="32"/>
        <v>0.25</v>
      </c>
      <c r="Q63" s="40">
        <f t="shared" si="29"/>
        <v>3.8666666666666669E-2</v>
      </c>
      <c r="R63" s="21">
        <f>IF(D63&gt;21,VLOOKUP(D63,Barem!$T$1:$U$141,2,1),0)</f>
        <v>0</v>
      </c>
      <c r="S63" s="152">
        <f>IF(D63&lt;1.609,0,IF(B63="F",VLOOKUP(I63,Barem!$X$2:$Z$13,2,1),VLOOKUP(I63,Barem!$X$14:$Z$25,2,1)))</f>
        <v>0</v>
      </c>
      <c r="T63" s="21">
        <f>VLOOKUP(A63,Participanti!A:C,3,0)</f>
        <v>0</v>
      </c>
      <c r="U63" s="18">
        <f t="shared" si="30"/>
        <v>3.3511666666666668</v>
      </c>
      <c r="V63" s="58" t="s">
        <v>360</v>
      </c>
      <c r="W63" s="77">
        <f t="shared" si="1"/>
        <v>1</v>
      </c>
      <c r="X63" s="1" t="e">
        <f>VLOOKUP(A63,Data_Echipe!A:R,18,0)</f>
        <v>#N/A</v>
      </c>
      <c r="Z63" s="115">
        <f t="shared" si="31"/>
        <v>1</v>
      </c>
    </row>
    <row r="64" spans="1:26" x14ac:dyDescent="0.3">
      <c r="A64" s="49" t="s">
        <v>364</v>
      </c>
      <c r="B64" s="1" t="str">
        <f>VLOOKUP(A64,Participanti!A:B,2,0)</f>
        <v>M</v>
      </c>
      <c r="C64" s="74">
        <v>1</v>
      </c>
      <c r="D64" s="50">
        <v>6.55</v>
      </c>
      <c r="E64" s="51">
        <v>2.5023148148148145E-2</v>
      </c>
      <c r="F64" s="51">
        <v>2.5023148148148145E-2</v>
      </c>
      <c r="G64" s="69">
        <f t="shared" ref="G64:G66" si="33">AVERAGE(E64:F64)</f>
        <v>2.5023148148148145E-2</v>
      </c>
      <c r="H64" s="52"/>
      <c r="I64" s="12">
        <f t="shared" ref="I64:I66" si="34">G64/D64</f>
        <v>3.820327961549335E-3</v>
      </c>
      <c r="J64" s="37">
        <f t="shared" ref="J64:J66" si="35">IF(B64="F",IF(D64&lt;2.5,0,IF(D64&gt;19.99,5,D64/4)),IF(D64&lt;3,0, IF(D64&gt;20.99,5,D64/4.2)))</f>
        <v>1.5595238095238093</v>
      </c>
      <c r="K64" s="37">
        <f>IF(J64=0,0,IF(B64="F",VLOOKUP(I64,Barem!$G$2:$H$16,2,1),VLOOKUP(I64,Barem!$G$17:$H$31,2,1)))</f>
        <v>2</v>
      </c>
      <c r="L64" s="50">
        <v>1</v>
      </c>
      <c r="M64" s="124" t="s">
        <v>106</v>
      </c>
      <c r="N64" s="10">
        <f t="shared" si="19"/>
        <v>0.5</v>
      </c>
      <c r="O64" s="10">
        <f t="shared" si="19"/>
        <v>0.25</v>
      </c>
      <c r="P64" s="10">
        <f t="shared" si="19"/>
        <v>0.25</v>
      </c>
      <c r="Q64" s="40">
        <f t="shared" ref="Q64:Q66" si="36">IF(H64&gt;49,H64/1500,0)</f>
        <v>0</v>
      </c>
      <c r="R64" s="21">
        <f>IF(D64&gt;21,VLOOKUP(D64,Barem!$T$1:$U$141,2,1),0)</f>
        <v>0</v>
      </c>
      <c r="S64" s="152">
        <f>IF(D64&lt;1.609,0,IF(B64="F",VLOOKUP(I64,Barem!$X$2:$Z$13,2,1),VLOOKUP(I64,Barem!$X$14:$Z$25,2,1)))</f>
        <v>0</v>
      </c>
      <c r="T64" s="21">
        <f>VLOOKUP(A64,Participanti!A:C,3,0)</f>
        <v>0</v>
      </c>
      <c r="U64" s="18">
        <f t="shared" ref="U64:U66" si="37">IF(H64&lt;0,0,J64*N64+K64*O64+L64*P64+Q64+R64+S64+T64)</f>
        <v>1.5297619047619047</v>
      </c>
      <c r="V64" s="58" t="s">
        <v>360</v>
      </c>
      <c r="W64" s="77">
        <f t="shared" si="1"/>
        <v>1</v>
      </c>
      <c r="X64" s="1" t="e">
        <f>VLOOKUP(A64,Data_Echipe!A:R,18,0)</f>
        <v>#N/A</v>
      </c>
      <c r="Z64" s="115">
        <f t="shared" ref="Z64:Z66" si="38">IF(K64&gt;0,1,0)</f>
        <v>1</v>
      </c>
    </row>
    <row r="65" spans="1:26" x14ac:dyDescent="0.3">
      <c r="A65" s="49" t="s">
        <v>365</v>
      </c>
      <c r="B65" s="1" t="str">
        <f>VLOOKUP(A65,Participanti!A:B,2,0)</f>
        <v>M</v>
      </c>
      <c r="C65" s="74">
        <v>1</v>
      </c>
      <c r="D65" s="50">
        <v>5.15</v>
      </c>
      <c r="E65" s="51">
        <v>2.162037037037037E-2</v>
      </c>
      <c r="F65" s="51">
        <v>2.162037037037037E-2</v>
      </c>
      <c r="G65" s="69">
        <f t="shared" si="33"/>
        <v>2.162037037037037E-2</v>
      </c>
      <c r="H65" s="52"/>
      <c r="I65" s="12">
        <f t="shared" si="34"/>
        <v>4.1981301690039554E-3</v>
      </c>
      <c r="J65" s="37">
        <f t="shared" si="35"/>
        <v>1.2261904761904763</v>
      </c>
      <c r="K65" s="37">
        <f>IF(J65=0,0,IF(B65="F",VLOOKUP(I65,Barem!$G$2:$H$16,2,1),VLOOKUP(I65,Barem!$G$17:$H$31,2,1)))</f>
        <v>1.25</v>
      </c>
      <c r="L65" s="50">
        <v>0.75</v>
      </c>
      <c r="M65" s="124" t="s">
        <v>207</v>
      </c>
      <c r="N65" s="10">
        <f t="shared" si="32"/>
        <v>0.25</v>
      </c>
      <c r="O65" s="10">
        <f t="shared" si="32"/>
        <v>0.25</v>
      </c>
      <c r="P65" s="10">
        <f t="shared" si="32"/>
        <v>0.5</v>
      </c>
      <c r="Q65" s="40">
        <f t="shared" si="36"/>
        <v>0</v>
      </c>
      <c r="R65" s="21">
        <f>IF(D65&gt;21,VLOOKUP(D65,Barem!$T$1:$U$141,2,1),0)</f>
        <v>0</v>
      </c>
      <c r="S65" s="152">
        <f>IF(D65&lt;1.609,0,IF(B65="F",VLOOKUP(I65,Barem!$X$2:$Z$13,2,1),VLOOKUP(I65,Barem!$X$14:$Z$25,2,1)))</f>
        <v>0</v>
      </c>
      <c r="T65" s="21">
        <f>VLOOKUP(A65,Participanti!A:C,3,0)</f>
        <v>0</v>
      </c>
      <c r="U65" s="18">
        <f t="shared" si="37"/>
        <v>0.99404761904761907</v>
      </c>
      <c r="V65" s="58" t="s">
        <v>360</v>
      </c>
      <c r="W65" s="77">
        <f t="shared" si="1"/>
        <v>1</v>
      </c>
      <c r="X65" s="1" t="str">
        <f>VLOOKUP(A65,Data_Echipe!A:R,18,0)</f>
        <v>MedgidiaRunning</v>
      </c>
      <c r="Z65" s="115">
        <f t="shared" si="38"/>
        <v>1</v>
      </c>
    </row>
    <row r="66" spans="1:26" x14ac:dyDescent="0.3">
      <c r="A66" s="49" t="s">
        <v>366</v>
      </c>
      <c r="B66" s="1" t="str">
        <f>VLOOKUP(A66,Participanti!A:B,2,0)</f>
        <v>M</v>
      </c>
      <c r="C66" s="74">
        <v>1</v>
      </c>
      <c r="D66" s="50">
        <v>13.03</v>
      </c>
      <c r="E66" s="51">
        <v>4.0138888888888884E-2</v>
      </c>
      <c r="F66" s="51">
        <v>4.0138888888888884E-2</v>
      </c>
      <c r="G66" s="69">
        <f t="shared" si="33"/>
        <v>4.0138888888888884E-2</v>
      </c>
      <c r="H66" s="52"/>
      <c r="I66" s="12">
        <f t="shared" si="34"/>
        <v>3.0804979960774278E-3</v>
      </c>
      <c r="J66" s="37">
        <f t="shared" si="35"/>
        <v>3.102380952380952</v>
      </c>
      <c r="K66" s="37">
        <f>IF(J66=0,0,IF(B66="F",VLOOKUP(I66,Barem!$G$2:$H$16,2,1),VLOOKUP(I66,Barem!$G$17:$H$31,2,1)))</f>
        <v>4</v>
      </c>
      <c r="L66" s="50">
        <v>3</v>
      </c>
      <c r="M66" s="124" t="s">
        <v>107</v>
      </c>
      <c r="N66" s="10">
        <f t="shared" si="32"/>
        <v>0.25</v>
      </c>
      <c r="O66" s="10">
        <f t="shared" si="32"/>
        <v>0.5</v>
      </c>
      <c r="P66" s="10">
        <f t="shared" si="32"/>
        <v>0.25</v>
      </c>
      <c r="Q66" s="40">
        <f t="shared" si="36"/>
        <v>0</v>
      </c>
      <c r="R66" s="21">
        <f>IF(D66&gt;21,VLOOKUP(D66,Barem!$T$1:$U$141,2,1),0)</f>
        <v>0</v>
      </c>
      <c r="S66" s="152">
        <f>IF(D66&lt;1.609,0,IF(B66="F",VLOOKUP(I66,Barem!$X$2:$Z$13,2,1),VLOOKUP(I66,Barem!$X$14:$Z$25,2,1)))</f>
        <v>0</v>
      </c>
      <c r="T66" s="21">
        <f>VLOOKUP(A66,Participanti!A:C,3,0)</f>
        <v>0</v>
      </c>
      <c r="U66" s="18">
        <f t="shared" si="37"/>
        <v>3.5255952380952378</v>
      </c>
      <c r="V66" s="58" t="s">
        <v>360</v>
      </c>
      <c r="W66" s="77">
        <f t="shared" ref="W66:W129" si="39">COUNTIFS(A:A,A66,C:C,C66)</f>
        <v>1</v>
      </c>
      <c r="X66" s="1" t="str">
        <f>VLOOKUP(A66,Data_Echipe!A:R,18,0)</f>
        <v>The GOATs</v>
      </c>
      <c r="Z66" s="115">
        <f t="shared" si="38"/>
        <v>1</v>
      </c>
    </row>
    <row r="67" spans="1:26" x14ac:dyDescent="0.3">
      <c r="A67" s="49" t="s">
        <v>292</v>
      </c>
      <c r="B67" s="1" t="str">
        <f>VLOOKUP(A67,Participanti!A:B,2,0)</f>
        <v>F</v>
      </c>
      <c r="C67" s="74">
        <v>1</v>
      </c>
      <c r="D67" s="50">
        <v>12.7</v>
      </c>
      <c r="E67" s="51">
        <v>6.7592592592592593E-2</v>
      </c>
      <c r="F67" s="51">
        <v>8.082175925925926E-2</v>
      </c>
      <c r="G67" s="69">
        <f t="shared" ref="G67:G82" si="40">AVERAGE(E67:F67)</f>
        <v>7.4207175925925933E-2</v>
      </c>
      <c r="H67" s="52">
        <v>471</v>
      </c>
      <c r="I67" s="12">
        <f t="shared" ref="I67:I82" si="41">G67/D67</f>
        <v>5.8430847185768457E-3</v>
      </c>
      <c r="J67" s="37">
        <f t="shared" ref="J67:J82" si="42">IF(B67="F",IF(D67&lt;2.5,0,IF(D67&gt;19.99,5,D67/4)),IF(D67&lt;3,0, IF(D67&gt;20.99,5,D67/4.2)))</f>
        <v>3.1749999999999998</v>
      </c>
      <c r="K67" s="37">
        <f>IF(J67=0,0,IF(B67="F",VLOOKUP(I67,Barem!$G$2:$H$16,2,1),VLOOKUP(I67,Barem!$G$17:$H$31,2,1)))</f>
        <v>0.25</v>
      </c>
      <c r="L67" s="50">
        <v>1</v>
      </c>
      <c r="M67" s="124" t="s">
        <v>106</v>
      </c>
      <c r="N67" s="10">
        <f t="shared" si="32"/>
        <v>0.5</v>
      </c>
      <c r="O67" s="10">
        <f t="shared" si="32"/>
        <v>0.25</v>
      </c>
      <c r="P67" s="10">
        <f t="shared" si="32"/>
        <v>0.25</v>
      </c>
      <c r="Q67" s="40">
        <f t="shared" ref="Q67:Q82" si="43">IF(H67&gt;49,H67/1500,0)</f>
        <v>0.314</v>
      </c>
      <c r="R67" s="21">
        <f>IF(D67&gt;21,VLOOKUP(D67,Barem!$T$1:$U$141,2,1),0)</f>
        <v>0</v>
      </c>
      <c r="S67" s="152">
        <f>IF(D67&lt;1.609,0,IF(B67="F",VLOOKUP(I67,Barem!$X$2:$Z$13,2,1),VLOOKUP(I67,Barem!$X$14:$Z$25,2,1)))</f>
        <v>0</v>
      </c>
      <c r="T67" s="21">
        <f>VLOOKUP(A67,Participanti!A:C,3,0)</f>
        <v>0</v>
      </c>
      <c r="U67" s="18">
        <f t="shared" ref="U67:U82" si="44">IF(H67&lt;0,0,J67*N67+K67*O67+L67*P67+Q67+R67+S67+T67)</f>
        <v>2.214</v>
      </c>
      <c r="V67" s="58" t="s">
        <v>360</v>
      </c>
      <c r="W67" s="77">
        <f t="shared" si="39"/>
        <v>1</v>
      </c>
      <c r="X67" s="1" t="e">
        <f>VLOOKUP(A67,Data_Echipe!A:R,18,0)</f>
        <v>#N/A</v>
      </c>
      <c r="Z67" s="115">
        <f t="shared" ref="Z67:Z82" si="45">IF(K67&gt;0,1,0)</f>
        <v>1</v>
      </c>
    </row>
    <row r="68" spans="1:26" x14ac:dyDescent="0.3">
      <c r="A68" s="49" t="s">
        <v>367</v>
      </c>
      <c r="B68" s="1" t="str">
        <f>VLOOKUP(A68,Participanti!A:B,2,0)</f>
        <v>F</v>
      </c>
      <c r="C68" s="74">
        <v>1</v>
      </c>
      <c r="D68" s="50">
        <v>5</v>
      </c>
      <c r="E68" s="51">
        <v>1.996527777777778E-2</v>
      </c>
      <c r="F68" s="51">
        <v>1.996527777777778E-2</v>
      </c>
      <c r="G68" s="69">
        <f t="shared" si="40"/>
        <v>1.996527777777778E-2</v>
      </c>
      <c r="H68" s="52"/>
      <c r="I68" s="12">
        <f t="shared" si="41"/>
        <v>3.9930555555555561E-3</v>
      </c>
      <c r="J68" s="37">
        <f t="shared" si="42"/>
        <v>1.25</v>
      </c>
      <c r="K68" s="37">
        <f>IF(J68=0,0,IF(B68="F",VLOOKUP(I68,Barem!$G$2:$H$16,2,1),VLOOKUP(I68,Barem!$G$17:$H$31,2,1)))</f>
        <v>2.5</v>
      </c>
      <c r="L68" s="50">
        <v>0</v>
      </c>
      <c r="M68" s="124" t="s">
        <v>107</v>
      </c>
      <c r="N68" s="10">
        <f t="shared" si="32"/>
        <v>0.25</v>
      </c>
      <c r="O68" s="10">
        <f t="shared" si="32"/>
        <v>0.5</v>
      </c>
      <c r="P68" s="10">
        <f t="shared" si="32"/>
        <v>0.25</v>
      </c>
      <c r="Q68" s="40">
        <f t="shared" si="43"/>
        <v>0</v>
      </c>
      <c r="R68" s="21">
        <f>IF(D68&gt;21,VLOOKUP(D68,Barem!$T$1:$U$141,2,1),0)</f>
        <v>0</v>
      </c>
      <c r="S68" s="152">
        <f>IF(D68&lt;1.609,0,IF(B68="F",VLOOKUP(I68,Barem!$X$2:$Z$13,2,1),VLOOKUP(I68,Barem!$X$14:$Z$25,2,1)))</f>
        <v>0</v>
      </c>
      <c r="T68" s="21">
        <f>VLOOKUP(A68,Participanti!A:C,3,0)</f>
        <v>0</v>
      </c>
      <c r="U68" s="18">
        <f t="shared" si="44"/>
        <v>1.5625</v>
      </c>
      <c r="V68" s="58" t="s">
        <v>360</v>
      </c>
      <c r="W68" s="77">
        <f t="shared" si="39"/>
        <v>1</v>
      </c>
      <c r="X68" s="1" t="e">
        <f>VLOOKUP(A68,Data_Echipe!A:R,18,0)</f>
        <v>#N/A</v>
      </c>
      <c r="Z68" s="115">
        <f t="shared" si="45"/>
        <v>1</v>
      </c>
    </row>
    <row r="69" spans="1:26" x14ac:dyDescent="0.3">
      <c r="A69" s="49" t="s">
        <v>368</v>
      </c>
      <c r="B69" s="1" t="str">
        <f>VLOOKUP(A69,Participanti!A:B,2,0)</f>
        <v>M</v>
      </c>
      <c r="C69" s="74">
        <v>1</v>
      </c>
      <c r="D69" s="50">
        <v>10.32</v>
      </c>
      <c r="E69" s="51">
        <v>3.6261574074074078E-2</v>
      </c>
      <c r="F69" s="51">
        <v>3.6516203703703703E-2</v>
      </c>
      <c r="G69" s="69">
        <f t="shared" si="40"/>
        <v>3.6388888888888887E-2</v>
      </c>
      <c r="H69" s="52"/>
      <c r="I69" s="12">
        <f t="shared" si="41"/>
        <v>3.526055124892334E-3</v>
      </c>
      <c r="J69" s="37">
        <f t="shared" si="42"/>
        <v>2.4571428571428573</v>
      </c>
      <c r="K69" s="37">
        <f>IF(J69=0,0,IF(B69="F",VLOOKUP(I69,Barem!$G$2:$H$16,2,1),VLOOKUP(I69,Barem!$G$17:$H$31,2,1)))</f>
        <v>2.5</v>
      </c>
      <c r="L69" s="50">
        <v>0.5</v>
      </c>
      <c r="M69" s="124" t="s">
        <v>106</v>
      </c>
      <c r="N69" s="10">
        <f t="shared" si="32"/>
        <v>0.5</v>
      </c>
      <c r="O69" s="10">
        <f t="shared" si="32"/>
        <v>0.25</v>
      </c>
      <c r="P69" s="10">
        <f t="shared" si="32"/>
        <v>0.25</v>
      </c>
      <c r="Q69" s="40">
        <f t="shared" si="43"/>
        <v>0</v>
      </c>
      <c r="R69" s="21">
        <f>IF(D69&gt;21,VLOOKUP(D69,Barem!$T$1:$U$141,2,1),0)</f>
        <v>0</v>
      </c>
      <c r="S69" s="152">
        <f>IF(D69&lt;1.609,0,IF(B69="F",VLOOKUP(I69,Barem!$X$2:$Z$13,2,1),VLOOKUP(I69,Barem!$X$14:$Z$25,2,1)))</f>
        <v>0</v>
      </c>
      <c r="T69" s="21">
        <f>VLOOKUP(A69,Participanti!A:C,3,0)</f>
        <v>0</v>
      </c>
      <c r="U69" s="18">
        <f t="shared" si="44"/>
        <v>1.9785714285714286</v>
      </c>
      <c r="V69" s="58" t="s">
        <v>360</v>
      </c>
      <c r="W69" s="77">
        <f t="shared" si="39"/>
        <v>1</v>
      </c>
      <c r="X69" s="1" t="str">
        <f>VLOOKUP(A69,Data_Echipe!A:R,18,0)</f>
        <v>Almost Kenyan Runners</v>
      </c>
      <c r="Z69" s="115">
        <f t="shared" si="45"/>
        <v>1</v>
      </c>
    </row>
    <row r="70" spans="1:26" x14ac:dyDescent="0.3">
      <c r="A70" s="49" t="s">
        <v>241</v>
      </c>
      <c r="B70" s="1" t="str">
        <f>VLOOKUP(A70,Participanti!A:B,2,0)</f>
        <v>F</v>
      </c>
      <c r="C70" s="74">
        <v>1</v>
      </c>
      <c r="D70" s="50">
        <v>5.01</v>
      </c>
      <c r="E70" s="51">
        <v>2.148148148148148E-2</v>
      </c>
      <c r="F70" s="51">
        <v>2.2291666666666668E-2</v>
      </c>
      <c r="G70" s="69">
        <f t="shared" si="40"/>
        <v>2.1886574074074072E-2</v>
      </c>
      <c r="H70" s="52"/>
      <c r="I70" s="12">
        <f t="shared" si="41"/>
        <v>4.3685776594958228E-3</v>
      </c>
      <c r="J70" s="37">
        <f t="shared" si="42"/>
        <v>1.2524999999999999</v>
      </c>
      <c r="K70" s="37">
        <f>IF(J70=0,0,IF(B70="F",VLOOKUP(I70,Barem!$G$2:$H$16,2,1),VLOOKUP(I70,Barem!$G$17:$H$31,2,1)))</f>
        <v>1.5</v>
      </c>
      <c r="L70" s="50">
        <v>1.5</v>
      </c>
      <c r="M70" s="124" t="s">
        <v>106</v>
      </c>
      <c r="N70" s="10">
        <f t="shared" si="32"/>
        <v>0.5</v>
      </c>
      <c r="O70" s="10">
        <f t="shared" si="32"/>
        <v>0.25</v>
      </c>
      <c r="P70" s="10">
        <f t="shared" si="32"/>
        <v>0.25</v>
      </c>
      <c r="Q70" s="40">
        <f t="shared" si="43"/>
        <v>0</v>
      </c>
      <c r="R70" s="21">
        <f>IF(D70&gt;21,VLOOKUP(D70,Barem!$T$1:$U$141,2,1),0)</f>
        <v>0</v>
      </c>
      <c r="S70" s="152">
        <f>IF(D70&lt;1.609,0,IF(B70="F",VLOOKUP(I70,Barem!$X$2:$Z$13,2,1),VLOOKUP(I70,Barem!$X$14:$Z$25,2,1)))</f>
        <v>0</v>
      </c>
      <c r="T70" s="21">
        <f>VLOOKUP(A70,Participanti!A:C,3,0)</f>
        <v>0</v>
      </c>
      <c r="U70" s="18">
        <f t="shared" si="44"/>
        <v>1.37625</v>
      </c>
      <c r="V70" s="58" t="s">
        <v>360</v>
      </c>
      <c r="W70" s="77">
        <f t="shared" si="39"/>
        <v>1</v>
      </c>
      <c r="X70" s="1" t="str">
        <f>VLOOKUP(A70,Data_Echipe!A:R,18,0)</f>
        <v>Almost Kenyan Runners</v>
      </c>
      <c r="Z70" s="115">
        <f t="shared" si="45"/>
        <v>1</v>
      </c>
    </row>
    <row r="71" spans="1:26" x14ac:dyDescent="0.3">
      <c r="A71" s="49" t="s">
        <v>128</v>
      </c>
      <c r="B71" s="1" t="str">
        <f>VLOOKUP(A71,Participanti!A:B,2,0)</f>
        <v>M</v>
      </c>
      <c r="C71" s="74">
        <v>1</v>
      </c>
      <c r="D71" s="50">
        <v>22</v>
      </c>
      <c r="E71" s="51">
        <v>7.4131944444444445E-2</v>
      </c>
      <c r="F71" s="51">
        <v>7.4131944444444445E-2</v>
      </c>
      <c r="G71" s="69">
        <f t="shared" si="40"/>
        <v>7.4131944444444445E-2</v>
      </c>
      <c r="H71" s="52"/>
      <c r="I71" s="12">
        <f t="shared" si="41"/>
        <v>3.3696338383838384E-3</v>
      </c>
      <c r="J71" s="37">
        <f t="shared" si="42"/>
        <v>5</v>
      </c>
      <c r="K71" s="37">
        <f>IF(J71=0,0,IF(B71="F",VLOOKUP(I71,Barem!$G$2:$H$16,2,1),VLOOKUP(I71,Barem!$G$17:$H$31,2,1)))</f>
        <v>3</v>
      </c>
      <c r="L71" s="50">
        <v>1</v>
      </c>
      <c r="M71" s="124" t="s">
        <v>106</v>
      </c>
      <c r="N71" s="10">
        <f t="shared" si="32"/>
        <v>0.5</v>
      </c>
      <c r="O71" s="10">
        <f t="shared" si="32"/>
        <v>0.25</v>
      </c>
      <c r="P71" s="10">
        <f t="shared" si="32"/>
        <v>0.25</v>
      </c>
      <c r="Q71" s="40">
        <f t="shared" si="43"/>
        <v>0</v>
      </c>
      <c r="R71" s="21">
        <f>IF(D71&gt;21,VLOOKUP(D71,Barem!$T$1:$U$141,2,1),0)</f>
        <v>0</v>
      </c>
      <c r="S71" s="152">
        <f>IF(D71&lt;1.609,0,IF(B71="F",VLOOKUP(I71,Barem!$X$2:$Z$13,2,1),VLOOKUP(I71,Barem!$X$14:$Z$25,2,1)))</f>
        <v>0</v>
      </c>
      <c r="T71" s="21">
        <f>VLOOKUP(A71,Participanti!A:C,3,0)</f>
        <v>0</v>
      </c>
      <c r="U71" s="18">
        <f t="shared" si="44"/>
        <v>3.5</v>
      </c>
      <c r="V71" s="58" t="s">
        <v>360</v>
      </c>
      <c r="W71" s="77">
        <f t="shared" si="39"/>
        <v>1</v>
      </c>
      <c r="X71" s="1" t="str">
        <f>VLOOKUP(A71,Data_Echipe!A:R,18,0)</f>
        <v>Almost Kenyan Runners</v>
      </c>
      <c r="Z71" s="115">
        <f t="shared" si="45"/>
        <v>1</v>
      </c>
    </row>
    <row r="72" spans="1:26" x14ac:dyDescent="0.3">
      <c r="A72" s="49" t="s">
        <v>136</v>
      </c>
      <c r="B72" s="1" t="str">
        <f>VLOOKUP(A72,Participanti!A:B,2,0)</f>
        <v>F</v>
      </c>
      <c r="C72" s="74">
        <v>1</v>
      </c>
      <c r="D72" s="50">
        <v>9.52</v>
      </c>
      <c r="E72" s="51">
        <v>5.4872685185185184E-2</v>
      </c>
      <c r="F72" s="51">
        <v>7.9409722222222215E-2</v>
      </c>
      <c r="G72" s="69">
        <f t="shared" si="40"/>
        <v>6.7141203703703703E-2</v>
      </c>
      <c r="H72" s="52">
        <v>412</v>
      </c>
      <c r="I72" s="12">
        <f t="shared" si="41"/>
        <v>7.0526474478680365E-3</v>
      </c>
      <c r="J72" s="37">
        <f t="shared" si="42"/>
        <v>2.38</v>
      </c>
      <c r="K72" s="37">
        <f>IF(J72=0,0,IF(B72="F",VLOOKUP(I72,Barem!$G$2:$H$16,2,1),VLOOKUP(I72,Barem!$G$17:$H$31,2,1)))</f>
        <v>0</v>
      </c>
      <c r="L72" s="50">
        <v>3</v>
      </c>
      <c r="M72" s="124" t="s">
        <v>106</v>
      </c>
      <c r="N72" s="10">
        <f t="shared" si="32"/>
        <v>0.5</v>
      </c>
      <c r="O72" s="10">
        <f t="shared" si="32"/>
        <v>0.25</v>
      </c>
      <c r="P72" s="10">
        <f t="shared" si="32"/>
        <v>0.25</v>
      </c>
      <c r="Q72" s="40">
        <f t="shared" si="43"/>
        <v>0.27466666666666667</v>
      </c>
      <c r="R72" s="21">
        <f>IF(D72&gt;21,VLOOKUP(D72,Barem!$T$1:$U$141,2,1),0)</f>
        <v>0</v>
      </c>
      <c r="S72" s="152">
        <f>IF(D72&lt;1.609,0,IF(B72="F",VLOOKUP(I72,Barem!$X$2:$Z$13,2,1),VLOOKUP(I72,Barem!$X$14:$Z$25,2,1)))</f>
        <v>0</v>
      </c>
      <c r="T72" s="21">
        <f>VLOOKUP(A72,Participanti!A:C,3,0)</f>
        <v>0</v>
      </c>
      <c r="U72" s="18">
        <f t="shared" si="44"/>
        <v>2.2146666666666666</v>
      </c>
      <c r="V72" s="58" t="s">
        <v>360</v>
      </c>
      <c r="W72" s="77">
        <f t="shared" si="39"/>
        <v>1</v>
      </c>
      <c r="X72" s="1" t="e">
        <f>VLOOKUP(A72,Data_Echipe!A:R,18,0)</f>
        <v>#N/A</v>
      </c>
      <c r="Z72" s="115">
        <f t="shared" si="45"/>
        <v>0</v>
      </c>
    </row>
    <row r="73" spans="1:26" x14ac:dyDescent="0.3">
      <c r="A73" s="49" t="s">
        <v>369</v>
      </c>
      <c r="B73" s="1" t="str">
        <f>VLOOKUP(A73,Participanti!A:B,2,0)</f>
        <v>M</v>
      </c>
      <c r="C73" s="74">
        <v>1</v>
      </c>
      <c r="D73" s="50">
        <v>12.11</v>
      </c>
      <c r="E73" s="51">
        <v>0.16341435185185185</v>
      </c>
      <c r="F73" s="51">
        <v>0.18792824074074074</v>
      </c>
      <c r="G73" s="69">
        <f t="shared" si="40"/>
        <v>0.1756712962962963</v>
      </c>
      <c r="H73" s="52">
        <v>281</v>
      </c>
      <c r="I73" s="12">
        <f t="shared" si="41"/>
        <v>1.4506300272196227E-2</v>
      </c>
      <c r="J73" s="37">
        <f t="shared" si="42"/>
        <v>2.8833333333333329</v>
      </c>
      <c r="K73" s="37">
        <f>IF(J73=0,0,IF(B73="F",VLOOKUP(I73,Barem!$G$2:$H$16,2,1),VLOOKUP(I73,Barem!$G$17:$H$31,2,1)))</f>
        <v>0</v>
      </c>
      <c r="L73" s="50">
        <v>2.75</v>
      </c>
      <c r="M73" s="124" t="s">
        <v>207</v>
      </c>
      <c r="N73" s="10">
        <f t="shared" si="32"/>
        <v>0.25</v>
      </c>
      <c r="O73" s="10">
        <f t="shared" si="32"/>
        <v>0.25</v>
      </c>
      <c r="P73" s="10">
        <f t="shared" si="32"/>
        <v>0.5</v>
      </c>
      <c r="Q73" s="40">
        <f t="shared" si="43"/>
        <v>0.18733333333333332</v>
      </c>
      <c r="R73" s="21">
        <f>IF(D73&gt;21,VLOOKUP(D73,Barem!$T$1:$U$141,2,1),0)</f>
        <v>0</v>
      </c>
      <c r="S73" s="152">
        <f>IF(D73&lt;1.609,0,IF(B73="F",VLOOKUP(I73,Barem!$X$2:$Z$13,2,1),VLOOKUP(I73,Barem!$X$14:$Z$25,2,1)))</f>
        <v>0</v>
      </c>
      <c r="T73" s="21">
        <f>VLOOKUP(A73,Participanti!A:C,3,0)</f>
        <v>0</v>
      </c>
      <c r="U73" s="18">
        <f t="shared" si="44"/>
        <v>2.2831666666666663</v>
      </c>
      <c r="V73" s="58" t="s">
        <v>360</v>
      </c>
      <c r="W73" s="77">
        <f t="shared" si="39"/>
        <v>1</v>
      </c>
      <c r="X73" s="1" t="str">
        <f>VLOOKUP(A73,Data_Echipe!A:R,18,0)</f>
        <v>MedgidiaRunning</v>
      </c>
      <c r="Z73" s="115">
        <f t="shared" si="45"/>
        <v>0</v>
      </c>
    </row>
    <row r="74" spans="1:26" x14ac:dyDescent="0.3">
      <c r="A74" s="49" t="s">
        <v>370</v>
      </c>
      <c r="B74" s="1" t="str">
        <f>VLOOKUP(A74,Participanti!A:B,2,0)</f>
        <v>F</v>
      </c>
      <c r="C74" s="74">
        <v>1</v>
      </c>
      <c r="D74" s="50">
        <v>7.07</v>
      </c>
      <c r="E74" s="51">
        <v>2.7962962962962964E-2</v>
      </c>
      <c r="F74" s="51">
        <v>2.7962962962962964E-2</v>
      </c>
      <c r="G74" s="69">
        <f t="shared" si="40"/>
        <v>2.7962962962962964E-2</v>
      </c>
      <c r="H74" s="52"/>
      <c r="I74" s="12">
        <f t="shared" si="41"/>
        <v>3.9551574205039554E-3</v>
      </c>
      <c r="J74" s="37">
        <f t="shared" si="42"/>
        <v>1.7675000000000001</v>
      </c>
      <c r="K74" s="37">
        <f>IF(J74=0,0,IF(B74="F",VLOOKUP(I74,Barem!$G$2:$H$16,2,1),VLOOKUP(I74,Barem!$G$17:$H$31,2,1)))</f>
        <v>2.5</v>
      </c>
      <c r="L74" s="50">
        <v>2.5</v>
      </c>
      <c r="M74" s="124" t="s">
        <v>107</v>
      </c>
      <c r="N74" s="10">
        <f t="shared" si="32"/>
        <v>0.25</v>
      </c>
      <c r="O74" s="10">
        <f t="shared" si="32"/>
        <v>0.5</v>
      </c>
      <c r="P74" s="10">
        <f t="shared" si="32"/>
        <v>0.25</v>
      </c>
      <c r="Q74" s="40">
        <f t="shared" si="43"/>
        <v>0</v>
      </c>
      <c r="R74" s="21">
        <f>IF(D74&gt;21,VLOOKUP(D74,Barem!$T$1:$U$141,2,1),0)</f>
        <v>0</v>
      </c>
      <c r="S74" s="152">
        <f>IF(D74&lt;1.609,0,IF(B74="F",VLOOKUP(I74,Barem!$X$2:$Z$13,2,1),VLOOKUP(I74,Barem!$X$14:$Z$25,2,1)))</f>
        <v>0</v>
      </c>
      <c r="T74" s="21">
        <f>VLOOKUP(A74,Participanti!A:C,3,0)</f>
        <v>0</v>
      </c>
      <c r="U74" s="18">
        <f t="shared" si="44"/>
        <v>2.316875</v>
      </c>
      <c r="V74" s="58" t="s">
        <v>360</v>
      </c>
      <c r="W74" s="77">
        <f t="shared" si="39"/>
        <v>1</v>
      </c>
      <c r="X74" s="1" t="e">
        <f>VLOOKUP(A74,Data_Echipe!A:R,18,0)</f>
        <v>#N/A</v>
      </c>
      <c r="Z74" s="115">
        <f t="shared" si="45"/>
        <v>1</v>
      </c>
    </row>
    <row r="75" spans="1:26" x14ac:dyDescent="0.3">
      <c r="A75" s="49" t="s">
        <v>371</v>
      </c>
      <c r="B75" s="1" t="str">
        <f>VLOOKUP(A75,Participanti!A:B,2,0)</f>
        <v>F</v>
      </c>
      <c r="C75" s="74">
        <v>1</v>
      </c>
      <c r="D75" s="50">
        <v>10</v>
      </c>
      <c r="E75" s="51">
        <v>4.3668981481481482E-2</v>
      </c>
      <c r="F75" s="51">
        <v>4.3668981481481482E-2</v>
      </c>
      <c r="G75" s="69">
        <f t="shared" si="40"/>
        <v>4.3668981481481482E-2</v>
      </c>
      <c r="H75" s="52"/>
      <c r="I75" s="12">
        <f t="shared" si="41"/>
        <v>4.3668981481481484E-3</v>
      </c>
      <c r="J75" s="37">
        <f t="shared" si="42"/>
        <v>2.5</v>
      </c>
      <c r="K75" s="37">
        <f>IF(J75=0,0,IF(B75="F",VLOOKUP(I75,Barem!$G$2:$H$16,2,1),VLOOKUP(I75,Barem!$G$17:$H$31,2,1)))</f>
        <v>1.5</v>
      </c>
      <c r="L75" s="50">
        <v>1.5</v>
      </c>
      <c r="M75" s="124" t="s">
        <v>106</v>
      </c>
      <c r="N75" s="10">
        <f t="shared" si="32"/>
        <v>0.5</v>
      </c>
      <c r="O75" s="10">
        <f t="shared" si="32"/>
        <v>0.25</v>
      </c>
      <c r="P75" s="10">
        <f t="shared" si="32"/>
        <v>0.25</v>
      </c>
      <c r="Q75" s="40">
        <f t="shared" si="43"/>
        <v>0</v>
      </c>
      <c r="R75" s="21">
        <f>IF(D75&gt;21,VLOOKUP(D75,Barem!$T$1:$U$141,2,1),0)</f>
        <v>0</v>
      </c>
      <c r="S75" s="152">
        <f>IF(D75&lt;1.609,0,IF(B75="F",VLOOKUP(I75,Barem!$X$2:$Z$13,2,1),VLOOKUP(I75,Barem!$X$14:$Z$25,2,1)))</f>
        <v>0</v>
      </c>
      <c r="T75" s="21">
        <f>VLOOKUP(A75,Participanti!A:C,3,0)</f>
        <v>0</v>
      </c>
      <c r="U75" s="18">
        <f t="shared" si="44"/>
        <v>2</v>
      </c>
      <c r="V75" s="58" t="s">
        <v>360</v>
      </c>
      <c r="W75" s="77">
        <f t="shared" si="39"/>
        <v>1</v>
      </c>
      <c r="X75" s="1" t="e">
        <f>VLOOKUP(A75,Data_Echipe!A:R,18,0)</f>
        <v>#N/A</v>
      </c>
      <c r="Z75" s="115">
        <f t="shared" si="45"/>
        <v>1</v>
      </c>
    </row>
    <row r="76" spans="1:26" x14ac:dyDescent="0.3">
      <c r="A76" s="49" t="s">
        <v>177</v>
      </c>
      <c r="B76" s="1" t="str">
        <f>VLOOKUP(A76,Participanti!A:B,2,0)</f>
        <v>F</v>
      </c>
      <c r="C76" s="74">
        <v>1</v>
      </c>
      <c r="D76" s="50">
        <v>5.05</v>
      </c>
      <c r="E76" s="51">
        <v>2.1817129629629631E-2</v>
      </c>
      <c r="F76" s="51">
        <v>2.4479166666666666E-2</v>
      </c>
      <c r="G76" s="69">
        <f t="shared" si="40"/>
        <v>2.3148148148148147E-2</v>
      </c>
      <c r="H76" s="52"/>
      <c r="I76" s="12">
        <f t="shared" si="41"/>
        <v>4.5837917125045834E-3</v>
      </c>
      <c r="J76" s="37">
        <f t="shared" si="42"/>
        <v>1.2625</v>
      </c>
      <c r="K76" s="37">
        <f>IF(J76=0,0,IF(B76="F",VLOOKUP(I76,Barem!$G$2:$H$16,2,1),VLOOKUP(I76,Barem!$G$17:$H$31,2,1)))</f>
        <v>1.25</v>
      </c>
      <c r="L76" s="50">
        <v>2.5</v>
      </c>
      <c r="M76" s="124" t="s">
        <v>207</v>
      </c>
      <c r="N76" s="10">
        <f t="shared" si="32"/>
        <v>0.25</v>
      </c>
      <c r="O76" s="10">
        <f t="shared" si="32"/>
        <v>0.25</v>
      </c>
      <c r="P76" s="10">
        <f t="shared" si="32"/>
        <v>0.5</v>
      </c>
      <c r="Q76" s="40">
        <f t="shared" si="43"/>
        <v>0</v>
      </c>
      <c r="R76" s="21">
        <f>IF(D76&gt;21,VLOOKUP(D76,Barem!$T$1:$U$141,2,1),0)</f>
        <v>0</v>
      </c>
      <c r="S76" s="152">
        <f>IF(D76&lt;1.609,0,IF(B76="F",VLOOKUP(I76,Barem!$X$2:$Z$13,2,1),VLOOKUP(I76,Barem!$X$14:$Z$25,2,1)))</f>
        <v>0</v>
      </c>
      <c r="T76" s="21">
        <f>VLOOKUP(A76,Participanti!A:C,3,0)</f>
        <v>0</v>
      </c>
      <c r="U76" s="18">
        <f t="shared" si="44"/>
        <v>1.878125</v>
      </c>
      <c r="V76" s="58" t="s">
        <v>372</v>
      </c>
      <c r="W76" s="77">
        <f t="shared" si="39"/>
        <v>1</v>
      </c>
      <c r="X76" s="1" t="str">
        <f>VLOOKUP(A76,Data_Echipe!A:R,18,0)</f>
        <v>UltraHaita lu' Borcan</v>
      </c>
      <c r="Z76" s="115">
        <f t="shared" si="45"/>
        <v>1</v>
      </c>
    </row>
    <row r="77" spans="1:26" x14ac:dyDescent="0.3">
      <c r="A77" s="49" t="s">
        <v>116</v>
      </c>
      <c r="B77" s="1" t="str">
        <f>VLOOKUP(A77,Participanti!A:B,2,0)</f>
        <v>F</v>
      </c>
      <c r="C77" s="74">
        <v>1</v>
      </c>
      <c r="D77" s="50">
        <v>10</v>
      </c>
      <c r="E77" s="51">
        <v>4.0196759259259258E-2</v>
      </c>
      <c r="F77" s="51">
        <v>4.3761574074074078E-2</v>
      </c>
      <c r="G77" s="69">
        <f t="shared" si="40"/>
        <v>4.1979166666666665E-2</v>
      </c>
      <c r="H77" s="52"/>
      <c r="I77" s="12">
        <f t="shared" si="41"/>
        <v>4.1979166666666666E-3</v>
      </c>
      <c r="J77" s="37">
        <f t="shared" si="42"/>
        <v>2.5</v>
      </c>
      <c r="K77" s="37">
        <f>IF(J77=0,0,IF(B77="F",VLOOKUP(I77,Barem!$G$2:$H$16,2,1),VLOOKUP(I77,Barem!$G$17:$H$31,2,1)))</f>
        <v>1.75</v>
      </c>
      <c r="L77" s="50">
        <v>2.25</v>
      </c>
      <c r="M77" s="124" t="s">
        <v>207</v>
      </c>
      <c r="N77" s="10">
        <f t="shared" si="32"/>
        <v>0.25</v>
      </c>
      <c r="O77" s="10">
        <f t="shared" si="32"/>
        <v>0.25</v>
      </c>
      <c r="P77" s="10">
        <f t="shared" si="32"/>
        <v>0.5</v>
      </c>
      <c r="Q77" s="40">
        <f t="shared" si="43"/>
        <v>0</v>
      </c>
      <c r="R77" s="21">
        <f>IF(D77&gt;21,VLOOKUP(D77,Barem!$T$1:$U$141,2,1),0)</f>
        <v>0</v>
      </c>
      <c r="S77" s="152">
        <f>IF(D77&lt;1.609,0,IF(B77="F",VLOOKUP(I77,Barem!$X$2:$Z$13,2,1),VLOOKUP(I77,Barem!$X$14:$Z$25,2,1)))</f>
        <v>0</v>
      </c>
      <c r="T77" s="21">
        <f>VLOOKUP(A77,Participanti!A:C,3,0)</f>
        <v>0</v>
      </c>
      <c r="U77" s="18">
        <f t="shared" si="44"/>
        <v>2.1875</v>
      </c>
      <c r="V77" s="58" t="s">
        <v>372</v>
      </c>
      <c r="W77" s="77">
        <f t="shared" si="39"/>
        <v>1</v>
      </c>
      <c r="X77" s="1" t="str">
        <f>VLOOKUP(A77,Data_Echipe!A:R,18,0)</f>
        <v>#notSYRious</v>
      </c>
      <c r="Z77" s="115">
        <f t="shared" si="45"/>
        <v>1</v>
      </c>
    </row>
    <row r="78" spans="1:26" x14ac:dyDescent="0.3">
      <c r="A78" s="49" t="s">
        <v>100</v>
      </c>
      <c r="B78" s="1" t="str">
        <f>VLOOKUP(A78,Participanti!A:B,2,0)</f>
        <v>F</v>
      </c>
      <c r="C78" s="74">
        <v>1</v>
      </c>
      <c r="D78" s="50">
        <v>15.01</v>
      </c>
      <c r="E78" s="51">
        <v>6.6192129629629629E-2</v>
      </c>
      <c r="F78" s="51">
        <v>6.8541666666666667E-2</v>
      </c>
      <c r="G78" s="69">
        <f t="shared" si="40"/>
        <v>6.7366898148148141E-2</v>
      </c>
      <c r="H78" s="52"/>
      <c r="I78" s="12">
        <f t="shared" si="41"/>
        <v>4.4881344535741604E-3</v>
      </c>
      <c r="J78" s="37">
        <f t="shared" si="42"/>
        <v>3.7524999999999999</v>
      </c>
      <c r="K78" s="37">
        <f>IF(J78=0,0,IF(B78="F",VLOOKUP(I78,Barem!$G$2:$H$16,2,1),VLOOKUP(I78,Barem!$G$17:$H$31,2,1)))</f>
        <v>1.5</v>
      </c>
      <c r="L78" s="50">
        <v>2</v>
      </c>
      <c r="M78" s="124" t="s">
        <v>106</v>
      </c>
      <c r="N78" s="10">
        <f t="shared" si="32"/>
        <v>0.5</v>
      </c>
      <c r="O78" s="10">
        <f t="shared" si="32"/>
        <v>0.25</v>
      </c>
      <c r="P78" s="10">
        <f t="shared" si="32"/>
        <v>0.25</v>
      </c>
      <c r="Q78" s="40">
        <f t="shared" si="43"/>
        <v>0</v>
      </c>
      <c r="R78" s="21">
        <f>IF(D78&gt;21,VLOOKUP(D78,Barem!$T$1:$U$141,2,1),0)</f>
        <v>0</v>
      </c>
      <c r="S78" s="152">
        <f>IF(D78&lt;1.609,0,IF(B78="F",VLOOKUP(I78,Barem!$X$2:$Z$13,2,1),VLOOKUP(I78,Barem!$X$14:$Z$25,2,1)))</f>
        <v>0</v>
      </c>
      <c r="T78" s="21">
        <f>VLOOKUP(A78,Participanti!A:C,3,0)</f>
        <v>0</v>
      </c>
      <c r="U78" s="18">
        <f t="shared" si="44"/>
        <v>2.7512499999999998</v>
      </c>
      <c r="V78" s="58" t="s">
        <v>372</v>
      </c>
      <c r="W78" s="77">
        <f t="shared" si="39"/>
        <v>1</v>
      </c>
      <c r="X78" s="1" t="e">
        <f>VLOOKUP(A78,Data_Echipe!A:R,18,0)</f>
        <v>#N/A</v>
      </c>
      <c r="Z78" s="115">
        <f t="shared" si="45"/>
        <v>1</v>
      </c>
    </row>
    <row r="79" spans="1:26" x14ac:dyDescent="0.3">
      <c r="A79" s="49" t="s">
        <v>225</v>
      </c>
      <c r="B79" s="1" t="str">
        <f>VLOOKUP(A79,Participanti!A:B,2,0)</f>
        <v>F</v>
      </c>
      <c r="C79" s="74">
        <v>1</v>
      </c>
      <c r="D79" s="50">
        <v>20.05</v>
      </c>
      <c r="E79" s="51">
        <v>9.4351851851851853E-2</v>
      </c>
      <c r="F79" s="51">
        <v>9.8055555555555562E-2</v>
      </c>
      <c r="G79" s="69">
        <f t="shared" si="40"/>
        <v>9.6203703703703708E-2</v>
      </c>
      <c r="H79" s="52">
        <v>860</v>
      </c>
      <c r="I79" s="12">
        <f t="shared" si="41"/>
        <v>4.7981897109079154E-3</v>
      </c>
      <c r="J79" s="37">
        <f t="shared" si="42"/>
        <v>5</v>
      </c>
      <c r="K79" s="37">
        <f>IF(J79=0,0,IF(B79="F",VLOOKUP(I79,Barem!$G$2:$H$16,2,1),VLOOKUP(I79,Barem!$G$17:$H$31,2,1)))</f>
        <v>1</v>
      </c>
      <c r="L79" s="50">
        <v>4.25</v>
      </c>
      <c r="M79" s="124" t="s">
        <v>106</v>
      </c>
      <c r="N79" s="10">
        <f t="shared" ref="N79:P94" si="46">IF($M79=N$1,50%,25%)</f>
        <v>0.5</v>
      </c>
      <c r="O79" s="10">
        <f t="shared" si="46"/>
        <v>0.25</v>
      </c>
      <c r="P79" s="10">
        <f t="shared" si="46"/>
        <v>0.25</v>
      </c>
      <c r="Q79" s="40">
        <f t="shared" si="43"/>
        <v>0.57333333333333336</v>
      </c>
      <c r="R79" s="21">
        <f>IF(D79&gt;21,VLOOKUP(D79,Barem!$T$1:$U$141,2,1),0)</f>
        <v>0</v>
      </c>
      <c r="S79" s="152">
        <f>IF(D79&lt;1.609,0,IF(B79="F",VLOOKUP(I79,Barem!$X$2:$Z$13,2,1),VLOOKUP(I79,Barem!$X$14:$Z$25,2,1)))</f>
        <v>0</v>
      </c>
      <c r="T79" s="21">
        <f>VLOOKUP(A79,Participanti!A:C,3,0)</f>
        <v>0</v>
      </c>
      <c r="U79" s="18">
        <f t="shared" si="44"/>
        <v>4.3858333333333333</v>
      </c>
      <c r="V79" s="58" t="s">
        <v>372</v>
      </c>
      <c r="W79" s="77">
        <f t="shared" si="39"/>
        <v>1</v>
      </c>
      <c r="X79" s="1" t="str">
        <f>VLOOKUP(A79,Data_Echipe!A:R,18,0)</f>
        <v>The GOATs</v>
      </c>
      <c r="Z79" s="115">
        <f t="shared" si="45"/>
        <v>1</v>
      </c>
    </row>
    <row r="80" spans="1:26" x14ac:dyDescent="0.3">
      <c r="A80" s="49" t="s">
        <v>78</v>
      </c>
      <c r="B80" s="1" t="str">
        <f>VLOOKUP(A80,Participanti!A:B,2,0)</f>
        <v>M</v>
      </c>
      <c r="C80" s="74">
        <v>1</v>
      </c>
      <c r="D80" s="50">
        <v>40.130000000000003</v>
      </c>
      <c r="E80" s="51">
        <v>0.36462962962962964</v>
      </c>
      <c r="F80" s="51">
        <v>0.41368055555555555</v>
      </c>
      <c r="G80" s="69">
        <f t="shared" si="40"/>
        <v>0.38915509259259262</v>
      </c>
      <c r="H80" s="52">
        <v>2035</v>
      </c>
      <c r="I80" s="12">
        <f t="shared" si="41"/>
        <v>9.6973608919160882E-3</v>
      </c>
      <c r="J80" s="37">
        <f t="shared" si="42"/>
        <v>5</v>
      </c>
      <c r="K80" s="37">
        <f>IF(J80=0,0,IF(B80="F",VLOOKUP(I80,Barem!$G$2:$H$16,2,1),VLOOKUP(I80,Barem!$G$17:$H$31,2,1)))</f>
        <v>0</v>
      </c>
      <c r="L80" s="50">
        <v>3.5</v>
      </c>
      <c r="M80" s="124" t="s">
        <v>207</v>
      </c>
      <c r="N80" s="10">
        <f t="shared" si="46"/>
        <v>0.25</v>
      </c>
      <c r="O80" s="10">
        <f t="shared" si="46"/>
        <v>0.25</v>
      </c>
      <c r="P80" s="10">
        <f t="shared" si="46"/>
        <v>0.5</v>
      </c>
      <c r="Q80" s="40">
        <f t="shared" si="43"/>
        <v>1.3566666666666667</v>
      </c>
      <c r="R80" s="21">
        <f>IF(D80&gt;21,VLOOKUP(D80,Barem!$T$1:$U$141,2,1),0)</f>
        <v>0.9</v>
      </c>
      <c r="S80" s="152">
        <f>IF(D80&lt;1.609,0,IF(B80="F",VLOOKUP(I80,Barem!$X$2:$Z$13,2,1),VLOOKUP(I80,Barem!$X$14:$Z$25,2,1)))</f>
        <v>0</v>
      </c>
      <c r="T80" s="21">
        <f>VLOOKUP(A80,Participanti!A:C,3,0)</f>
        <v>0.4</v>
      </c>
      <c r="U80" s="18">
        <f t="shared" si="44"/>
        <v>5.6566666666666672</v>
      </c>
      <c r="V80" s="58" t="s">
        <v>372</v>
      </c>
      <c r="W80" s="77">
        <f t="shared" si="39"/>
        <v>1</v>
      </c>
      <c r="X80" s="1" t="str">
        <f>VLOOKUP(A80,Data_Echipe!A:R,18,0)</f>
        <v>Almost Kenyan Runners</v>
      </c>
      <c r="Z80" s="115">
        <f t="shared" si="45"/>
        <v>0</v>
      </c>
    </row>
    <row r="81" spans="1:26" x14ac:dyDescent="0.3">
      <c r="A81" s="131" t="s">
        <v>373</v>
      </c>
      <c r="B81" s="1" t="str">
        <f>VLOOKUP(A81,Participanti!A:B,2,0)</f>
        <v>F</v>
      </c>
      <c r="C81" s="74">
        <v>1</v>
      </c>
      <c r="D81" s="50">
        <v>7.46</v>
      </c>
      <c r="E81" s="51">
        <v>3.0706018518518521E-2</v>
      </c>
      <c r="F81" s="51">
        <v>4.4814814814814814E-2</v>
      </c>
      <c r="G81" s="69">
        <f t="shared" si="40"/>
        <v>3.7760416666666671E-2</v>
      </c>
      <c r="H81" s="52">
        <v>21</v>
      </c>
      <c r="I81" s="12">
        <f t="shared" si="41"/>
        <v>5.0617180518319933E-3</v>
      </c>
      <c r="J81" s="37">
        <f t="shared" si="42"/>
        <v>1.865</v>
      </c>
      <c r="K81" s="37">
        <f>IF(J81=0,0,IF(B81="F",VLOOKUP(I81,Barem!$G$2:$H$16,2,1),VLOOKUP(I81,Barem!$G$17:$H$31,2,1)))</f>
        <v>0.5</v>
      </c>
      <c r="L81" s="50">
        <v>2.25</v>
      </c>
      <c r="M81" s="124" t="s">
        <v>207</v>
      </c>
      <c r="N81" s="10">
        <f t="shared" si="46"/>
        <v>0.25</v>
      </c>
      <c r="O81" s="10">
        <f t="shared" si="46"/>
        <v>0.25</v>
      </c>
      <c r="P81" s="10">
        <f t="shared" si="46"/>
        <v>0.5</v>
      </c>
      <c r="Q81" s="40">
        <f t="shared" si="43"/>
        <v>0</v>
      </c>
      <c r="R81" s="21">
        <f>IF(D81&gt;21,VLOOKUP(D81,Barem!$T$1:$U$141,2,1),0)</f>
        <v>0</v>
      </c>
      <c r="S81" s="152">
        <f>IF(D81&lt;1.609,0,IF(B81="F",VLOOKUP(I81,Barem!$X$2:$Z$13,2,1),VLOOKUP(I81,Barem!$X$14:$Z$25,2,1)))</f>
        <v>0</v>
      </c>
      <c r="T81" s="21">
        <f>VLOOKUP(A81,Participanti!A:C,3,0)</f>
        <v>0</v>
      </c>
      <c r="U81" s="18">
        <f t="shared" si="44"/>
        <v>1.7162500000000001</v>
      </c>
      <c r="V81" s="58" t="s">
        <v>372</v>
      </c>
      <c r="W81" s="77">
        <f t="shared" si="39"/>
        <v>1</v>
      </c>
      <c r="X81" s="1" t="e">
        <f>VLOOKUP(A81,Data_Echipe!A:R,18,0)</f>
        <v>#N/A</v>
      </c>
      <c r="Z81" s="115">
        <f t="shared" si="45"/>
        <v>1</v>
      </c>
    </row>
    <row r="82" spans="1:26" x14ac:dyDescent="0.3">
      <c r="A82" s="49" t="s">
        <v>248</v>
      </c>
      <c r="B82" s="1" t="str">
        <f>VLOOKUP(A82,Participanti!A:B,2,0)</f>
        <v>M</v>
      </c>
      <c r="C82" s="74">
        <v>1</v>
      </c>
      <c r="D82" s="50">
        <v>21.07</v>
      </c>
      <c r="E82" s="51">
        <v>7.5347222222222218E-2</v>
      </c>
      <c r="F82" s="51">
        <v>0.10365740740740741</v>
      </c>
      <c r="G82" s="69">
        <f t="shared" si="40"/>
        <v>8.9502314814814812E-2</v>
      </c>
      <c r="H82" s="52">
        <v>46</v>
      </c>
      <c r="I82" s="12">
        <f t="shared" si="41"/>
        <v>4.2478554729385295E-3</v>
      </c>
      <c r="J82" s="37">
        <f t="shared" si="42"/>
        <v>5</v>
      </c>
      <c r="K82" s="37">
        <f>IF(J82=0,0,IF(B82="F",VLOOKUP(I82,Barem!$G$2:$H$16,2,1),VLOOKUP(I82,Barem!$G$17:$H$31,2,1)))</f>
        <v>1.25</v>
      </c>
      <c r="L82" s="50">
        <v>2.5</v>
      </c>
      <c r="M82" s="124" t="s">
        <v>106</v>
      </c>
      <c r="N82" s="10">
        <f t="shared" si="46"/>
        <v>0.5</v>
      </c>
      <c r="O82" s="10">
        <f t="shared" si="46"/>
        <v>0.25</v>
      </c>
      <c r="P82" s="10">
        <f t="shared" si="46"/>
        <v>0.25</v>
      </c>
      <c r="Q82" s="40">
        <f t="shared" si="43"/>
        <v>0</v>
      </c>
      <c r="R82" s="21">
        <f>IF(D82&gt;21,VLOOKUP(D82,Barem!$T$1:$U$141,2,1),0)</f>
        <v>0</v>
      </c>
      <c r="S82" s="152">
        <f>IF(D82&lt;1.609,0,IF(B82="F",VLOOKUP(I82,Barem!$X$2:$Z$13,2,1),VLOOKUP(I82,Barem!$X$14:$Z$25,2,1)))</f>
        <v>0</v>
      </c>
      <c r="T82" s="21">
        <f>VLOOKUP(A82,Participanti!A:C,3,0)</f>
        <v>0</v>
      </c>
      <c r="U82" s="18">
        <f t="shared" si="44"/>
        <v>3.4375</v>
      </c>
      <c r="V82" s="58" t="s">
        <v>372</v>
      </c>
      <c r="W82" s="77">
        <f t="shared" si="39"/>
        <v>1</v>
      </c>
      <c r="X82" s="1" t="str">
        <f>VLOOKUP(A82,Data_Echipe!A:R,18,0)</f>
        <v>Almost Kenyan Runners</v>
      </c>
      <c r="Z82" s="115">
        <f t="shared" si="45"/>
        <v>1</v>
      </c>
    </row>
    <row r="83" spans="1:26" x14ac:dyDescent="0.3">
      <c r="A83" s="49" t="s">
        <v>374</v>
      </c>
      <c r="B83" s="1" t="str">
        <f>VLOOKUP(A83,Participanti!A:B,2,0)</f>
        <v>M</v>
      </c>
      <c r="C83" s="74">
        <v>1</v>
      </c>
      <c r="D83" s="50">
        <v>18.12</v>
      </c>
      <c r="E83" s="51">
        <v>6.9143518518518521E-2</v>
      </c>
      <c r="F83" s="51">
        <v>6.9398148148148139E-2</v>
      </c>
      <c r="G83" s="69">
        <f t="shared" ref="G83:G100" si="47">AVERAGE(E83:F83)</f>
        <v>6.9270833333333337E-2</v>
      </c>
      <c r="H83" s="52"/>
      <c r="I83" s="12">
        <f t="shared" ref="I83:I100" si="48">G83/D83</f>
        <v>3.822893671817513E-3</v>
      </c>
      <c r="J83" s="37">
        <f t="shared" ref="J83:J100" si="49">IF(B83="F",IF(D83&lt;2.5,0,IF(D83&gt;19.99,5,D83/4)),IF(D83&lt;3,0, IF(D83&gt;20.99,5,D83/4.2)))</f>
        <v>4.3142857142857141</v>
      </c>
      <c r="K83" s="37">
        <f>IF(J83=0,0,IF(B83="F",VLOOKUP(I83,Barem!$G$2:$H$16,2,1),VLOOKUP(I83,Barem!$G$17:$H$31,2,1)))</f>
        <v>2</v>
      </c>
      <c r="L83" s="50">
        <v>1</v>
      </c>
      <c r="M83" s="124" t="s">
        <v>207</v>
      </c>
      <c r="N83" s="10">
        <f t="shared" si="46"/>
        <v>0.25</v>
      </c>
      <c r="O83" s="10">
        <f t="shared" si="46"/>
        <v>0.25</v>
      </c>
      <c r="P83" s="10">
        <f t="shared" si="46"/>
        <v>0.5</v>
      </c>
      <c r="Q83" s="40">
        <f t="shared" ref="Q83:Q100" si="50">IF(H83&gt;49,H83/1500,0)</f>
        <v>0</v>
      </c>
      <c r="R83" s="21">
        <f>IF(D83&gt;21,VLOOKUP(D83,Barem!$T$1:$U$141,2,1),0)</f>
        <v>0</v>
      </c>
      <c r="S83" s="152">
        <f>IF(D83&lt;1.609,0,IF(B83="F",VLOOKUP(I83,Barem!$X$2:$Z$13,2,1),VLOOKUP(I83,Barem!$X$14:$Z$25,2,1)))</f>
        <v>0</v>
      </c>
      <c r="T83" s="21">
        <f>VLOOKUP(A83,Participanti!A:C,3,0)</f>
        <v>0</v>
      </c>
      <c r="U83" s="18">
        <f t="shared" ref="U83:U100" si="51">IF(H83&lt;0,0,J83*N83+K83*O83+L83*P83+Q83+R83+S83+T83)</f>
        <v>2.0785714285714283</v>
      </c>
      <c r="V83" s="58" t="s">
        <v>372</v>
      </c>
      <c r="W83" s="77">
        <f t="shared" si="39"/>
        <v>1</v>
      </c>
      <c r="X83" s="1" t="e">
        <f>VLOOKUP(A83,Data_Echipe!A:R,18,0)</f>
        <v>#N/A</v>
      </c>
      <c r="Z83" s="115">
        <f t="shared" ref="Z83:Z100" si="52">IF(K83&gt;0,1,0)</f>
        <v>1</v>
      </c>
    </row>
    <row r="84" spans="1:26" x14ac:dyDescent="0.3">
      <c r="A84" s="49" t="s">
        <v>205</v>
      </c>
      <c r="B84" s="1" t="str">
        <f>VLOOKUP(A84,Participanti!A:B,2,0)</f>
        <v>M</v>
      </c>
      <c r="C84" s="74">
        <v>1</v>
      </c>
      <c r="D84" s="50">
        <v>15</v>
      </c>
      <c r="E84" s="51">
        <v>4.9814814814814812E-2</v>
      </c>
      <c r="F84" s="51">
        <v>4.9814814814814812E-2</v>
      </c>
      <c r="G84" s="69">
        <f t="shared" si="47"/>
        <v>4.9814814814814812E-2</v>
      </c>
      <c r="H84" s="52">
        <v>235</v>
      </c>
      <c r="I84" s="12">
        <f t="shared" si="48"/>
        <v>3.3209876543209877E-3</v>
      </c>
      <c r="J84" s="37">
        <f t="shared" si="49"/>
        <v>3.5714285714285712</v>
      </c>
      <c r="K84" s="37">
        <f>IF(J84=0,0,IF(B84="F",VLOOKUP(I84,Barem!$G$2:$H$16,2,1),VLOOKUP(I84,Barem!$G$17:$H$31,2,1)))</f>
        <v>3</v>
      </c>
      <c r="L84" s="50">
        <v>4</v>
      </c>
      <c r="M84" s="124" t="s">
        <v>106</v>
      </c>
      <c r="N84" s="10">
        <f t="shared" si="46"/>
        <v>0.5</v>
      </c>
      <c r="O84" s="10">
        <f t="shared" si="46"/>
        <v>0.25</v>
      </c>
      <c r="P84" s="10">
        <f t="shared" si="46"/>
        <v>0.25</v>
      </c>
      <c r="Q84" s="40">
        <f t="shared" si="50"/>
        <v>0.15666666666666668</v>
      </c>
      <c r="R84" s="21">
        <f>IF(D84&gt;21,VLOOKUP(D84,Barem!$T$1:$U$141,2,1),0)</f>
        <v>0</v>
      </c>
      <c r="S84" s="152">
        <f>IF(D84&lt;1.609,0,IF(B84="F",VLOOKUP(I84,Barem!$X$2:$Z$13,2,1),VLOOKUP(I84,Barem!$X$14:$Z$25,2,1)))</f>
        <v>0</v>
      </c>
      <c r="T84" s="21">
        <f>VLOOKUP(A84,Participanti!A:C,3,0)</f>
        <v>0</v>
      </c>
      <c r="U84" s="18">
        <f t="shared" si="51"/>
        <v>3.6923809523809523</v>
      </c>
      <c r="V84" s="58" t="s">
        <v>372</v>
      </c>
      <c r="W84" s="77">
        <f t="shared" si="39"/>
        <v>1</v>
      </c>
      <c r="X84" s="1" t="str">
        <f>VLOOKUP(A84,Data_Echipe!A:R,18,0)</f>
        <v>Almost Kenyan Runners</v>
      </c>
      <c r="Z84" s="115">
        <f t="shared" si="52"/>
        <v>1</v>
      </c>
    </row>
    <row r="85" spans="1:26" x14ac:dyDescent="0.3">
      <c r="A85" s="49" t="s">
        <v>375</v>
      </c>
      <c r="B85" s="1" t="str">
        <f>VLOOKUP(A85,Participanti!A:B,2,0)</f>
        <v>M</v>
      </c>
      <c r="C85" s="74">
        <v>1</v>
      </c>
      <c r="D85" s="50">
        <v>15.13</v>
      </c>
      <c r="E85" s="51">
        <v>7.5057870370370372E-2</v>
      </c>
      <c r="F85" s="51">
        <v>8.7638888888888891E-2</v>
      </c>
      <c r="G85" s="69">
        <f t="shared" si="47"/>
        <v>8.1348379629629625E-2</v>
      </c>
      <c r="H85" s="52">
        <v>733</v>
      </c>
      <c r="I85" s="12">
        <f t="shared" si="48"/>
        <v>5.3766278671268748E-3</v>
      </c>
      <c r="J85" s="37">
        <f t="shared" si="49"/>
        <v>3.6023809523809525</v>
      </c>
      <c r="K85" s="37">
        <f>IF(J85=0,0,IF(B85="F",VLOOKUP(I85,Barem!$G$2:$H$16,2,1),VLOOKUP(I85,Barem!$G$17:$H$31,2,1)))</f>
        <v>0.25</v>
      </c>
      <c r="L85" s="50">
        <v>2.75</v>
      </c>
      <c r="M85" s="124" t="s">
        <v>207</v>
      </c>
      <c r="N85" s="10">
        <f t="shared" si="46"/>
        <v>0.25</v>
      </c>
      <c r="O85" s="10">
        <f t="shared" si="46"/>
        <v>0.25</v>
      </c>
      <c r="P85" s="10">
        <f t="shared" si="46"/>
        <v>0.5</v>
      </c>
      <c r="Q85" s="40">
        <f t="shared" si="50"/>
        <v>0.48866666666666669</v>
      </c>
      <c r="R85" s="21">
        <f>IF(D85&gt;21,VLOOKUP(D85,Barem!$T$1:$U$141,2,1),0)</f>
        <v>0</v>
      </c>
      <c r="S85" s="152">
        <f>IF(D85&lt;1.609,0,IF(B85="F",VLOOKUP(I85,Barem!$X$2:$Z$13,2,1),VLOOKUP(I85,Barem!$X$14:$Z$25,2,1)))</f>
        <v>0</v>
      </c>
      <c r="T85" s="21">
        <f>VLOOKUP(A85,Participanti!A:C,3,0)</f>
        <v>0</v>
      </c>
      <c r="U85" s="18">
        <f t="shared" si="51"/>
        <v>2.8267619047619048</v>
      </c>
      <c r="V85" s="58" t="s">
        <v>372</v>
      </c>
      <c r="W85" s="77">
        <f t="shared" si="39"/>
        <v>1</v>
      </c>
      <c r="X85" s="1" t="e">
        <f>VLOOKUP(A85,Data_Echipe!A:R,18,0)</f>
        <v>#N/A</v>
      </c>
      <c r="Z85" s="115">
        <f t="shared" si="52"/>
        <v>1</v>
      </c>
    </row>
    <row r="86" spans="1:26" x14ac:dyDescent="0.3">
      <c r="A86" s="49" t="s">
        <v>203</v>
      </c>
      <c r="B86" s="1" t="str">
        <f>VLOOKUP(A86,Participanti!A:B,2,0)</f>
        <v>M</v>
      </c>
      <c r="C86" s="74">
        <v>1</v>
      </c>
      <c r="D86" s="50">
        <v>4.2</v>
      </c>
      <c r="E86" s="51">
        <v>1.375E-2</v>
      </c>
      <c r="F86" s="51">
        <v>1.375E-2</v>
      </c>
      <c r="G86" s="69">
        <f t="shared" si="47"/>
        <v>1.375E-2</v>
      </c>
      <c r="H86" s="52">
        <v>70</v>
      </c>
      <c r="I86" s="12">
        <f t="shared" si="48"/>
        <v>3.2738095238095239E-3</v>
      </c>
      <c r="J86" s="37">
        <f t="shared" si="49"/>
        <v>1</v>
      </c>
      <c r="K86" s="37">
        <f>IF(J86=0,0,IF(B86="F",VLOOKUP(I86,Barem!$G$2:$H$16,2,1),VLOOKUP(I86,Barem!$G$17:$H$31,2,1)))</f>
        <v>3.5</v>
      </c>
      <c r="L86" s="50">
        <v>4</v>
      </c>
      <c r="M86" s="124" t="s">
        <v>207</v>
      </c>
      <c r="N86" s="10">
        <f t="shared" si="46"/>
        <v>0.25</v>
      </c>
      <c r="O86" s="10">
        <f t="shared" si="46"/>
        <v>0.25</v>
      </c>
      <c r="P86" s="10">
        <f t="shared" si="46"/>
        <v>0.5</v>
      </c>
      <c r="Q86" s="40">
        <f t="shared" si="50"/>
        <v>4.6666666666666669E-2</v>
      </c>
      <c r="R86" s="21">
        <f>IF(D86&gt;21,VLOOKUP(D86,Barem!$T$1:$U$141,2,1),0)</f>
        <v>0</v>
      </c>
      <c r="S86" s="152">
        <f>IF(D86&lt;1.609,0,IF(B86="F",VLOOKUP(I86,Barem!$X$2:$Z$13,2,1),VLOOKUP(I86,Barem!$X$14:$Z$25,2,1)))</f>
        <v>0</v>
      </c>
      <c r="T86" s="21">
        <f>VLOOKUP(A86,Participanti!A:C,3,0)</f>
        <v>0</v>
      </c>
      <c r="U86" s="18">
        <f t="shared" si="51"/>
        <v>3.1716666666666669</v>
      </c>
      <c r="V86" s="58" t="s">
        <v>372</v>
      </c>
      <c r="W86" s="77">
        <f t="shared" si="39"/>
        <v>1</v>
      </c>
      <c r="X86" s="1" t="str">
        <f>VLOOKUP(A86,Data_Echipe!A:R,18,0)</f>
        <v>The GOATs</v>
      </c>
      <c r="Z86" s="115">
        <f t="shared" si="52"/>
        <v>1</v>
      </c>
    </row>
    <row r="87" spans="1:26" x14ac:dyDescent="0.3">
      <c r="A87" s="49" t="s">
        <v>49</v>
      </c>
      <c r="B87" s="1" t="str">
        <f>VLOOKUP(A87,Participanti!A:B,2,0)</f>
        <v>M</v>
      </c>
      <c r="C87" s="74">
        <v>1</v>
      </c>
      <c r="D87" s="50">
        <v>10.36</v>
      </c>
      <c r="E87" s="51">
        <v>5.950231481481482E-2</v>
      </c>
      <c r="F87" s="51">
        <v>9.7175925925925929E-2</v>
      </c>
      <c r="G87" s="69">
        <f t="shared" si="47"/>
        <v>7.8339120370370371E-2</v>
      </c>
      <c r="H87" s="52">
        <v>648</v>
      </c>
      <c r="I87" s="12">
        <f t="shared" si="48"/>
        <v>7.5616911554411562E-3</v>
      </c>
      <c r="J87" s="37">
        <f t="shared" si="49"/>
        <v>2.4666666666666663</v>
      </c>
      <c r="K87" s="37">
        <f>IF(J87=0,0,IF(B87="F",VLOOKUP(I87,Barem!$G$2:$H$16,2,1),VLOOKUP(I87,Barem!$G$17:$H$31,2,1)))</f>
        <v>0</v>
      </c>
      <c r="L87" s="50">
        <v>4</v>
      </c>
      <c r="M87" s="124" t="s">
        <v>207</v>
      </c>
      <c r="N87" s="10">
        <f t="shared" si="46"/>
        <v>0.25</v>
      </c>
      <c r="O87" s="10">
        <f t="shared" si="46"/>
        <v>0.25</v>
      </c>
      <c r="P87" s="10">
        <f t="shared" si="46"/>
        <v>0.5</v>
      </c>
      <c r="Q87" s="40">
        <f t="shared" si="50"/>
        <v>0.432</v>
      </c>
      <c r="R87" s="21">
        <f>IF(D87&gt;21,VLOOKUP(D87,Barem!$T$1:$U$141,2,1),0)</f>
        <v>0</v>
      </c>
      <c r="S87" s="152">
        <f>IF(D87&lt;1.609,0,IF(B87="F",VLOOKUP(I87,Barem!$X$2:$Z$13,2,1),VLOOKUP(I87,Barem!$X$14:$Z$25,2,1)))</f>
        <v>0</v>
      </c>
      <c r="T87" s="21">
        <f>VLOOKUP(A87,Participanti!A:C,3,0)</f>
        <v>0</v>
      </c>
      <c r="U87" s="18">
        <f t="shared" si="51"/>
        <v>3.0486666666666666</v>
      </c>
      <c r="V87" s="58" t="s">
        <v>372</v>
      </c>
      <c r="W87" s="77">
        <f t="shared" si="39"/>
        <v>1</v>
      </c>
      <c r="X87" s="1" t="str">
        <f>VLOOKUP(A87,Data_Echipe!A:R,18,0)</f>
        <v>The GOATs</v>
      </c>
      <c r="Z87" s="115">
        <f t="shared" si="52"/>
        <v>0</v>
      </c>
    </row>
    <row r="88" spans="1:26" x14ac:dyDescent="0.3">
      <c r="A88" s="49" t="s">
        <v>170</v>
      </c>
      <c r="B88" s="1" t="str">
        <f>VLOOKUP(A88,Participanti!A:B,2,0)</f>
        <v>F</v>
      </c>
      <c r="C88" s="74">
        <v>1</v>
      </c>
      <c r="D88" s="50">
        <v>18.09</v>
      </c>
      <c r="E88" s="51">
        <v>7.2662037037037039E-2</v>
      </c>
      <c r="F88" s="51">
        <v>7.3738425925925929E-2</v>
      </c>
      <c r="G88" s="69">
        <f t="shared" si="47"/>
        <v>7.3200231481481484E-2</v>
      </c>
      <c r="H88" s="52"/>
      <c r="I88" s="12">
        <f t="shared" si="48"/>
        <v>4.0464472902974839E-3</v>
      </c>
      <c r="J88" s="37">
        <f t="shared" si="49"/>
        <v>4.5225</v>
      </c>
      <c r="K88" s="37">
        <f>IF(J88=0,0,IF(B88="F",VLOOKUP(I88,Barem!$G$2:$H$16,2,1),VLOOKUP(I88,Barem!$G$17:$H$31,2,1)))</f>
        <v>2</v>
      </c>
      <c r="L88" s="50">
        <v>2</v>
      </c>
      <c r="M88" s="124" t="s">
        <v>207</v>
      </c>
      <c r="N88" s="10">
        <f t="shared" si="46"/>
        <v>0.25</v>
      </c>
      <c r="O88" s="10">
        <f t="shared" si="46"/>
        <v>0.25</v>
      </c>
      <c r="P88" s="10">
        <f t="shared" si="46"/>
        <v>0.5</v>
      </c>
      <c r="Q88" s="40">
        <f t="shared" si="50"/>
        <v>0</v>
      </c>
      <c r="R88" s="21">
        <f>IF(D88&gt;21,VLOOKUP(D88,Barem!$T$1:$U$141,2,1),0)</f>
        <v>0</v>
      </c>
      <c r="S88" s="152">
        <f>IF(D88&lt;1.609,0,IF(B88="F",VLOOKUP(I88,Barem!$X$2:$Z$13,2,1),VLOOKUP(I88,Barem!$X$14:$Z$25,2,1)))</f>
        <v>0</v>
      </c>
      <c r="T88" s="21">
        <f>VLOOKUP(A88,Participanti!A:C,3,0)</f>
        <v>0</v>
      </c>
      <c r="U88" s="18">
        <f t="shared" si="51"/>
        <v>2.6306250000000002</v>
      </c>
      <c r="V88" s="58" t="s">
        <v>372</v>
      </c>
      <c r="W88" s="77">
        <f t="shared" si="39"/>
        <v>1</v>
      </c>
      <c r="X88" s="1" t="str">
        <f>VLOOKUP(A88,Data_Echipe!A:R,18,0)</f>
        <v>Almost Kenyan Runners</v>
      </c>
      <c r="Z88" s="115">
        <f t="shared" si="52"/>
        <v>1</v>
      </c>
    </row>
    <row r="89" spans="1:26" x14ac:dyDescent="0.3">
      <c r="A89" s="49" t="s">
        <v>376</v>
      </c>
      <c r="B89" s="1" t="str">
        <f>VLOOKUP(A89,Participanti!A:B,2,0)</f>
        <v>M</v>
      </c>
      <c r="C89" s="74">
        <v>1</v>
      </c>
      <c r="D89" s="50">
        <v>25.79</v>
      </c>
      <c r="E89" s="51">
        <v>7.0370370370370375E-2</v>
      </c>
      <c r="F89" s="51">
        <v>7.5034722222222225E-2</v>
      </c>
      <c r="G89" s="69">
        <f t="shared" si="47"/>
        <v>7.27025462962963E-2</v>
      </c>
      <c r="H89" s="52"/>
      <c r="I89" s="12">
        <f t="shared" si="48"/>
        <v>2.8190207947381271E-3</v>
      </c>
      <c r="J89" s="37">
        <f t="shared" si="49"/>
        <v>5</v>
      </c>
      <c r="K89" s="37">
        <f>IF(J89=0,0,IF(B89="F",VLOOKUP(I89,Barem!$G$2:$H$16,2,1),VLOOKUP(I89,Barem!$G$17:$H$31,2,1)))</f>
        <v>4.5</v>
      </c>
      <c r="L89" s="50">
        <v>0.5</v>
      </c>
      <c r="M89" s="124" t="s">
        <v>106</v>
      </c>
      <c r="N89" s="10">
        <f t="shared" si="46"/>
        <v>0.5</v>
      </c>
      <c r="O89" s="10">
        <f t="shared" si="46"/>
        <v>0.25</v>
      </c>
      <c r="P89" s="10">
        <f t="shared" si="46"/>
        <v>0.25</v>
      </c>
      <c r="Q89" s="40">
        <f t="shared" si="50"/>
        <v>0</v>
      </c>
      <c r="R89" s="21">
        <f>IF(D89&gt;21,VLOOKUP(D89,Barem!$T$1:$U$141,2,1),0)</f>
        <v>0.2</v>
      </c>
      <c r="S89" s="152">
        <f>IF(D89&lt;1.609,0,IF(B89="F",VLOOKUP(I89,Barem!$X$2:$Z$13,2,1),VLOOKUP(I89,Barem!$X$14:$Z$25,2,1)))</f>
        <v>0</v>
      </c>
      <c r="T89" s="21">
        <f>VLOOKUP(A89,Participanti!A:C,3,0)</f>
        <v>0</v>
      </c>
      <c r="U89" s="18">
        <f t="shared" si="51"/>
        <v>3.95</v>
      </c>
      <c r="V89" s="58" t="s">
        <v>372</v>
      </c>
      <c r="W89" s="77">
        <f t="shared" si="39"/>
        <v>1</v>
      </c>
      <c r="X89" s="1" t="e">
        <f>VLOOKUP(A89,Data_Echipe!A:R,18,0)</f>
        <v>#N/A</v>
      </c>
      <c r="Z89" s="115">
        <f t="shared" si="52"/>
        <v>1</v>
      </c>
    </row>
    <row r="90" spans="1:26" x14ac:dyDescent="0.3">
      <c r="A90" s="49" t="s">
        <v>279</v>
      </c>
      <c r="B90" s="1" t="str">
        <f>VLOOKUP(A90,Participanti!A:B,2,0)</f>
        <v>M</v>
      </c>
      <c r="C90" s="74">
        <v>1</v>
      </c>
      <c r="D90" s="50">
        <v>12.19</v>
      </c>
      <c r="E90" s="51">
        <v>4.0682870370370376E-2</v>
      </c>
      <c r="F90" s="51">
        <v>4.1377314814814818E-2</v>
      </c>
      <c r="G90" s="69">
        <f t="shared" si="47"/>
        <v>4.1030092592592597E-2</v>
      </c>
      <c r="H90" s="52">
        <v>138</v>
      </c>
      <c r="I90" s="12">
        <f t="shared" si="48"/>
        <v>3.3658812627229365E-3</v>
      </c>
      <c r="J90" s="37">
        <f t="shared" si="49"/>
        <v>2.9023809523809523</v>
      </c>
      <c r="K90" s="37">
        <f>IF(J90=0,0,IF(B90="F",VLOOKUP(I90,Barem!$G$2:$H$16,2,1),VLOOKUP(I90,Barem!$G$17:$H$31,2,1)))</f>
        <v>3</v>
      </c>
      <c r="L90" s="50">
        <v>1.5</v>
      </c>
      <c r="M90" s="124" t="s">
        <v>106</v>
      </c>
      <c r="N90" s="10">
        <f t="shared" si="46"/>
        <v>0.5</v>
      </c>
      <c r="O90" s="10">
        <f t="shared" si="46"/>
        <v>0.25</v>
      </c>
      <c r="P90" s="10">
        <f t="shared" si="46"/>
        <v>0.25</v>
      </c>
      <c r="Q90" s="40">
        <f t="shared" si="50"/>
        <v>9.1999999999999998E-2</v>
      </c>
      <c r="R90" s="21">
        <f>IF(D90&gt;21,VLOOKUP(D90,Barem!$T$1:$U$141,2,1),0)</f>
        <v>0</v>
      </c>
      <c r="S90" s="152">
        <f>IF(D90&lt;1.609,0,IF(B90="F",VLOOKUP(I90,Barem!$X$2:$Z$13,2,1),VLOOKUP(I90,Barem!$X$14:$Z$25,2,1)))</f>
        <v>0</v>
      </c>
      <c r="T90" s="21">
        <f>VLOOKUP(A90,Participanti!A:C,3,0)</f>
        <v>0</v>
      </c>
      <c r="U90" s="18">
        <f t="shared" si="51"/>
        <v>2.668190476190476</v>
      </c>
      <c r="V90" s="58" t="s">
        <v>372</v>
      </c>
      <c r="W90" s="77">
        <f t="shared" si="39"/>
        <v>1</v>
      </c>
      <c r="X90" s="1" t="str">
        <f>VLOOKUP(A90,Data_Echipe!A:R,18,0)</f>
        <v>Almost Kenyan Runners</v>
      </c>
      <c r="Z90" s="115">
        <f t="shared" si="52"/>
        <v>1</v>
      </c>
    </row>
    <row r="91" spans="1:26" x14ac:dyDescent="0.3">
      <c r="A91" s="49" t="s">
        <v>375</v>
      </c>
      <c r="B91" s="1" t="str">
        <f>VLOOKUP(A91,Participanti!A:B,2,0)</f>
        <v>M</v>
      </c>
      <c r="C91" s="74">
        <v>2</v>
      </c>
      <c r="D91" s="50">
        <v>37</v>
      </c>
      <c r="E91" s="51">
        <v>0.15013888888888891</v>
      </c>
      <c r="F91" s="51">
        <v>0.15940972222222222</v>
      </c>
      <c r="G91" s="69">
        <f t="shared" si="47"/>
        <v>0.15477430555555555</v>
      </c>
      <c r="H91" s="52">
        <v>43</v>
      </c>
      <c r="I91" s="12">
        <f t="shared" si="48"/>
        <v>4.1830893393393388E-3</v>
      </c>
      <c r="J91" s="37">
        <f t="shared" si="49"/>
        <v>5</v>
      </c>
      <c r="K91" s="37">
        <f>IF(J91=0,0,IF(B91="F",VLOOKUP(I91,Barem!$G$2:$H$16,2,1),VLOOKUP(I91,Barem!$G$17:$H$31,2,1)))</f>
        <v>1.25</v>
      </c>
      <c r="L91" s="50">
        <v>0.5</v>
      </c>
      <c r="M91" s="124" t="s">
        <v>106</v>
      </c>
      <c r="N91" s="10">
        <f t="shared" si="46"/>
        <v>0.5</v>
      </c>
      <c r="O91" s="10">
        <f t="shared" si="46"/>
        <v>0.25</v>
      </c>
      <c r="P91" s="10">
        <f t="shared" si="46"/>
        <v>0.25</v>
      </c>
      <c r="Q91" s="40">
        <f t="shared" si="50"/>
        <v>0</v>
      </c>
      <c r="R91" s="21">
        <f>IF(D91&gt;21,VLOOKUP(D91,Barem!$T$1:$U$141,2,1),0)</f>
        <v>0.8</v>
      </c>
      <c r="S91" s="152">
        <f>IF(D91&lt;1.609,0,IF(B91="F",VLOOKUP(I91,Barem!$X$2:$Z$13,2,1),VLOOKUP(I91,Barem!$X$14:$Z$25,2,1)))</f>
        <v>0</v>
      </c>
      <c r="T91" s="21">
        <f>VLOOKUP(A91,Participanti!A:C,3,0)</f>
        <v>0</v>
      </c>
      <c r="U91" s="18">
        <f t="shared" si="51"/>
        <v>3.7374999999999998</v>
      </c>
      <c r="V91" s="58" t="s">
        <v>379</v>
      </c>
      <c r="W91" s="77">
        <f t="shared" si="39"/>
        <v>1</v>
      </c>
      <c r="X91" s="1" t="e">
        <f>VLOOKUP(A91,Data_Echipe!A:R,18,0)</f>
        <v>#N/A</v>
      </c>
      <c r="Z91" s="115">
        <f t="shared" si="52"/>
        <v>1</v>
      </c>
    </row>
    <row r="92" spans="1:26" x14ac:dyDescent="0.3">
      <c r="A92" s="49" t="s">
        <v>133</v>
      </c>
      <c r="B92" s="1" t="str">
        <f>VLOOKUP(A92,Participanti!A:B,2,0)</f>
        <v>M</v>
      </c>
      <c r="C92" s="74">
        <v>2</v>
      </c>
      <c r="D92" s="50">
        <v>42.25</v>
      </c>
      <c r="E92" s="51">
        <v>0.13184027777777776</v>
      </c>
      <c r="F92" s="51">
        <v>0.13194444444444445</v>
      </c>
      <c r="G92" s="69">
        <f t="shared" si="47"/>
        <v>0.13189236111111111</v>
      </c>
      <c r="H92" s="52"/>
      <c r="I92" s="12">
        <f t="shared" si="48"/>
        <v>3.1217126890203811E-3</v>
      </c>
      <c r="J92" s="37">
        <f t="shared" si="49"/>
        <v>5</v>
      </c>
      <c r="K92" s="37">
        <f>IF(J92=0,0,IF(B92="F",VLOOKUP(I92,Barem!$G$2:$H$16,2,1),VLOOKUP(I92,Barem!$G$17:$H$31,2,1)))</f>
        <v>4</v>
      </c>
      <c r="L92" s="50">
        <v>0</v>
      </c>
      <c r="M92" s="124" t="s">
        <v>106</v>
      </c>
      <c r="N92" s="10">
        <f t="shared" si="46"/>
        <v>0.5</v>
      </c>
      <c r="O92" s="10">
        <f t="shared" si="46"/>
        <v>0.25</v>
      </c>
      <c r="P92" s="10">
        <f t="shared" si="46"/>
        <v>0.25</v>
      </c>
      <c r="Q92" s="40">
        <f t="shared" si="50"/>
        <v>0</v>
      </c>
      <c r="R92" s="21">
        <f>IF(D92&gt;21,VLOOKUP(D92,Barem!$T$1:$U$141,2,1),0)</f>
        <v>1</v>
      </c>
      <c r="S92" s="152">
        <f>IF(D92&lt;1.609,0,IF(B92="F",VLOOKUP(I92,Barem!$X$2:$Z$13,2,1),VLOOKUP(I92,Barem!$X$14:$Z$25,2,1)))</f>
        <v>0</v>
      </c>
      <c r="T92" s="21">
        <f>VLOOKUP(A92,Participanti!A:C,3,0)</f>
        <v>0.4</v>
      </c>
      <c r="U92" s="18">
        <f t="shared" si="51"/>
        <v>4.9000000000000004</v>
      </c>
      <c r="V92" s="58" t="s">
        <v>379</v>
      </c>
      <c r="W92" s="77">
        <f t="shared" si="39"/>
        <v>1</v>
      </c>
      <c r="X92" s="1" t="str">
        <f>VLOOKUP(A92,Data_Echipe!A:R,18,0)</f>
        <v>UltraHaita lu' Borcan</v>
      </c>
      <c r="Z92" s="115">
        <f t="shared" si="52"/>
        <v>1</v>
      </c>
    </row>
    <row r="93" spans="1:26" x14ac:dyDescent="0.3">
      <c r="A93" s="49" t="s">
        <v>279</v>
      </c>
      <c r="B93" s="1" t="str">
        <f>VLOOKUP(A93,Participanti!A:B,2,0)</f>
        <v>M</v>
      </c>
      <c r="C93" s="74">
        <v>2</v>
      </c>
      <c r="D93" s="50">
        <v>11.6</v>
      </c>
      <c r="E93" s="51">
        <v>3.6851851851851851E-2</v>
      </c>
      <c r="F93" s="51">
        <v>3.920138888888889E-2</v>
      </c>
      <c r="G93" s="69">
        <f t="shared" si="47"/>
        <v>3.802662037037037E-2</v>
      </c>
      <c r="H93" s="52">
        <v>65</v>
      </c>
      <c r="I93" s="12">
        <f t="shared" si="48"/>
        <v>3.2781569284802046E-3</v>
      </c>
      <c r="J93" s="37">
        <f t="shared" si="49"/>
        <v>2.7619047619047619</v>
      </c>
      <c r="K93" s="37">
        <f>IF(J93=0,0,IF(B93="F",VLOOKUP(I93,Barem!$G$2:$H$16,2,1),VLOOKUP(I93,Barem!$G$17:$H$31,2,1)))</f>
        <v>3.5</v>
      </c>
      <c r="L93" s="50">
        <v>2.25</v>
      </c>
      <c r="M93" s="124" t="s">
        <v>107</v>
      </c>
      <c r="N93" s="10">
        <f t="shared" si="46"/>
        <v>0.25</v>
      </c>
      <c r="O93" s="10">
        <f t="shared" si="46"/>
        <v>0.5</v>
      </c>
      <c r="P93" s="10">
        <f t="shared" si="46"/>
        <v>0.25</v>
      </c>
      <c r="Q93" s="40">
        <f t="shared" si="50"/>
        <v>4.3333333333333335E-2</v>
      </c>
      <c r="R93" s="21">
        <f>IF(D93&gt;21,VLOOKUP(D93,Barem!$T$1:$U$141,2,1),0)</f>
        <v>0</v>
      </c>
      <c r="S93" s="152">
        <f>IF(D93&lt;1.609,0,IF(B93="F",VLOOKUP(I93,Barem!$X$2:$Z$13,2,1),VLOOKUP(I93,Barem!$X$14:$Z$25,2,1)))</f>
        <v>0</v>
      </c>
      <c r="T93" s="21">
        <f>VLOOKUP(A93,Participanti!A:C,3,0)</f>
        <v>0</v>
      </c>
      <c r="U93" s="18">
        <f t="shared" si="51"/>
        <v>3.0463095238095241</v>
      </c>
      <c r="V93" s="58" t="s">
        <v>379</v>
      </c>
      <c r="W93" s="77">
        <f t="shared" si="39"/>
        <v>1</v>
      </c>
      <c r="X93" s="1" t="str">
        <f>VLOOKUP(A93,Data_Echipe!A:R,18,0)</f>
        <v>Almost Kenyan Runners</v>
      </c>
      <c r="Z93" s="115">
        <f t="shared" si="52"/>
        <v>1</v>
      </c>
    </row>
    <row r="94" spans="1:26" x14ac:dyDescent="0.3">
      <c r="A94" s="49" t="s">
        <v>380</v>
      </c>
      <c r="B94" s="1" t="str">
        <f>VLOOKUP(A94,Participanti!A:B,2,0)</f>
        <v>M</v>
      </c>
      <c r="C94" s="74">
        <v>2</v>
      </c>
      <c r="D94" s="50">
        <v>14</v>
      </c>
      <c r="E94" s="51">
        <v>5.8298611111111114E-2</v>
      </c>
      <c r="F94" s="51">
        <v>6.7511574074074085E-2</v>
      </c>
      <c r="G94" s="69">
        <f t="shared" si="47"/>
        <v>6.2905092592592596E-2</v>
      </c>
      <c r="H94" s="52"/>
      <c r="I94" s="12">
        <f t="shared" si="48"/>
        <v>4.4932208994708997E-3</v>
      </c>
      <c r="J94" s="37">
        <f t="shared" si="49"/>
        <v>3.333333333333333</v>
      </c>
      <c r="K94" s="37">
        <f>IF(J94=0,0,IF(B94="F",VLOOKUP(I94,Barem!$G$2:$H$16,2,1),VLOOKUP(I94,Barem!$G$17:$H$31,2,1)))</f>
        <v>1</v>
      </c>
      <c r="L94" s="50">
        <v>1.5</v>
      </c>
      <c r="M94" s="124" t="s">
        <v>106</v>
      </c>
      <c r="N94" s="10">
        <f t="shared" si="46"/>
        <v>0.5</v>
      </c>
      <c r="O94" s="10">
        <f t="shared" si="46"/>
        <v>0.25</v>
      </c>
      <c r="P94" s="10">
        <f t="shared" si="46"/>
        <v>0.25</v>
      </c>
      <c r="Q94" s="40">
        <f t="shared" si="50"/>
        <v>0</v>
      </c>
      <c r="R94" s="21">
        <f>IF(D94&gt;21,VLOOKUP(D94,Barem!$T$1:$U$141,2,1),0)</f>
        <v>0</v>
      </c>
      <c r="S94" s="152">
        <f>IF(D94&lt;1.609,0,IF(B94="F",VLOOKUP(I94,Barem!$X$2:$Z$13,2,1),VLOOKUP(I94,Barem!$X$14:$Z$25,2,1)))</f>
        <v>0</v>
      </c>
      <c r="T94" s="21">
        <f>VLOOKUP(A94,Participanti!A:C,3,0)</f>
        <v>0</v>
      </c>
      <c r="U94" s="18">
        <f t="shared" si="51"/>
        <v>2.2916666666666665</v>
      </c>
      <c r="V94" s="58" t="s">
        <v>379</v>
      </c>
      <c r="W94" s="77">
        <f t="shared" si="39"/>
        <v>1</v>
      </c>
      <c r="X94" s="1" t="e">
        <f>VLOOKUP(A94,Data_Echipe!A:R,18,0)</f>
        <v>#N/A</v>
      </c>
      <c r="Z94" s="115">
        <f t="shared" si="52"/>
        <v>1</v>
      </c>
    </row>
    <row r="95" spans="1:26" x14ac:dyDescent="0.3">
      <c r="A95" s="49" t="s">
        <v>335</v>
      </c>
      <c r="B95" s="1" t="str">
        <f>VLOOKUP(A95,Participanti!A:B,2,0)</f>
        <v>M</v>
      </c>
      <c r="C95" s="74">
        <v>2</v>
      </c>
      <c r="D95" s="50">
        <v>10</v>
      </c>
      <c r="E95" s="51">
        <v>3.6215277777777777E-2</v>
      </c>
      <c r="F95" s="51">
        <v>3.6215277777777777E-2</v>
      </c>
      <c r="G95" s="69">
        <f t="shared" si="47"/>
        <v>3.6215277777777777E-2</v>
      </c>
      <c r="H95" s="52"/>
      <c r="I95" s="12">
        <f t="shared" si="48"/>
        <v>3.6215277777777778E-3</v>
      </c>
      <c r="J95" s="37">
        <f t="shared" si="49"/>
        <v>2.3809523809523809</v>
      </c>
      <c r="K95" s="37">
        <f>IF(J95=0,0,IF(B95="F",VLOOKUP(I95,Barem!$G$2:$H$16,2,1),VLOOKUP(I95,Barem!$G$17:$H$31,2,1)))</f>
        <v>2.5</v>
      </c>
      <c r="L95" s="50">
        <v>0.5</v>
      </c>
      <c r="M95" s="124" t="s">
        <v>107</v>
      </c>
      <c r="N95" s="10">
        <f t="shared" ref="N95:P110" si="53">IF($M95=N$1,50%,25%)</f>
        <v>0.25</v>
      </c>
      <c r="O95" s="10">
        <f t="shared" si="53"/>
        <v>0.5</v>
      </c>
      <c r="P95" s="10">
        <f t="shared" si="53"/>
        <v>0.25</v>
      </c>
      <c r="Q95" s="40">
        <f t="shared" si="50"/>
        <v>0</v>
      </c>
      <c r="R95" s="21">
        <f>IF(D95&gt;21,VLOOKUP(D95,Barem!$T$1:$U$141,2,1),0)</f>
        <v>0</v>
      </c>
      <c r="S95" s="152">
        <f>IF(D95&lt;1.609,0,IF(B95="F",VLOOKUP(I95,Barem!$X$2:$Z$13,2,1),VLOOKUP(I95,Barem!$X$14:$Z$25,2,1)))</f>
        <v>0</v>
      </c>
      <c r="T95" s="21">
        <f>VLOOKUP(A95,Participanti!A:C,3,0)</f>
        <v>0.4</v>
      </c>
      <c r="U95" s="18">
        <f t="shared" si="51"/>
        <v>2.3702380952380953</v>
      </c>
      <c r="V95" s="58" t="s">
        <v>379</v>
      </c>
      <c r="W95" s="77">
        <f t="shared" si="39"/>
        <v>1</v>
      </c>
      <c r="X95" s="1" t="e">
        <f>VLOOKUP(A95,Data_Echipe!A:R,18,0)</f>
        <v>#N/A</v>
      </c>
      <c r="Z95" s="115">
        <f t="shared" si="52"/>
        <v>1</v>
      </c>
    </row>
    <row r="96" spans="1:26" x14ac:dyDescent="0.3">
      <c r="A96" s="49" t="s">
        <v>339</v>
      </c>
      <c r="B96" s="1" t="str">
        <f>VLOOKUP(A96,Participanti!A:B,2,0)</f>
        <v>M</v>
      </c>
      <c r="C96" s="74">
        <v>2</v>
      </c>
      <c r="D96" s="50">
        <v>21.24</v>
      </c>
      <c r="E96" s="51">
        <v>7.4999999999999997E-2</v>
      </c>
      <c r="F96" s="51">
        <v>7.7476851851851852E-2</v>
      </c>
      <c r="G96" s="69">
        <f t="shared" si="47"/>
        <v>7.6238425925925918E-2</v>
      </c>
      <c r="H96" s="52">
        <v>179</v>
      </c>
      <c r="I96" s="12">
        <f t="shared" si="48"/>
        <v>3.5893797516914276E-3</v>
      </c>
      <c r="J96" s="37">
        <f t="shared" si="49"/>
        <v>5</v>
      </c>
      <c r="K96" s="37">
        <f>IF(J96=0,0,IF(B96="F",VLOOKUP(I96,Barem!$G$2:$H$16,2,1),VLOOKUP(I96,Barem!$G$17:$H$31,2,1)))</f>
        <v>2.5</v>
      </c>
      <c r="L96" s="50">
        <v>2.5</v>
      </c>
      <c r="M96" s="124" t="s">
        <v>106</v>
      </c>
      <c r="N96" s="10">
        <f t="shared" si="53"/>
        <v>0.5</v>
      </c>
      <c r="O96" s="10">
        <f t="shared" si="53"/>
        <v>0.25</v>
      </c>
      <c r="P96" s="10">
        <f t="shared" si="53"/>
        <v>0.25</v>
      </c>
      <c r="Q96" s="40">
        <f t="shared" si="50"/>
        <v>0.11933333333333333</v>
      </c>
      <c r="R96" s="21">
        <f>IF(D96&gt;21,VLOOKUP(D96,Barem!$T$1:$U$141,2,1),0)</f>
        <v>0</v>
      </c>
      <c r="S96" s="152">
        <f>IF(D96&lt;1.609,0,IF(B96="F",VLOOKUP(I96,Barem!$X$2:$Z$13,2,1),VLOOKUP(I96,Barem!$X$14:$Z$25,2,1)))</f>
        <v>0</v>
      </c>
      <c r="T96" s="21">
        <f>VLOOKUP(A96,Participanti!A:C,3,0)</f>
        <v>0</v>
      </c>
      <c r="U96" s="18">
        <f t="shared" si="51"/>
        <v>3.8693333333333335</v>
      </c>
      <c r="V96" s="58" t="s">
        <v>379</v>
      </c>
      <c r="W96" s="77">
        <f t="shared" si="39"/>
        <v>1</v>
      </c>
      <c r="X96" s="1" t="str">
        <f>VLOOKUP(A96,Data_Echipe!A:R,18,0)</f>
        <v>MedgidiaRunning</v>
      </c>
      <c r="Z96" s="115">
        <f t="shared" si="52"/>
        <v>1</v>
      </c>
    </row>
    <row r="97" spans="1:26" x14ac:dyDescent="0.3">
      <c r="A97" s="49" t="s">
        <v>331</v>
      </c>
      <c r="B97" s="1" t="str">
        <f>VLOOKUP(A97,Participanti!A:B,2,0)</f>
        <v>F</v>
      </c>
      <c r="C97" s="74">
        <v>2</v>
      </c>
      <c r="D97" s="50">
        <v>17.010000000000002</v>
      </c>
      <c r="E97" s="51">
        <v>7.6273148148148159E-2</v>
      </c>
      <c r="F97" s="51">
        <v>7.7094907407407418E-2</v>
      </c>
      <c r="G97" s="69">
        <f t="shared" si="47"/>
        <v>7.6684027777777788E-2</v>
      </c>
      <c r="H97" s="52">
        <v>34</v>
      </c>
      <c r="I97" s="12">
        <f t="shared" si="48"/>
        <v>4.5081732967535435E-3</v>
      </c>
      <c r="J97" s="37">
        <f t="shared" si="49"/>
        <v>4.2525000000000004</v>
      </c>
      <c r="K97" s="37">
        <f>IF(J97=0,0,IF(B97="F",VLOOKUP(I97,Barem!$G$2:$H$16,2,1),VLOOKUP(I97,Barem!$G$17:$H$31,2,1)))</f>
        <v>1.5</v>
      </c>
      <c r="L97" s="50">
        <v>2.75</v>
      </c>
      <c r="M97" s="124" t="s">
        <v>106</v>
      </c>
      <c r="N97" s="10">
        <f t="shared" si="53"/>
        <v>0.5</v>
      </c>
      <c r="O97" s="10">
        <f t="shared" si="53"/>
        <v>0.25</v>
      </c>
      <c r="P97" s="10">
        <f t="shared" si="53"/>
        <v>0.25</v>
      </c>
      <c r="Q97" s="40">
        <f t="shared" si="50"/>
        <v>0</v>
      </c>
      <c r="R97" s="21">
        <f>IF(D97&gt;21,VLOOKUP(D97,Barem!$T$1:$U$141,2,1),0)</f>
        <v>0</v>
      </c>
      <c r="S97" s="152">
        <f>IF(D97&lt;1.609,0,IF(B97="F",VLOOKUP(I97,Barem!$X$2:$Z$13,2,1),VLOOKUP(I97,Barem!$X$14:$Z$25,2,1)))</f>
        <v>0</v>
      </c>
      <c r="T97" s="21">
        <f>VLOOKUP(A97,Participanti!A:C,3,0)</f>
        <v>0</v>
      </c>
      <c r="U97" s="18">
        <f t="shared" si="51"/>
        <v>3.1887500000000002</v>
      </c>
      <c r="V97" s="58" t="s">
        <v>382</v>
      </c>
      <c r="W97" s="77">
        <f t="shared" si="39"/>
        <v>1</v>
      </c>
      <c r="X97" s="1" t="str">
        <f>VLOOKUP(A97,Data_Echipe!A:R,18,0)</f>
        <v>MedgidiaRunning</v>
      </c>
      <c r="Z97" s="115">
        <f t="shared" si="52"/>
        <v>1</v>
      </c>
    </row>
    <row r="98" spans="1:26" x14ac:dyDescent="0.3">
      <c r="A98" s="49" t="s">
        <v>381</v>
      </c>
      <c r="B98" s="1" t="str">
        <f>VLOOKUP(A98,Participanti!A:B,2,0)</f>
        <v>M</v>
      </c>
      <c r="C98" s="74">
        <v>2</v>
      </c>
      <c r="D98" s="50">
        <v>10.02</v>
      </c>
      <c r="E98" s="51">
        <v>3.923611111111111E-2</v>
      </c>
      <c r="F98" s="51">
        <v>4.1712962962962959E-2</v>
      </c>
      <c r="G98" s="69">
        <f t="shared" si="47"/>
        <v>4.0474537037037031E-2</v>
      </c>
      <c r="H98" s="52">
        <v>52</v>
      </c>
      <c r="I98" s="12">
        <f t="shared" si="48"/>
        <v>4.0393749537961108E-3</v>
      </c>
      <c r="J98" s="37">
        <f t="shared" si="49"/>
        <v>2.3857142857142857</v>
      </c>
      <c r="K98" s="37">
        <f>IF(J98=0,0,IF(B98="F",VLOOKUP(I98,Barem!$G$2:$H$16,2,1),VLOOKUP(I98,Barem!$G$17:$H$31,2,1)))</f>
        <v>1.5</v>
      </c>
      <c r="L98" s="50">
        <v>1</v>
      </c>
      <c r="M98" s="124" t="s">
        <v>106</v>
      </c>
      <c r="N98" s="10">
        <f t="shared" si="53"/>
        <v>0.5</v>
      </c>
      <c r="O98" s="10">
        <f t="shared" si="53"/>
        <v>0.25</v>
      </c>
      <c r="P98" s="10">
        <f t="shared" si="53"/>
        <v>0.25</v>
      </c>
      <c r="Q98" s="40">
        <f t="shared" si="50"/>
        <v>3.4666666666666665E-2</v>
      </c>
      <c r="R98" s="21">
        <f>IF(D98&gt;21,VLOOKUP(D98,Barem!$T$1:$U$141,2,1),0)</f>
        <v>0</v>
      </c>
      <c r="S98" s="152">
        <f>IF(D98&lt;1.609,0,IF(B98="F",VLOOKUP(I98,Barem!$X$2:$Z$13,2,1),VLOOKUP(I98,Barem!$X$14:$Z$25,2,1)))</f>
        <v>0</v>
      </c>
      <c r="T98" s="21">
        <f>VLOOKUP(A98,Participanti!A:C,3,0)</f>
        <v>0</v>
      </c>
      <c r="U98" s="18">
        <f t="shared" si="51"/>
        <v>1.8525238095238095</v>
      </c>
      <c r="V98" s="58" t="s">
        <v>382</v>
      </c>
      <c r="W98" s="77">
        <f t="shared" si="39"/>
        <v>1</v>
      </c>
      <c r="X98" s="1" t="e">
        <f>VLOOKUP(A98,Data_Echipe!A:R,18,0)</f>
        <v>#N/A</v>
      </c>
      <c r="Z98" s="115">
        <f t="shared" si="52"/>
        <v>1</v>
      </c>
    </row>
    <row r="99" spans="1:26" x14ac:dyDescent="0.3">
      <c r="A99" s="49" t="s">
        <v>340</v>
      </c>
      <c r="B99" s="1" t="str">
        <f>VLOOKUP(A99,Participanti!A:B,2,0)</f>
        <v>M</v>
      </c>
      <c r="C99" s="74">
        <v>2</v>
      </c>
      <c r="D99" s="50">
        <v>7.26</v>
      </c>
      <c r="E99" s="51">
        <v>2.6481481481481481E-2</v>
      </c>
      <c r="F99" s="51">
        <v>2.7175925925925926E-2</v>
      </c>
      <c r="G99" s="69">
        <f t="shared" si="47"/>
        <v>2.6828703703703702E-2</v>
      </c>
      <c r="H99" s="52"/>
      <c r="I99" s="12">
        <f t="shared" si="48"/>
        <v>3.6954137332925211E-3</v>
      </c>
      <c r="J99" s="37">
        <f t="shared" si="49"/>
        <v>1.7285714285714284</v>
      </c>
      <c r="K99" s="37">
        <f>IF(J99=0,0,IF(B99="F",VLOOKUP(I99,Barem!$G$2:$H$16,2,1),VLOOKUP(I99,Barem!$G$17:$H$31,2,1)))</f>
        <v>2</v>
      </c>
      <c r="L99" s="50">
        <v>1</v>
      </c>
      <c r="M99" s="124" t="s">
        <v>107</v>
      </c>
      <c r="N99" s="10">
        <f t="shared" si="53"/>
        <v>0.25</v>
      </c>
      <c r="O99" s="10">
        <f t="shared" si="53"/>
        <v>0.5</v>
      </c>
      <c r="P99" s="10">
        <f t="shared" si="53"/>
        <v>0.25</v>
      </c>
      <c r="Q99" s="40">
        <f t="shared" si="50"/>
        <v>0</v>
      </c>
      <c r="R99" s="21">
        <f>IF(D99&gt;21,VLOOKUP(D99,Barem!$T$1:$U$141,2,1),0)</f>
        <v>0</v>
      </c>
      <c r="S99" s="152">
        <f>IF(D99&lt;1.609,0,IF(B99="F",VLOOKUP(I99,Barem!$X$2:$Z$13,2,1),VLOOKUP(I99,Barem!$X$14:$Z$25,2,1)))</f>
        <v>0</v>
      </c>
      <c r="T99" s="21">
        <f>VLOOKUP(A99,Participanti!A:C,3,0)</f>
        <v>0</v>
      </c>
      <c r="U99" s="18">
        <f t="shared" si="51"/>
        <v>1.6821428571428572</v>
      </c>
      <c r="V99" s="58" t="s">
        <v>382</v>
      </c>
      <c r="W99" s="77">
        <f t="shared" si="39"/>
        <v>1</v>
      </c>
      <c r="X99" s="1" t="e">
        <f>VLOOKUP(A99,Data_Echipe!A:R,18,0)</f>
        <v>#N/A</v>
      </c>
      <c r="Z99" s="115">
        <f t="shared" si="52"/>
        <v>1</v>
      </c>
    </row>
    <row r="100" spans="1:26" x14ac:dyDescent="0.3">
      <c r="A100" s="49" t="s">
        <v>245</v>
      </c>
      <c r="B100" s="1" t="str">
        <f>VLOOKUP(A100,Participanti!A:B,2,0)</f>
        <v>M</v>
      </c>
      <c r="C100" s="74">
        <v>2</v>
      </c>
      <c r="D100" s="50">
        <v>10.45</v>
      </c>
      <c r="E100" s="51">
        <v>3.5682870370370372E-2</v>
      </c>
      <c r="F100" s="51">
        <v>3.5925925925925924E-2</v>
      </c>
      <c r="G100" s="69">
        <f t="shared" si="47"/>
        <v>3.5804398148148148E-2</v>
      </c>
      <c r="H100" s="52"/>
      <c r="I100" s="12">
        <f t="shared" si="48"/>
        <v>3.4262581959950381E-3</v>
      </c>
      <c r="J100" s="37">
        <f t="shared" si="49"/>
        <v>2.4880952380952377</v>
      </c>
      <c r="K100" s="37">
        <f>IF(J100=0,0,IF(B100="F",VLOOKUP(I100,Barem!$G$2:$H$16,2,1),VLOOKUP(I100,Barem!$G$17:$H$31,2,1)))</f>
        <v>3</v>
      </c>
      <c r="L100" s="50">
        <v>3</v>
      </c>
      <c r="M100" s="124" t="s">
        <v>207</v>
      </c>
      <c r="N100" s="10">
        <f t="shared" si="53"/>
        <v>0.25</v>
      </c>
      <c r="O100" s="10">
        <f t="shared" si="53"/>
        <v>0.25</v>
      </c>
      <c r="P100" s="10">
        <f t="shared" si="53"/>
        <v>0.5</v>
      </c>
      <c r="Q100" s="40">
        <f t="shared" si="50"/>
        <v>0</v>
      </c>
      <c r="R100" s="21">
        <f>IF(D100&gt;21,VLOOKUP(D100,Barem!$T$1:$U$141,2,1),0)</f>
        <v>0</v>
      </c>
      <c r="S100" s="152">
        <f>IF(D100&lt;1.609,0,IF(B100="F",VLOOKUP(I100,Barem!$X$2:$Z$13,2,1),VLOOKUP(I100,Barem!$X$14:$Z$25,2,1)))</f>
        <v>0</v>
      </c>
      <c r="T100" s="21">
        <f>VLOOKUP(A100,Participanti!A:C,3,0)</f>
        <v>0</v>
      </c>
      <c r="U100" s="18">
        <f t="shared" si="51"/>
        <v>2.8720238095238093</v>
      </c>
      <c r="V100" s="58" t="s">
        <v>382</v>
      </c>
      <c r="W100" s="77">
        <f t="shared" si="39"/>
        <v>1</v>
      </c>
      <c r="X100" s="1" t="str">
        <f>VLOOKUP(A100,Data_Echipe!A:R,18,0)</f>
        <v>#notSYRious</v>
      </c>
      <c r="Z100" s="115">
        <f t="shared" si="52"/>
        <v>1</v>
      </c>
    </row>
    <row r="101" spans="1:26" x14ac:dyDescent="0.3">
      <c r="A101" s="49" t="s">
        <v>203</v>
      </c>
      <c r="B101" s="1" t="str">
        <f>VLOOKUP(A101,Participanti!A:B,2,0)</f>
        <v>M</v>
      </c>
      <c r="C101" s="74">
        <v>2</v>
      </c>
      <c r="D101" s="50">
        <v>21.21</v>
      </c>
      <c r="E101" s="51">
        <v>7.4710648148148151E-2</v>
      </c>
      <c r="F101" s="51">
        <v>7.6689814814814808E-2</v>
      </c>
      <c r="G101" s="69">
        <f t="shared" ref="G101:G125" si="54">AVERAGE(E101:F101)</f>
        <v>7.5700231481481473E-2</v>
      </c>
      <c r="H101" s="52"/>
      <c r="I101" s="12">
        <f t="shared" ref="I101:I125" si="55">G101/D101</f>
        <v>3.5690821066233602E-3</v>
      </c>
      <c r="J101" s="37">
        <f t="shared" ref="J101:J125" si="56">IF(B101="F",IF(D101&lt;2.5,0,IF(D101&gt;19.99,5,D101/4)),IF(D101&lt;3,0, IF(D101&gt;20.99,5,D101/4.2)))</f>
        <v>5</v>
      </c>
      <c r="K101" s="37">
        <f>IF(J101=0,0,IF(B101="F",VLOOKUP(I101,Barem!$G$2:$H$16,2,1),VLOOKUP(I101,Barem!$G$17:$H$31,2,1)))</f>
        <v>2.5</v>
      </c>
      <c r="L101" s="50">
        <v>3.25</v>
      </c>
      <c r="M101" s="124" t="s">
        <v>106</v>
      </c>
      <c r="N101" s="10">
        <f t="shared" si="53"/>
        <v>0.5</v>
      </c>
      <c r="O101" s="10">
        <f t="shared" si="53"/>
        <v>0.25</v>
      </c>
      <c r="P101" s="10">
        <f t="shared" si="53"/>
        <v>0.25</v>
      </c>
      <c r="Q101" s="40">
        <f t="shared" ref="Q101:Q125" si="57">IF(H101&gt;49,H101/1500,0)</f>
        <v>0</v>
      </c>
      <c r="R101" s="21">
        <f>IF(D101&gt;21,VLOOKUP(D101,Barem!$T$1:$U$141,2,1),0)</f>
        <v>0</v>
      </c>
      <c r="S101" s="152">
        <f>IF(D101&lt;1.609,0,IF(B101="F",VLOOKUP(I101,Barem!$X$2:$Z$13,2,1),VLOOKUP(I101,Barem!$X$14:$Z$25,2,1)))</f>
        <v>0</v>
      </c>
      <c r="T101" s="21">
        <f>VLOOKUP(A101,Participanti!A:C,3,0)</f>
        <v>0</v>
      </c>
      <c r="U101" s="18">
        <f t="shared" ref="U101:U125" si="58">IF(H101&lt;0,0,J101*N101+K101*O101+L101*P101+Q101+R101+S101+T101)</f>
        <v>3.9375</v>
      </c>
      <c r="V101" s="58" t="s">
        <v>382</v>
      </c>
      <c r="W101" s="77">
        <f t="shared" si="39"/>
        <v>1</v>
      </c>
      <c r="X101" s="1" t="str">
        <f>VLOOKUP(A101,Data_Echipe!A:R,18,0)</f>
        <v>The GOATs</v>
      </c>
      <c r="Z101" s="115">
        <f t="shared" ref="Z101:Z125" si="59">IF(K101&gt;0,1,0)</f>
        <v>1</v>
      </c>
    </row>
    <row r="102" spans="1:26" x14ac:dyDescent="0.3">
      <c r="A102" s="49" t="s">
        <v>292</v>
      </c>
      <c r="B102" s="1" t="str">
        <f>VLOOKUP(A102,Participanti!A:B,2,0)</f>
        <v>F</v>
      </c>
      <c r="C102" s="74">
        <v>2</v>
      </c>
      <c r="D102" s="50">
        <v>11.29</v>
      </c>
      <c r="E102" s="51">
        <v>6.1493055555555558E-2</v>
      </c>
      <c r="F102" s="51">
        <v>7.165509259259259E-2</v>
      </c>
      <c r="G102" s="69">
        <f t="shared" si="54"/>
        <v>6.6574074074074077E-2</v>
      </c>
      <c r="H102" s="52">
        <v>420</v>
      </c>
      <c r="I102" s="12">
        <f t="shared" si="55"/>
        <v>5.8967293245415489E-3</v>
      </c>
      <c r="J102" s="37">
        <f t="shared" si="56"/>
        <v>2.8224999999999998</v>
      </c>
      <c r="K102" s="37">
        <f>IF(J102=0,0,IF(B102="F",VLOOKUP(I102,Barem!$G$2:$H$16,2,1),VLOOKUP(I102,Barem!$G$17:$H$31,2,1)))</f>
        <v>0.25</v>
      </c>
      <c r="L102" s="50">
        <v>0</v>
      </c>
      <c r="M102" s="124" t="s">
        <v>107</v>
      </c>
      <c r="N102" s="10">
        <f t="shared" si="53"/>
        <v>0.25</v>
      </c>
      <c r="O102" s="10">
        <f t="shared" si="53"/>
        <v>0.5</v>
      </c>
      <c r="P102" s="10">
        <f t="shared" si="53"/>
        <v>0.25</v>
      </c>
      <c r="Q102" s="40">
        <f t="shared" si="57"/>
        <v>0.28000000000000003</v>
      </c>
      <c r="R102" s="21">
        <f>IF(D102&gt;21,VLOOKUP(D102,Barem!$T$1:$U$141,2,1),0)</f>
        <v>0</v>
      </c>
      <c r="S102" s="152">
        <f>IF(D102&lt;1.609,0,IF(B102="F",VLOOKUP(I102,Barem!$X$2:$Z$13,2,1),VLOOKUP(I102,Barem!$X$14:$Z$25,2,1)))</f>
        <v>0</v>
      </c>
      <c r="T102" s="21">
        <f>VLOOKUP(A102,Participanti!A:C,3,0)</f>
        <v>0</v>
      </c>
      <c r="U102" s="18">
        <f t="shared" si="58"/>
        <v>1.110625</v>
      </c>
      <c r="V102" s="58" t="s">
        <v>382</v>
      </c>
      <c r="W102" s="77">
        <f t="shared" si="39"/>
        <v>1</v>
      </c>
      <c r="X102" s="1" t="e">
        <f>VLOOKUP(A102,Data_Echipe!A:R,18,0)</f>
        <v>#N/A</v>
      </c>
      <c r="Z102" s="115">
        <f t="shared" si="59"/>
        <v>1</v>
      </c>
    </row>
    <row r="103" spans="1:26" x14ac:dyDescent="0.3">
      <c r="A103" s="49" t="s">
        <v>63</v>
      </c>
      <c r="B103" s="1" t="str">
        <f>VLOOKUP(A103,Participanti!A:B,2,0)</f>
        <v>M</v>
      </c>
      <c r="C103" s="74">
        <v>2</v>
      </c>
      <c r="D103" s="50">
        <v>11.18</v>
      </c>
      <c r="E103" s="51">
        <v>5.5081018518518515E-2</v>
      </c>
      <c r="F103" s="51">
        <v>5.512731481481481E-2</v>
      </c>
      <c r="G103" s="69">
        <f t="shared" si="54"/>
        <v>5.5104166666666662E-2</v>
      </c>
      <c r="H103" s="52">
        <v>341</v>
      </c>
      <c r="I103" s="12">
        <f t="shared" si="55"/>
        <v>4.9288163387000592E-3</v>
      </c>
      <c r="J103" s="37">
        <f t="shared" si="56"/>
        <v>2.6619047619047618</v>
      </c>
      <c r="K103" s="37">
        <f>IF(J103=0,0,IF(B103="F",VLOOKUP(I103,Barem!$G$2:$H$16,2,1),VLOOKUP(I103,Barem!$G$17:$H$31,2,1)))</f>
        <v>0.25</v>
      </c>
      <c r="L103" s="50">
        <v>3.25</v>
      </c>
      <c r="M103" s="124" t="s">
        <v>207</v>
      </c>
      <c r="N103" s="10">
        <f t="shared" si="53"/>
        <v>0.25</v>
      </c>
      <c r="O103" s="10">
        <f t="shared" si="53"/>
        <v>0.25</v>
      </c>
      <c r="P103" s="10">
        <f t="shared" si="53"/>
        <v>0.5</v>
      </c>
      <c r="Q103" s="40">
        <f t="shared" si="57"/>
        <v>0.22733333333333333</v>
      </c>
      <c r="R103" s="21">
        <f>IF(D103&gt;21,VLOOKUP(D103,Barem!$T$1:$U$141,2,1),0)</f>
        <v>0</v>
      </c>
      <c r="S103" s="152">
        <f>IF(D103&lt;1.609,0,IF(B103="F",VLOOKUP(I103,Barem!$X$2:$Z$13,2,1),VLOOKUP(I103,Barem!$X$14:$Z$25,2,1)))</f>
        <v>0</v>
      </c>
      <c r="T103" s="21">
        <f>VLOOKUP(A103,Participanti!A:C,3,0)</f>
        <v>0</v>
      </c>
      <c r="U103" s="18">
        <f t="shared" si="58"/>
        <v>2.5803095238095235</v>
      </c>
      <c r="V103" s="58" t="s">
        <v>382</v>
      </c>
      <c r="W103" s="77">
        <f t="shared" si="39"/>
        <v>1</v>
      </c>
      <c r="X103" s="1" t="str">
        <f>VLOOKUP(A103,Data_Echipe!A:R,18,0)</f>
        <v>#notSYRious</v>
      </c>
      <c r="Z103" s="115">
        <f t="shared" si="59"/>
        <v>1</v>
      </c>
    </row>
    <row r="104" spans="1:26" x14ac:dyDescent="0.3">
      <c r="A104" s="49" t="s">
        <v>124</v>
      </c>
      <c r="B104" s="1" t="str">
        <f>VLOOKUP(A104,Participanti!A:B,2,0)</f>
        <v>M</v>
      </c>
      <c r="C104" s="74">
        <v>2</v>
      </c>
      <c r="D104" s="50">
        <v>26.28</v>
      </c>
      <c r="E104" s="51">
        <v>8.1215277777777775E-2</v>
      </c>
      <c r="F104" s="51">
        <v>8.1215277777777775E-2</v>
      </c>
      <c r="G104" s="69">
        <f t="shared" si="54"/>
        <v>8.1215277777777775E-2</v>
      </c>
      <c r="H104" s="52">
        <v>52</v>
      </c>
      <c r="I104" s="12">
        <f t="shared" si="55"/>
        <v>3.0903834770843902E-3</v>
      </c>
      <c r="J104" s="37">
        <f t="shared" si="56"/>
        <v>5</v>
      </c>
      <c r="K104" s="37">
        <f>IF(J104=0,0,IF(B104="F",VLOOKUP(I104,Barem!$G$2:$H$16,2,1),VLOOKUP(I104,Barem!$G$17:$H$31,2,1)))</f>
        <v>4</v>
      </c>
      <c r="L104" s="50">
        <v>4.25</v>
      </c>
      <c r="M104" s="124" t="s">
        <v>207</v>
      </c>
      <c r="N104" s="10">
        <f t="shared" si="53"/>
        <v>0.25</v>
      </c>
      <c r="O104" s="10">
        <f t="shared" si="53"/>
        <v>0.25</v>
      </c>
      <c r="P104" s="10">
        <f t="shared" si="53"/>
        <v>0.5</v>
      </c>
      <c r="Q104" s="40">
        <f t="shared" si="57"/>
        <v>3.4666666666666665E-2</v>
      </c>
      <c r="R104" s="21">
        <f>IF(D104&gt;21,VLOOKUP(D104,Barem!$T$1:$U$141,2,1),0)</f>
        <v>0.2</v>
      </c>
      <c r="S104" s="152">
        <f>IF(D104&lt;1.609,0,IF(B104="F",VLOOKUP(I104,Barem!$X$2:$Z$13,2,1),VLOOKUP(I104,Barem!$X$14:$Z$25,2,1)))</f>
        <v>0</v>
      </c>
      <c r="T104" s="21">
        <f>VLOOKUP(A104,Participanti!A:C,3,0)</f>
        <v>0</v>
      </c>
      <c r="U104" s="18">
        <f t="shared" si="58"/>
        <v>4.6096666666666666</v>
      </c>
      <c r="V104" s="58" t="s">
        <v>382</v>
      </c>
      <c r="W104" s="77">
        <f t="shared" si="39"/>
        <v>1</v>
      </c>
      <c r="X104" s="1" t="str">
        <f>VLOOKUP(A104,Data_Echipe!A:R,18,0)</f>
        <v>#notSYRious</v>
      </c>
      <c r="Z104" s="115">
        <f t="shared" si="59"/>
        <v>1</v>
      </c>
    </row>
    <row r="105" spans="1:26" x14ac:dyDescent="0.3">
      <c r="A105" s="49" t="s">
        <v>341</v>
      </c>
      <c r="B105" s="1" t="str">
        <f>VLOOKUP(A105,Participanti!A:B,2,0)</f>
        <v>M</v>
      </c>
      <c r="C105" s="74">
        <v>2</v>
      </c>
      <c r="D105" s="50">
        <v>44.38</v>
      </c>
      <c r="E105" s="51">
        <v>0.25217592592592591</v>
      </c>
      <c r="F105" s="51">
        <v>0.27502314814814816</v>
      </c>
      <c r="G105" s="69">
        <f t="shared" si="54"/>
        <v>0.26359953703703703</v>
      </c>
      <c r="H105" s="52">
        <v>2069</v>
      </c>
      <c r="I105" s="12">
        <f t="shared" si="55"/>
        <v>5.9396020062423846E-3</v>
      </c>
      <c r="J105" s="37">
        <f t="shared" si="56"/>
        <v>5</v>
      </c>
      <c r="K105" s="37">
        <f>IF(J105=0,0,IF(B105="F",VLOOKUP(I105,Barem!$G$2:$H$16,2,1),VLOOKUP(I105,Barem!$G$17:$H$31,2,1)))</f>
        <v>0</v>
      </c>
      <c r="L105" s="50">
        <v>3</v>
      </c>
      <c r="M105" s="124" t="s">
        <v>106</v>
      </c>
      <c r="N105" s="10">
        <f t="shared" si="53"/>
        <v>0.5</v>
      </c>
      <c r="O105" s="10">
        <f t="shared" si="53"/>
        <v>0.25</v>
      </c>
      <c r="P105" s="10">
        <f t="shared" si="53"/>
        <v>0.25</v>
      </c>
      <c r="Q105" s="40">
        <f t="shared" si="57"/>
        <v>1.3793333333333333</v>
      </c>
      <c r="R105" s="21">
        <f>IF(D105&gt;21,VLOOKUP(D105,Barem!$T$1:$U$141,2,1),0)</f>
        <v>1.1000000000000001</v>
      </c>
      <c r="S105" s="152">
        <f>IF(D105&lt;1.609,0,IF(B105="F",VLOOKUP(I105,Barem!$X$2:$Z$13,2,1),VLOOKUP(I105,Barem!$X$14:$Z$25,2,1)))</f>
        <v>0</v>
      </c>
      <c r="T105" s="21">
        <f>VLOOKUP(A105,Participanti!A:C,3,0)</f>
        <v>0</v>
      </c>
      <c r="U105" s="18">
        <f t="shared" si="58"/>
        <v>5.7293333333333329</v>
      </c>
      <c r="V105" s="58" t="s">
        <v>382</v>
      </c>
      <c r="W105" s="77">
        <f t="shared" si="39"/>
        <v>1</v>
      </c>
      <c r="X105" s="1" t="str">
        <f>VLOOKUP(A105,Data_Echipe!A:R,18,0)</f>
        <v>The GOATs</v>
      </c>
      <c r="Z105" s="115">
        <f t="shared" si="59"/>
        <v>0</v>
      </c>
    </row>
    <row r="106" spans="1:26" x14ac:dyDescent="0.3">
      <c r="A106" s="49" t="s">
        <v>361</v>
      </c>
      <c r="B106" s="1" t="str">
        <f>VLOOKUP(A106,Participanti!A:B,2,0)</f>
        <v>M</v>
      </c>
      <c r="C106" s="74">
        <v>2</v>
      </c>
      <c r="D106" s="50">
        <v>42.32</v>
      </c>
      <c r="E106" s="51">
        <v>0.15482638888888889</v>
      </c>
      <c r="F106" s="51">
        <v>0.155</v>
      </c>
      <c r="G106" s="69">
        <f t="shared" si="54"/>
        <v>0.15491319444444446</v>
      </c>
      <c r="H106" s="52">
        <v>57</v>
      </c>
      <c r="I106" s="12">
        <f t="shared" si="55"/>
        <v>3.6605197174963246E-3</v>
      </c>
      <c r="J106" s="37">
        <f t="shared" si="56"/>
        <v>5</v>
      </c>
      <c r="K106" s="37">
        <f>IF(J106=0,0,IF(B106="F",VLOOKUP(I106,Barem!$G$2:$H$16,2,1),VLOOKUP(I106,Barem!$G$17:$H$31,2,1)))</f>
        <v>2</v>
      </c>
      <c r="L106" s="50">
        <v>2.5</v>
      </c>
      <c r="M106" s="124" t="s">
        <v>106</v>
      </c>
      <c r="N106" s="10">
        <f t="shared" si="53"/>
        <v>0.5</v>
      </c>
      <c r="O106" s="10">
        <f t="shared" si="53"/>
        <v>0.25</v>
      </c>
      <c r="P106" s="10">
        <f t="shared" si="53"/>
        <v>0.25</v>
      </c>
      <c r="Q106" s="40">
        <f t="shared" si="57"/>
        <v>3.7999999999999999E-2</v>
      </c>
      <c r="R106" s="21">
        <f>IF(D106&gt;21,VLOOKUP(D106,Barem!$T$1:$U$141,2,1),0)</f>
        <v>1</v>
      </c>
      <c r="S106" s="152">
        <f>IF(D106&lt;1.609,0,IF(B106="F",VLOOKUP(I106,Barem!$X$2:$Z$13,2,1),VLOOKUP(I106,Barem!$X$14:$Z$25,2,1)))</f>
        <v>0</v>
      </c>
      <c r="T106" s="21">
        <f>VLOOKUP(A106,Participanti!A:C,3,0)</f>
        <v>0</v>
      </c>
      <c r="U106" s="18">
        <f t="shared" si="58"/>
        <v>4.6630000000000003</v>
      </c>
      <c r="V106" s="58" t="s">
        <v>382</v>
      </c>
      <c r="W106" s="77">
        <f t="shared" si="39"/>
        <v>1</v>
      </c>
      <c r="X106" s="1" t="str">
        <f>VLOOKUP(A106,Data_Echipe!A:R,18,0)</f>
        <v>UltraHaita lu' Borcan</v>
      </c>
      <c r="Z106" s="115">
        <f t="shared" si="59"/>
        <v>1</v>
      </c>
    </row>
    <row r="107" spans="1:26" x14ac:dyDescent="0.3">
      <c r="A107" s="49" t="s">
        <v>370</v>
      </c>
      <c r="B107" s="1" t="str">
        <f>VLOOKUP(A107,Participanti!A:B,2,0)</f>
        <v>F</v>
      </c>
      <c r="C107" s="74">
        <v>2</v>
      </c>
      <c r="D107" s="50">
        <v>10.02</v>
      </c>
      <c r="E107" s="51">
        <v>4.3773148148148144E-2</v>
      </c>
      <c r="F107" s="51">
        <v>4.3935185185185188E-2</v>
      </c>
      <c r="G107" s="69">
        <f t="shared" si="54"/>
        <v>4.3854166666666666E-2</v>
      </c>
      <c r="H107" s="52"/>
      <c r="I107" s="12">
        <f t="shared" si="55"/>
        <v>4.3766633399866936E-3</v>
      </c>
      <c r="J107" s="37">
        <f t="shared" si="56"/>
        <v>2.5049999999999999</v>
      </c>
      <c r="K107" s="37">
        <f>IF(J107=0,0,IF(B107="F",VLOOKUP(I107,Barem!$G$2:$H$16,2,1),VLOOKUP(I107,Barem!$G$17:$H$31,2,1)))</f>
        <v>1.5</v>
      </c>
      <c r="L107" s="50">
        <v>3</v>
      </c>
      <c r="M107" s="124" t="s">
        <v>207</v>
      </c>
      <c r="N107" s="10">
        <f t="shared" si="53"/>
        <v>0.25</v>
      </c>
      <c r="O107" s="10">
        <f t="shared" si="53"/>
        <v>0.25</v>
      </c>
      <c r="P107" s="10">
        <f t="shared" si="53"/>
        <v>0.5</v>
      </c>
      <c r="Q107" s="40">
        <f t="shared" si="57"/>
        <v>0</v>
      </c>
      <c r="R107" s="21">
        <f>IF(D107&gt;21,VLOOKUP(D107,Barem!$T$1:$U$141,2,1),0)</f>
        <v>0</v>
      </c>
      <c r="S107" s="152">
        <f>IF(D107&lt;1.609,0,IF(B107="F",VLOOKUP(I107,Barem!$X$2:$Z$13,2,1),VLOOKUP(I107,Barem!$X$14:$Z$25,2,1)))</f>
        <v>0</v>
      </c>
      <c r="T107" s="21">
        <f>VLOOKUP(A107,Participanti!A:C,3,0)</f>
        <v>0</v>
      </c>
      <c r="U107" s="18">
        <f t="shared" si="58"/>
        <v>2.5012499999999998</v>
      </c>
      <c r="V107" s="58" t="s">
        <v>382</v>
      </c>
      <c r="W107" s="77">
        <f t="shared" si="39"/>
        <v>1</v>
      </c>
      <c r="X107" s="1" t="e">
        <f>VLOOKUP(A107,Data_Echipe!A:R,18,0)</f>
        <v>#N/A</v>
      </c>
      <c r="Z107" s="115">
        <f t="shared" si="59"/>
        <v>1</v>
      </c>
    </row>
    <row r="108" spans="1:26" x14ac:dyDescent="0.3">
      <c r="A108" s="49" t="s">
        <v>177</v>
      </c>
      <c r="B108" s="1" t="str">
        <f>VLOOKUP(A108,Participanti!A:B,2,0)</f>
        <v>F</v>
      </c>
      <c r="C108" s="74">
        <v>2</v>
      </c>
      <c r="D108" s="50">
        <v>10.029999999999999</v>
      </c>
      <c r="E108" s="51">
        <v>4.3344907407407408E-2</v>
      </c>
      <c r="F108" s="51">
        <v>4.9803240740740738E-2</v>
      </c>
      <c r="G108" s="69">
        <f t="shared" si="54"/>
        <v>4.6574074074074073E-2</v>
      </c>
      <c r="H108" s="52"/>
      <c r="I108" s="12">
        <f t="shared" si="55"/>
        <v>4.6434769764779737E-3</v>
      </c>
      <c r="J108" s="37">
        <f t="shared" si="56"/>
        <v>2.5074999999999998</v>
      </c>
      <c r="K108" s="37">
        <f>IF(J108=0,0,IF(B108="F",VLOOKUP(I108,Barem!$G$2:$H$16,2,1),VLOOKUP(I108,Barem!$G$17:$H$31,2,1)))</f>
        <v>1.25</v>
      </c>
      <c r="L108" s="50">
        <v>2.5</v>
      </c>
      <c r="M108" s="124" t="s">
        <v>106</v>
      </c>
      <c r="N108" s="10">
        <f t="shared" si="53"/>
        <v>0.5</v>
      </c>
      <c r="O108" s="10">
        <f t="shared" si="53"/>
        <v>0.25</v>
      </c>
      <c r="P108" s="10">
        <f t="shared" si="53"/>
        <v>0.25</v>
      </c>
      <c r="Q108" s="40">
        <f t="shared" si="57"/>
        <v>0</v>
      </c>
      <c r="R108" s="21">
        <f>IF(D108&gt;21,VLOOKUP(D108,Barem!$T$1:$U$141,2,1),0)</f>
        <v>0</v>
      </c>
      <c r="S108" s="152">
        <f>IF(D108&lt;1.609,0,IF(B108="F",VLOOKUP(I108,Barem!$X$2:$Z$13,2,1),VLOOKUP(I108,Barem!$X$14:$Z$25,2,1)))</f>
        <v>0</v>
      </c>
      <c r="T108" s="21">
        <f>VLOOKUP(A108,Participanti!A:C,3,0)</f>
        <v>0</v>
      </c>
      <c r="U108" s="18">
        <f t="shared" si="58"/>
        <v>2.1912500000000001</v>
      </c>
      <c r="V108" s="58" t="s">
        <v>382</v>
      </c>
      <c r="W108" s="77">
        <f t="shared" si="39"/>
        <v>1</v>
      </c>
      <c r="X108" s="1" t="str">
        <f>VLOOKUP(A108,Data_Echipe!A:R,18,0)</f>
        <v>UltraHaita lu' Borcan</v>
      </c>
      <c r="Z108" s="115">
        <f t="shared" si="59"/>
        <v>1</v>
      </c>
    </row>
    <row r="109" spans="1:26" x14ac:dyDescent="0.3">
      <c r="A109" s="49" t="s">
        <v>376</v>
      </c>
      <c r="B109" s="1" t="str">
        <f>VLOOKUP(A109,Participanti!A:B,2,0)</f>
        <v>M</v>
      </c>
      <c r="C109" s="74">
        <v>2</v>
      </c>
      <c r="D109" s="50">
        <v>35.01</v>
      </c>
      <c r="E109" s="51">
        <v>9.7731481481481475E-2</v>
      </c>
      <c r="F109" s="51">
        <v>9.7731481481481475E-2</v>
      </c>
      <c r="G109" s="69">
        <f t="shared" si="54"/>
        <v>9.7731481481481475E-2</v>
      </c>
      <c r="H109" s="52"/>
      <c r="I109" s="12">
        <f t="shared" si="55"/>
        <v>2.7915304621959863E-3</v>
      </c>
      <c r="J109" s="37">
        <f t="shared" si="56"/>
        <v>5</v>
      </c>
      <c r="K109" s="37">
        <f>IF(J109=0,0,IF(B109="F",VLOOKUP(I109,Barem!$G$2:$H$16,2,1),VLOOKUP(I109,Barem!$G$17:$H$31,2,1)))</f>
        <v>4.5</v>
      </c>
      <c r="L109" s="50">
        <v>0.5</v>
      </c>
      <c r="M109" s="124" t="s">
        <v>107</v>
      </c>
      <c r="N109" s="10">
        <f t="shared" si="53"/>
        <v>0.25</v>
      </c>
      <c r="O109" s="10">
        <f t="shared" si="53"/>
        <v>0.5</v>
      </c>
      <c r="P109" s="10">
        <f t="shared" si="53"/>
        <v>0.25</v>
      </c>
      <c r="Q109" s="40">
        <f t="shared" si="57"/>
        <v>0</v>
      </c>
      <c r="R109" s="21">
        <f>IF(D109&gt;21,VLOOKUP(D109,Barem!$T$1:$U$141,2,1),0)</f>
        <v>0.7</v>
      </c>
      <c r="S109" s="152">
        <f>IF(D109&lt;1.609,0,IF(B109="F",VLOOKUP(I109,Barem!$X$2:$Z$13,2,1),VLOOKUP(I109,Barem!$X$14:$Z$25,2,1)))</f>
        <v>0</v>
      </c>
      <c r="T109" s="21">
        <f>VLOOKUP(A109,Participanti!A:C,3,0)</f>
        <v>0</v>
      </c>
      <c r="U109" s="18">
        <f t="shared" si="58"/>
        <v>4.3250000000000002</v>
      </c>
      <c r="V109" s="58" t="s">
        <v>382</v>
      </c>
      <c r="W109" s="77">
        <f t="shared" si="39"/>
        <v>1</v>
      </c>
      <c r="X109" s="1" t="e">
        <f>VLOOKUP(A109,Data_Echipe!A:R,18,0)</f>
        <v>#N/A</v>
      </c>
      <c r="Z109" s="115">
        <f t="shared" si="59"/>
        <v>1</v>
      </c>
    </row>
    <row r="110" spans="1:26" x14ac:dyDescent="0.3">
      <c r="A110" s="49" t="s">
        <v>369</v>
      </c>
      <c r="B110" s="1" t="str">
        <f>VLOOKUP(A110,Participanti!A:B,2,0)</f>
        <v>M</v>
      </c>
      <c r="C110" s="74">
        <v>2</v>
      </c>
      <c r="D110" s="50">
        <v>18</v>
      </c>
      <c r="E110" s="51">
        <v>0.13648148148148148</v>
      </c>
      <c r="F110" s="51">
        <v>0.28229166666666666</v>
      </c>
      <c r="G110" s="69">
        <f t="shared" si="54"/>
        <v>0.20938657407407407</v>
      </c>
      <c r="H110" s="52">
        <v>1076</v>
      </c>
      <c r="I110" s="12">
        <f t="shared" si="55"/>
        <v>1.163258744855967E-2</v>
      </c>
      <c r="J110" s="37">
        <f t="shared" si="56"/>
        <v>4.2857142857142856</v>
      </c>
      <c r="K110" s="37">
        <f>IF(J110=0,0,IF(B110="F",VLOOKUP(I110,Barem!$G$2:$H$16,2,1),VLOOKUP(I110,Barem!$G$17:$H$31,2,1)))</f>
        <v>0</v>
      </c>
      <c r="L110" s="50">
        <v>2.75</v>
      </c>
      <c r="M110" s="124" t="s">
        <v>106</v>
      </c>
      <c r="N110" s="10">
        <f t="shared" si="53"/>
        <v>0.5</v>
      </c>
      <c r="O110" s="10">
        <f t="shared" si="53"/>
        <v>0.25</v>
      </c>
      <c r="P110" s="10">
        <f t="shared" si="53"/>
        <v>0.25</v>
      </c>
      <c r="Q110" s="40">
        <f t="shared" si="57"/>
        <v>0.71733333333333338</v>
      </c>
      <c r="R110" s="21">
        <f>IF(D110&gt;21,VLOOKUP(D110,Barem!$T$1:$U$141,2,1),0)</f>
        <v>0</v>
      </c>
      <c r="S110" s="152">
        <f>IF(D110&lt;1.609,0,IF(B110="F",VLOOKUP(I110,Barem!$X$2:$Z$13,2,1),VLOOKUP(I110,Barem!$X$14:$Z$25,2,1)))</f>
        <v>0</v>
      </c>
      <c r="T110" s="21">
        <f>VLOOKUP(A110,Participanti!A:C,3,0)</f>
        <v>0</v>
      </c>
      <c r="U110" s="18">
        <f t="shared" si="58"/>
        <v>3.5476904761904762</v>
      </c>
      <c r="V110" s="58" t="s">
        <v>382</v>
      </c>
      <c r="W110" s="77">
        <f t="shared" si="39"/>
        <v>1</v>
      </c>
      <c r="X110" s="1" t="str">
        <f>VLOOKUP(A110,Data_Echipe!A:R,18,0)</f>
        <v>MedgidiaRunning</v>
      </c>
      <c r="Z110" s="115">
        <f t="shared" si="59"/>
        <v>0</v>
      </c>
    </row>
    <row r="111" spans="1:26" x14ac:dyDescent="0.3">
      <c r="A111" s="49" t="s">
        <v>343</v>
      </c>
      <c r="B111" s="1" t="str">
        <f>VLOOKUP(A111,Participanti!A:B,2,0)</f>
        <v>M</v>
      </c>
      <c r="C111" s="74">
        <v>2</v>
      </c>
      <c r="D111" s="50">
        <v>21.23</v>
      </c>
      <c r="E111" s="51">
        <v>6.4618055555555554E-2</v>
      </c>
      <c r="F111" s="51">
        <v>6.4618055555555554E-2</v>
      </c>
      <c r="G111" s="69">
        <f t="shared" si="54"/>
        <v>6.4618055555555554E-2</v>
      </c>
      <c r="H111" s="52"/>
      <c r="I111" s="12">
        <f t="shared" si="55"/>
        <v>3.0437143455278167E-3</v>
      </c>
      <c r="J111" s="37">
        <f t="shared" si="56"/>
        <v>5</v>
      </c>
      <c r="K111" s="37">
        <f>IF(J111=0,0,IF(B111="F",VLOOKUP(I111,Barem!$G$2:$H$16,2,1),VLOOKUP(I111,Barem!$G$17:$H$31,2,1)))</f>
        <v>4</v>
      </c>
      <c r="L111" s="50">
        <v>2.5</v>
      </c>
      <c r="M111" s="124" t="s">
        <v>106</v>
      </c>
      <c r="N111" s="10">
        <f t="shared" ref="N111:P126" si="60">IF($M111=N$1,50%,25%)</f>
        <v>0.5</v>
      </c>
      <c r="O111" s="10">
        <f t="shared" si="60"/>
        <v>0.25</v>
      </c>
      <c r="P111" s="10">
        <f t="shared" si="60"/>
        <v>0.25</v>
      </c>
      <c r="Q111" s="40">
        <f t="shared" si="57"/>
        <v>0</v>
      </c>
      <c r="R111" s="21">
        <f>IF(D111&gt;21,VLOOKUP(D111,Barem!$T$1:$U$141,2,1),0)</f>
        <v>0</v>
      </c>
      <c r="S111" s="152">
        <f>IF(D111&lt;1.609,0,IF(B111="F",VLOOKUP(I111,Barem!$X$2:$Z$13,2,1),VLOOKUP(I111,Barem!$X$14:$Z$25,2,1)))</f>
        <v>0</v>
      </c>
      <c r="T111" s="21">
        <f>VLOOKUP(A111,Participanti!A:C,3,0)</f>
        <v>0</v>
      </c>
      <c r="U111" s="18">
        <f t="shared" si="58"/>
        <v>4.125</v>
      </c>
      <c r="V111" s="58" t="s">
        <v>382</v>
      </c>
      <c r="W111" s="77">
        <f t="shared" si="39"/>
        <v>1</v>
      </c>
      <c r="X111" s="1" t="str">
        <f>VLOOKUP(A111,Data_Echipe!A:R,18,0)</f>
        <v>#notSYRious</v>
      </c>
      <c r="Z111" s="115">
        <f t="shared" si="59"/>
        <v>1</v>
      </c>
    </row>
    <row r="112" spans="1:26" x14ac:dyDescent="0.3">
      <c r="A112" s="49" t="s">
        <v>359</v>
      </c>
      <c r="B112" s="1" t="str">
        <f>VLOOKUP(A112,Participanti!A:B,2,0)</f>
        <v>M</v>
      </c>
      <c r="C112" s="74">
        <v>2</v>
      </c>
      <c r="D112" s="50">
        <v>14.55</v>
      </c>
      <c r="E112" s="51">
        <v>5.5567129629629626E-2</v>
      </c>
      <c r="F112" s="51">
        <v>5.5833333333333325E-2</v>
      </c>
      <c r="G112" s="69">
        <f t="shared" si="54"/>
        <v>5.5700231481481476E-2</v>
      </c>
      <c r="H112" s="52"/>
      <c r="I112" s="12">
        <f t="shared" si="55"/>
        <v>3.8281946035382455E-3</v>
      </c>
      <c r="J112" s="37">
        <f t="shared" si="56"/>
        <v>3.4642857142857144</v>
      </c>
      <c r="K112" s="37">
        <f>IF(J112=0,0,IF(B112="F",VLOOKUP(I112,Barem!$G$2:$H$16,2,1),VLOOKUP(I112,Barem!$G$17:$H$31,2,1)))</f>
        <v>2</v>
      </c>
      <c r="L112" s="50">
        <v>0.25</v>
      </c>
      <c r="M112" s="124" t="s">
        <v>107</v>
      </c>
      <c r="N112" s="10">
        <f t="shared" si="60"/>
        <v>0.25</v>
      </c>
      <c r="O112" s="10">
        <f t="shared" si="60"/>
        <v>0.5</v>
      </c>
      <c r="P112" s="10">
        <f t="shared" si="60"/>
        <v>0.25</v>
      </c>
      <c r="Q112" s="40">
        <f t="shared" si="57"/>
        <v>0</v>
      </c>
      <c r="R112" s="21">
        <f>IF(D112&gt;21,VLOOKUP(D112,Barem!$T$1:$U$141,2,1),0)</f>
        <v>0</v>
      </c>
      <c r="S112" s="152">
        <f>IF(D112&lt;1.609,0,IF(B112="F",VLOOKUP(I112,Barem!$X$2:$Z$13,2,1),VLOOKUP(I112,Barem!$X$14:$Z$25,2,1)))</f>
        <v>0</v>
      </c>
      <c r="T112" s="21">
        <f>VLOOKUP(A112,Participanti!A:C,3,0)</f>
        <v>0</v>
      </c>
      <c r="U112" s="18">
        <f t="shared" si="58"/>
        <v>1.9285714285714286</v>
      </c>
      <c r="V112" s="58" t="s">
        <v>382</v>
      </c>
      <c r="W112" s="77">
        <f t="shared" si="39"/>
        <v>1</v>
      </c>
      <c r="X112" s="1" t="str">
        <f>VLOOKUP(A112,Data_Echipe!A:R,18,0)</f>
        <v>Almost Kenyan Runners</v>
      </c>
      <c r="Z112" s="115">
        <f t="shared" si="59"/>
        <v>1</v>
      </c>
    </row>
    <row r="113" spans="1:26" x14ac:dyDescent="0.3">
      <c r="A113" s="49" t="s">
        <v>53</v>
      </c>
      <c r="B113" s="1" t="str">
        <f>VLOOKUP(A113,Participanti!A:B,2,0)</f>
        <v>M</v>
      </c>
      <c r="C113" s="74">
        <v>2</v>
      </c>
      <c r="D113" s="50">
        <v>16.440000000000001</v>
      </c>
      <c r="E113" s="51">
        <v>6.9490740740740742E-2</v>
      </c>
      <c r="F113" s="51">
        <v>6.9490740740740742E-2</v>
      </c>
      <c r="G113" s="69">
        <f t="shared" si="54"/>
        <v>6.9490740740740742E-2</v>
      </c>
      <c r="H113" s="52">
        <v>57</v>
      </c>
      <c r="I113" s="12">
        <f t="shared" si="55"/>
        <v>4.2269307019915285E-3</v>
      </c>
      <c r="J113" s="37">
        <f t="shared" si="56"/>
        <v>3.9142857142857146</v>
      </c>
      <c r="K113" s="37">
        <f>IF(J113=0,0,IF(B113="F",VLOOKUP(I113,Barem!$G$2:$H$16,2,1),VLOOKUP(I113,Barem!$G$17:$H$31,2,1)))</f>
        <v>1.25</v>
      </c>
      <c r="L113" s="50">
        <v>2.5</v>
      </c>
      <c r="M113" s="124" t="s">
        <v>106</v>
      </c>
      <c r="N113" s="10">
        <f t="shared" si="60"/>
        <v>0.5</v>
      </c>
      <c r="O113" s="10">
        <f t="shared" si="60"/>
        <v>0.25</v>
      </c>
      <c r="P113" s="10">
        <f t="shared" si="60"/>
        <v>0.25</v>
      </c>
      <c r="Q113" s="40">
        <f t="shared" si="57"/>
        <v>3.7999999999999999E-2</v>
      </c>
      <c r="R113" s="21">
        <f>IF(D113&gt;21,VLOOKUP(D113,Barem!$T$1:$U$141,2,1),0)</f>
        <v>0</v>
      </c>
      <c r="S113" s="152">
        <f>IF(D113&lt;1.609,0,IF(B113="F",VLOOKUP(I113,Barem!$X$2:$Z$13,2,1),VLOOKUP(I113,Barem!$X$14:$Z$25,2,1)))</f>
        <v>0</v>
      </c>
      <c r="T113" s="21">
        <f>VLOOKUP(A113,Participanti!A:C,3,0)</f>
        <v>0</v>
      </c>
      <c r="U113" s="18">
        <f t="shared" si="58"/>
        <v>2.9326428571428571</v>
      </c>
      <c r="V113" s="58" t="s">
        <v>382</v>
      </c>
      <c r="W113" s="77">
        <f t="shared" si="39"/>
        <v>1</v>
      </c>
      <c r="X113" s="1" t="e">
        <f>VLOOKUP(A113,Data_Echipe!A:R,18,0)</f>
        <v>#N/A</v>
      </c>
      <c r="Z113" s="115">
        <f t="shared" si="59"/>
        <v>1</v>
      </c>
    </row>
    <row r="114" spans="1:26" x14ac:dyDescent="0.3">
      <c r="A114" s="49" t="s">
        <v>137</v>
      </c>
      <c r="B114" s="1" t="str">
        <f>VLOOKUP(A114,Participanti!A:B,2,0)</f>
        <v>M</v>
      </c>
      <c r="C114" s="74">
        <v>2</v>
      </c>
      <c r="D114" s="50">
        <v>21.27</v>
      </c>
      <c r="E114" s="51">
        <v>8.6539351851851853E-2</v>
      </c>
      <c r="F114" s="51">
        <v>8.9664351851851856E-2</v>
      </c>
      <c r="G114" s="69">
        <f t="shared" si="54"/>
        <v>8.8101851851851848E-2</v>
      </c>
      <c r="H114" s="52">
        <v>446</v>
      </c>
      <c r="I114" s="12">
        <f t="shared" si="55"/>
        <v>4.1420710790715494E-3</v>
      </c>
      <c r="J114" s="37">
        <f t="shared" si="56"/>
        <v>5</v>
      </c>
      <c r="K114" s="37">
        <f>IF(J114=0,0,IF(B114="F",VLOOKUP(I114,Barem!$G$2:$H$16,2,1),VLOOKUP(I114,Barem!$G$17:$H$31,2,1)))</f>
        <v>1.5</v>
      </c>
      <c r="L114" s="50">
        <v>2</v>
      </c>
      <c r="M114" s="124" t="s">
        <v>106</v>
      </c>
      <c r="N114" s="10">
        <f t="shared" si="60"/>
        <v>0.5</v>
      </c>
      <c r="O114" s="10">
        <f t="shared" si="60"/>
        <v>0.25</v>
      </c>
      <c r="P114" s="10">
        <f t="shared" si="60"/>
        <v>0.25</v>
      </c>
      <c r="Q114" s="40">
        <f t="shared" si="57"/>
        <v>0.29733333333333334</v>
      </c>
      <c r="R114" s="21">
        <f>IF(D114&gt;21,VLOOKUP(D114,Barem!$T$1:$U$141,2,1),0)</f>
        <v>0</v>
      </c>
      <c r="S114" s="152">
        <f>IF(D114&lt;1.609,0,IF(B114="F",VLOOKUP(I114,Barem!$X$2:$Z$13,2,1),VLOOKUP(I114,Barem!$X$14:$Z$25,2,1)))</f>
        <v>0</v>
      </c>
      <c r="T114" s="21">
        <f>VLOOKUP(A114,Participanti!A:C,3,0)</f>
        <v>0</v>
      </c>
      <c r="U114" s="18">
        <f t="shared" si="58"/>
        <v>3.6723333333333334</v>
      </c>
      <c r="V114" s="58" t="s">
        <v>382</v>
      </c>
      <c r="W114" s="77">
        <f t="shared" si="39"/>
        <v>1</v>
      </c>
      <c r="X114" s="1" t="str">
        <f>VLOOKUP(A114,Data_Echipe!A:R,18,0)</f>
        <v>The GOATs</v>
      </c>
      <c r="Z114" s="115">
        <f t="shared" si="59"/>
        <v>1</v>
      </c>
    </row>
    <row r="115" spans="1:26" x14ac:dyDescent="0.3">
      <c r="A115" s="49" t="s">
        <v>205</v>
      </c>
      <c r="B115" s="1" t="str">
        <f>VLOOKUP(A115,Participanti!A:B,2,0)</f>
        <v>M</v>
      </c>
      <c r="C115" s="74">
        <v>2</v>
      </c>
      <c r="D115" s="50">
        <v>15.42</v>
      </c>
      <c r="E115" s="51">
        <v>6.2523148148148147E-2</v>
      </c>
      <c r="F115" s="51">
        <v>6.3842592592592604E-2</v>
      </c>
      <c r="G115" s="69">
        <f t="shared" si="54"/>
        <v>6.3182870370370375E-2</v>
      </c>
      <c r="H115" s="52">
        <v>88</v>
      </c>
      <c r="I115" s="12">
        <f t="shared" si="55"/>
        <v>4.0974624105298554E-3</v>
      </c>
      <c r="J115" s="37">
        <f t="shared" si="56"/>
        <v>3.6714285714285713</v>
      </c>
      <c r="K115" s="37">
        <f>IF(J115=0,0,IF(B115="F",VLOOKUP(I115,Barem!$G$2:$H$16,2,1),VLOOKUP(I115,Barem!$G$17:$H$31,2,1)))</f>
        <v>1.5</v>
      </c>
      <c r="L115" s="50">
        <v>3.5</v>
      </c>
      <c r="M115" s="124" t="s">
        <v>207</v>
      </c>
      <c r="N115" s="10">
        <f t="shared" si="60"/>
        <v>0.25</v>
      </c>
      <c r="O115" s="10">
        <f t="shared" si="60"/>
        <v>0.25</v>
      </c>
      <c r="P115" s="10">
        <f t="shared" si="60"/>
        <v>0.5</v>
      </c>
      <c r="Q115" s="40">
        <f t="shared" si="57"/>
        <v>5.8666666666666666E-2</v>
      </c>
      <c r="R115" s="21">
        <f>IF(D115&gt;21,VLOOKUP(D115,Barem!$T$1:$U$141,2,1),0)</f>
        <v>0</v>
      </c>
      <c r="S115" s="152">
        <f>IF(D115&lt;1.609,0,IF(B115="F",VLOOKUP(I115,Barem!$X$2:$Z$13,2,1),VLOOKUP(I115,Barem!$X$14:$Z$25,2,1)))</f>
        <v>0</v>
      </c>
      <c r="T115" s="21">
        <f>VLOOKUP(A115,Participanti!A:C,3,0)</f>
        <v>0</v>
      </c>
      <c r="U115" s="18">
        <f t="shared" si="58"/>
        <v>3.1015238095238096</v>
      </c>
      <c r="V115" s="58" t="s">
        <v>382</v>
      </c>
      <c r="W115" s="77">
        <f t="shared" si="39"/>
        <v>1</v>
      </c>
      <c r="X115" s="1" t="str">
        <f>VLOOKUP(A115,Data_Echipe!A:R,18,0)</f>
        <v>Almost Kenyan Runners</v>
      </c>
      <c r="Z115" s="115">
        <f t="shared" si="59"/>
        <v>1</v>
      </c>
    </row>
    <row r="116" spans="1:26" x14ac:dyDescent="0.3">
      <c r="A116" s="49" t="s">
        <v>64</v>
      </c>
      <c r="B116" s="1" t="str">
        <f>VLOOKUP(A116,Participanti!A:B,2,0)</f>
        <v>F</v>
      </c>
      <c r="C116" s="74">
        <v>2</v>
      </c>
      <c r="D116" s="50">
        <v>8</v>
      </c>
      <c r="E116" s="51">
        <v>4.2002314814814812E-2</v>
      </c>
      <c r="F116" s="51">
        <v>6.2916666666666662E-2</v>
      </c>
      <c r="G116" s="69">
        <f t="shared" si="54"/>
        <v>5.2459490740740737E-2</v>
      </c>
      <c r="H116" s="52"/>
      <c r="I116" s="12">
        <f t="shared" si="55"/>
        <v>6.5574363425925921E-3</v>
      </c>
      <c r="J116" s="37">
        <f t="shared" si="56"/>
        <v>2</v>
      </c>
      <c r="K116" s="37">
        <f>IF(J116=0,0,IF(B116="F",VLOOKUP(I116,Barem!$G$2:$H$16,2,1),VLOOKUP(I116,Barem!$G$17:$H$31,2,1)))</f>
        <v>0</v>
      </c>
      <c r="L116" s="50">
        <v>2</v>
      </c>
      <c r="M116" s="124" t="s">
        <v>107</v>
      </c>
      <c r="N116" s="10">
        <f t="shared" si="60"/>
        <v>0.25</v>
      </c>
      <c r="O116" s="10">
        <f t="shared" si="60"/>
        <v>0.5</v>
      </c>
      <c r="P116" s="10">
        <f t="shared" si="60"/>
        <v>0.25</v>
      </c>
      <c r="Q116" s="40">
        <f t="shared" si="57"/>
        <v>0</v>
      </c>
      <c r="R116" s="21">
        <f>IF(D116&gt;21,VLOOKUP(D116,Barem!$T$1:$U$141,2,1),0)</f>
        <v>0</v>
      </c>
      <c r="S116" s="152">
        <f>IF(D116&lt;1.609,0,IF(B116="F",VLOOKUP(I116,Barem!$X$2:$Z$13,2,1),VLOOKUP(I116,Barem!$X$14:$Z$25,2,1)))</f>
        <v>0</v>
      </c>
      <c r="T116" s="21">
        <f>VLOOKUP(A116,Participanti!A:C,3,0)</f>
        <v>0.7</v>
      </c>
      <c r="U116" s="18">
        <f t="shared" si="58"/>
        <v>1.7</v>
      </c>
      <c r="V116" s="58" t="s">
        <v>382</v>
      </c>
      <c r="W116" s="77">
        <f t="shared" si="39"/>
        <v>1</v>
      </c>
      <c r="X116" s="1" t="str">
        <f>VLOOKUP(A116,Data_Echipe!A:R,18,0)</f>
        <v>UltraHaita lu' Borcan</v>
      </c>
      <c r="Z116" s="115">
        <f t="shared" si="59"/>
        <v>0</v>
      </c>
    </row>
    <row r="117" spans="1:26" x14ac:dyDescent="0.3">
      <c r="A117" s="132" t="s">
        <v>100</v>
      </c>
      <c r="B117" s="133" t="str">
        <f>VLOOKUP(A117,Participanti!A:B,2,0)</f>
        <v>F</v>
      </c>
      <c r="C117" s="134">
        <v>2</v>
      </c>
      <c r="D117" s="135">
        <v>0</v>
      </c>
      <c r="E117" s="136">
        <v>0</v>
      </c>
      <c r="F117" s="136">
        <v>0</v>
      </c>
      <c r="G117" s="137">
        <f t="shared" si="54"/>
        <v>0</v>
      </c>
      <c r="H117" s="138"/>
      <c r="I117" s="139">
        <v>0</v>
      </c>
      <c r="J117" s="140">
        <f t="shared" si="56"/>
        <v>0</v>
      </c>
      <c r="K117" s="140">
        <f>IF(J117=0,0,IF(B117="F",VLOOKUP(I117,Barem!$G$2:$H$16,2,1),VLOOKUP(I117,Barem!$G$17:$H$31,2,1)))</f>
        <v>0</v>
      </c>
      <c r="L117" s="135">
        <v>0</v>
      </c>
      <c r="M117" s="141" t="s">
        <v>459</v>
      </c>
      <c r="N117" s="142">
        <f t="shared" si="60"/>
        <v>0.25</v>
      </c>
      <c r="O117" s="142">
        <f t="shared" si="60"/>
        <v>0.25</v>
      </c>
      <c r="P117" s="142">
        <f t="shared" si="60"/>
        <v>0.25</v>
      </c>
      <c r="Q117" s="143">
        <f t="shared" si="57"/>
        <v>0</v>
      </c>
      <c r="R117" s="144">
        <f>IF(D117&gt;21,VLOOKUP(D117,Barem!$T$1:$U$141,2,1),0)</f>
        <v>0</v>
      </c>
      <c r="S117" s="152">
        <f>IF(D117&lt;1.609,0,IF(B117="F",VLOOKUP(I117,Barem!$X$2:$Z$13,2,1),VLOOKUP(I117,Barem!$X$14:$Z$25,2,1)))</f>
        <v>0</v>
      </c>
      <c r="T117" s="144">
        <f>VLOOKUP(A117,Participanti!A:C,3,0)</f>
        <v>0</v>
      </c>
      <c r="U117" s="143">
        <v>1.5</v>
      </c>
      <c r="V117" s="145" t="s">
        <v>382</v>
      </c>
      <c r="W117" s="146">
        <f t="shared" si="39"/>
        <v>1</v>
      </c>
      <c r="X117" s="1" t="e">
        <f>VLOOKUP(A117,Data_Echipe!A:R,18,0)</f>
        <v>#N/A</v>
      </c>
      <c r="Y117" s="133"/>
      <c r="Z117" s="147">
        <f t="shared" si="59"/>
        <v>0</v>
      </c>
    </row>
    <row r="118" spans="1:26" x14ac:dyDescent="0.3">
      <c r="A118" s="49" t="s">
        <v>120</v>
      </c>
      <c r="B118" s="1" t="str">
        <f>VLOOKUP(A118,Participanti!A:B,2,0)</f>
        <v>M</v>
      </c>
      <c r="C118" s="74">
        <v>2</v>
      </c>
      <c r="D118" s="50">
        <v>16</v>
      </c>
      <c r="E118" s="51">
        <v>5.1840277777777777E-2</v>
      </c>
      <c r="F118" s="51">
        <v>5.258101851851852E-2</v>
      </c>
      <c r="G118" s="69">
        <f t="shared" si="54"/>
        <v>5.2210648148148145E-2</v>
      </c>
      <c r="H118" s="52">
        <v>62</v>
      </c>
      <c r="I118" s="12">
        <f t="shared" si="55"/>
        <v>3.2631655092592591E-3</v>
      </c>
      <c r="J118" s="37">
        <f t="shared" si="56"/>
        <v>3.8095238095238093</v>
      </c>
      <c r="K118" s="37">
        <f>IF(J118=0,0,IF(B118="F",VLOOKUP(I118,Barem!$G$2:$H$16,2,1),VLOOKUP(I118,Barem!$G$17:$H$31,2,1)))</f>
        <v>3.5</v>
      </c>
      <c r="L118" s="50">
        <v>0.75</v>
      </c>
      <c r="M118" s="124" t="s">
        <v>106</v>
      </c>
      <c r="N118" s="10">
        <f t="shared" si="60"/>
        <v>0.5</v>
      </c>
      <c r="O118" s="10">
        <f t="shared" si="60"/>
        <v>0.25</v>
      </c>
      <c r="P118" s="10">
        <f t="shared" si="60"/>
        <v>0.25</v>
      </c>
      <c r="Q118" s="40">
        <f t="shared" si="57"/>
        <v>4.1333333333333333E-2</v>
      </c>
      <c r="R118" s="21">
        <f>IF(D118&gt;21,VLOOKUP(D118,Barem!$T$1:$U$141,2,1),0)</f>
        <v>0</v>
      </c>
      <c r="S118" s="152">
        <f>IF(D118&lt;1.609,0,IF(B118="F",VLOOKUP(I118,Barem!$X$2:$Z$13,2,1),VLOOKUP(I118,Barem!$X$14:$Z$25,2,1)))</f>
        <v>0</v>
      </c>
      <c r="T118" s="21">
        <f>VLOOKUP(A118,Participanti!A:C,3,0)</f>
        <v>0</v>
      </c>
      <c r="U118" s="18">
        <f t="shared" si="58"/>
        <v>3.0085952380952379</v>
      </c>
      <c r="V118" s="58" t="s">
        <v>382</v>
      </c>
      <c r="W118" s="77">
        <f t="shared" si="39"/>
        <v>1</v>
      </c>
      <c r="X118" s="1" t="str">
        <f>VLOOKUP(A118,Data_Echipe!A:R,18,0)</f>
        <v>Almost Kenyan Runners</v>
      </c>
      <c r="Z118" s="115">
        <f t="shared" si="59"/>
        <v>1</v>
      </c>
    </row>
    <row r="119" spans="1:26" x14ac:dyDescent="0.3">
      <c r="A119" s="49" t="s">
        <v>136</v>
      </c>
      <c r="B119" s="1" t="str">
        <f>VLOOKUP(A119,Participanti!A:B,2,0)</f>
        <v>F</v>
      </c>
      <c r="C119" s="74">
        <v>2</v>
      </c>
      <c r="D119" s="50">
        <v>6.17</v>
      </c>
      <c r="E119" s="51">
        <v>2.8402777777777777E-2</v>
      </c>
      <c r="F119" s="51">
        <v>2.9363425925925921E-2</v>
      </c>
      <c r="G119" s="69">
        <f t="shared" si="54"/>
        <v>2.8883101851851847E-2</v>
      </c>
      <c r="H119" s="52"/>
      <c r="I119" s="12">
        <f t="shared" si="55"/>
        <v>4.6812158592952754E-3</v>
      </c>
      <c r="J119" s="37">
        <f t="shared" si="56"/>
        <v>1.5425</v>
      </c>
      <c r="K119" s="37">
        <f>IF(J119=0,0,IF(B119="F",VLOOKUP(I119,Barem!$G$2:$H$16,2,1),VLOOKUP(I119,Barem!$G$17:$H$31,2,1)))</f>
        <v>1.25</v>
      </c>
      <c r="L119" s="50">
        <v>1.75</v>
      </c>
      <c r="M119" s="124" t="s">
        <v>107</v>
      </c>
      <c r="N119" s="10">
        <f t="shared" si="60"/>
        <v>0.25</v>
      </c>
      <c r="O119" s="10">
        <f t="shared" si="60"/>
        <v>0.5</v>
      </c>
      <c r="P119" s="10">
        <f t="shared" si="60"/>
        <v>0.25</v>
      </c>
      <c r="Q119" s="40">
        <f t="shared" si="57"/>
        <v>0</v>
      </c>
      <c r="R119" s="21">
        <f>IF(D119&gt;21,VLOOKUP(D119,Barem!$T$1:$U$141,2,1),0)</f>
        <v>0</v>
      </c>
      <c r="S119" s="152">
        <f>IF(D119&lt;1.609,0,IF(B119="F",VLOOKUP(I119,Barem!$X$2:$Z$13,2,1),VLOOKUP(I119,Barem!$X$14:$Z$25,2,1)))</f>
        <v>0</v>
      </c>
      <c r="T119" s="21">
        <f>VLOOKUP(A119,Participanti!A:C,3,0)</f>
        <v>0</v>
      </c>
      <c r="U119" s="18">
        <f t="shared" si="58"/>
        <v>1.4481250000000001</v>
      </c>
      <c r="V119" s="58" t="s">
        <v>382</v>
      </c>
      <c r="W119" s="77">
        <f t="shared" si="39"/>
        <v>1</v>
      </c>
      <c r="X119" s="1" t="e">
        <f>VLOOKUP(A119,Data_Echipe!A:R,18,0)</f>
        <v>#N/A</v>
      </c>
      <c r="Z119" s="115">
        <f t="shared" si="59"/>
        <v>1</v>
      </c>
    </row>
    <row r="120" spans="1:26" x14ac:dyDescent="0.3">
      <c r="A120" s="49" t="s">
        <v>247</v>
      </c>
      <c r="B120" s="1" t="str">
        <f>VLOOKUP(A120,Participanti!A:B,2,0)</f>
        <v>M</v>
      </c>
      <c r="C120" s="74">
        <v>2</v>
      </c>
      <c r="D120" s="50">
        <v>15</v>
      </c>
      <c r="E120" s="51">
        <v>5.5381944444444442E-2</v>
      </c>
      <c r="F120" s="51">
        <v>5.6238425925925928E-2</v>
      </c>
      <c r="G120" s="69">
        <f t="shared" si="54"/>
        <v>5.5810185185185185E-2</v>
      </c>
      <c r="H120" s="52">
        <v>41</v>
      </c>
      <c r="I120" s="12">
        <f t="shared" si="55"/>
        <v>3.7206790123456789E-3</v>
      </c>
      <c r="J120" s="37">
        <f t="shared" si="56"/>
        <v>3.5714285714285712</v>
      </c>
      <c r="K120" s="37">
        <f>IF(J120=0,0,IF(B120="F",VLOOKUP(I120,Barem!$G$2:$H$16,2,1),VLOOKUP(I120,Barem!$G$17:$H$31,2,1)))</f>
        <v>2</v>
      </c>
      <c r="L120" s="50">
        <v>1.25</v>
      </c>
      <c r="M120" s="124" t="s">
        <v>107</v>
      </c>
      <c r="N120" s="10">
        <f t="shared" si="60"/>
        <v>0.25</v>
      </c>
      <c r="O120" s="10">
        <f t="shared" si="60"/>
        <v>0.5</v>
      </c>
      <c r="P120" s="10">
        <f t="shared" si="60"/>
        <v>0.25</v>
      </c>
      <c r="Q120" s="40">
        <f t="shared" si="57"/>
        <v>0</v>
      </c>
      <c r="R120" s="21">
        <f>IF(D120&gt;21,VLOOKUP(D120,Barem!$T$1:$U$141,2,1),0)</f>
        <v>0</v>
      </c>
      <c r="S120" s="152">
        <f>IF(D120&lt;1.609,0,IF(B120="F",VLOOKUP(I120,Barem!$X$2:$Z$13,2,1),VLOOKUP(I120,Barem!$X$14:$Z$25,2,1)))</f>
        <v>0</v>
      </c>
      <c r="T120" s="21">
        <f>VLOOKUP(A120,Participanti!A:C,3,0)</f>
        <v>0</v>
      </c>
      <c r="U120" s="18">
        <f t="shared" si="58"/>
        <v>2.2053571428571428</v>
      </c>
      <c r="V120" s="58" t="s">
        <v>382</v>
      </c>
      <c r="W120" s="77">
        <f t="shared" si="39"/>
        <v>1</v>
      </c>
      <c r="X120" s="1" t="str">
        <f>VLOOKUP(A120,Data_Echipe!A:R,18,0)</f>
        <v>UltraHaita lu' Borcan</v>
      </c>
      <c r="Z120" s="115">
        <f t="shared" si="59"/>
        <v>1</v>
      </c>
    </row>
    <row r="121" spans="1:26" x14ac:dyDescent="0.3">
      <c r="A121" s="49" t="s">
        <v>350</v>
      </c>
      <c r="B121" s="1" t="str">
        <f>VLOOKUP(A121,Participanti!A:B,2,0)</f>
        <v>F</v>
      </c>
      <c r="C121" s="74">
        <v>2</v>
      </c>
      <c r="D121" s="50">
        <v>9.08</v>
      </c>
      <c r="E121" s="51">
        <v>3.3229166666666664E-2</v>
      </c>
      <c r="F121" s="51">
        <v>3.3414351851851855E-2</v>
      </c>
      <c r="G121" s="69">
        <f t="shared" si="54"/>
        <v>3.3321759259259259E-2</v>
      </c>
      <c r="H121" s="52">
        <v>32</v>
      </c>
      <c r="I121" s="12">
        <f t="shared" si="55"/>
        <v>3.669797275248817E-3</v>
      </c>
      <c r="J121" s="37">
        <f t="shared" si="56"/>
        <v>2.27</v>
      </c>
      <c r="K121" s="37">
        <f>IF(J121=0,0,IF(B121="F",VLOOKUP(I121,Barem!$G$2:$H$16,2,1),VLOOKUP(I121,Barem!$G$17:$H$31,2,1)))</f>
        <v>3</v>
      </c>
      <c r="L121" s="50">
        <v>3.5</v>
      </c>
      <c r="M121" s="124" t="s">
        <v>207</v>
      </c>
      <c r="N121" s="10">
        <f t="shared" si="60"/>
        <v>0.25</v>
      </c>
      <c r="O121" s="10">
        <f t="shared" si="60"/>
        <v>0.25</v>
      </c>
      <c r="P121" s="10">
        <f t="shared" si="60"/>
        <v>0.5</v>
      </c>
      <c r="Q121" s="40">
        <f t="shared" si="57"/>
        <v>0</v>
      </c>
      <c r="R121" s="21">
        <f>IF(D121&gt;21,VLOOKUP(D121,Barem!$T$1:$U$141,2,1),0)</f>
        <v>0</v>
      </c>
      <c r="S121" s="152">
        <f>IF(D121&lt;1.609,0,IF(B121="F",VLOOKUP(I121,Barem!$X$2:$Z$13,2,1),VLOOKUP(I121,Barem!$X$14:$Z$25,2,1)))</f>
        <v>0</v>
      </c>
      <c r="T121" s="21">
        <f>VLOOKUP(A121,Participanti!A:C,3,0)</f>
        <v>0</v>
      </c>
      <c r="U121" s="18">
        <f t="shared" si="58"/>
        <v>3.0674999999999999</v>
      </c>
      <c r="V121" s="58" t="s">
        <v>382</v>
      </c>
      <c r="W121" s="77">
        <f t="shared" si="39"/>
        <v>1</v>
      </c>
      <c r="X121" s="1" t="e">
        <f>VLOOKUP(A121,Data_Echipe!A:R,18,0)</f>
        <v>#N/A</v>
      </c>
      <c r="Z121" s="115">
        <f t="shared" si="59"/>
        <v>1</v>
      </c>
    </row>
    <row r="122" spans="1:26" x14ac:dyDescent="0.3">
      <c r="A122" s="49" t="s">
        <v>353</v>
      </c>
      <c r="B122" s="1" t="str">
        <f>VLOOKUP(A122,Participanti!A:B,2,0)</f>
        <v>M</v>
      </c>
      <c r="C122" s="74">
        <v>2</v>
      </c>
      <c r="D122" s="50">
        <v>7.47</v>
      </c>
      <c r="E122" s="51">
        <v>2.5046296296296299E-2</v>
      </c>
      <c r="F122" s="51">
        <v>2.5069444444444446E-2</v>
      </c>
      <c r="G122" s="69">
        <f t="shared" si="54"/>
        <v>2.5057870370370373E-2</v>
      </c>
      <c r="H122" s="52">
        <v>21</v>
      </c>
      <c r="I122" s="12">
        <f t="shared" si="55"/>
        <v>3.3544672517229414E-3</v>
      </c>
      <c r="J122" s="37">
        <f t="shared" si="56"/>
        <v>1.7785714285714285</v>
      </c>
      <c r="K122" s="37">
        <f>IF(J122=0,0,IF(B122="F",VLOOKUP(I122,Barem!$G$2:$H$16,2,1),VLOOKUP(I122,Barem!$G$17:$H$31,2,1)))</f>
        <v>3</v>
      </c>
      <c r="L122" s="50">
        <v>1.25</v>
      </c>
      <c r="M122" s="124" t="s">
        <v>107</v>
      </c>
      <c r="N122" s="10">
        <f t="shared" si="60"/>
        <v>0.25</v>
      </c>
      <c r="O122" s="10">
        <f t="shared" si="60"/>
        <v>0.5</v>
      </c>
      <c r="P122" s="10">
        <f t="shared" si="60"/>
        <v>0.25</v>
      </c>
      <c r="Q122" s="40">
        <f t="shared" si="57"/>
        <v>0</v>
      </c>
      <c r="R122" s="21">
        <f>IF(D122&gt;21,VLOOKUP(D122,Barem!$T$1:$U$141,2,1),0)</f>
        <v>0</v>
      </c>
      <c r="S122" s="152">
        <f>IF(D122&lt;1.609,0,IF(B122="F",VLOOKUP(I122,Barem!$X$2:$Z$13,2,1),VLOOKUP(I122,Barem!$X$14:$Z$25,2,1)))</f>
        <v>0</v>
      </c>
      <c r="T122" s="21">
        <f>VLOOKUP(A122,Participanti!A:C,3,0)</f>
        <v>0</v>
      </c>
      <c r="U122" s="18">
        <f t="shared" si="58"/>
        <v>2.2571428571428571</v>
      </c>
      <c r="V122" s="58" t="s">
        <v>382</v>
      </c>
      <c r="W122" s="77">
        <f t="shared" si="39"/>
        <v>1</v>
      </c>
      <c r="X122" s="1" t="e">
        <f>VLOOKUP(A122,Data_Echipe!A:R,18,0)</f>
        <v>#N/A</v>
      </c>
      <c r="Z122" s="115">
        <f t="shared" si="59"/>
        <v>1</v>
      </c>
    </row>
    <row r="123" spans="1:26" x14ac:dyDescent="0.3">
      <c r="A123" s="49" t="s">
        <v>383</v>
      </c>
      <c r="B123" s="1" t="str">
        <f>VLOOKUP(A123,Participanti!A:B,2,0)</f>
        <v>F</v>
      </c>
      <c r="C123" s="74">
        <v>2</v>
      </c>
      <c r="D123" s="50">
        <v>7.76</v>
      </c>
      <c r="E123" s="51">
        <v>3.2280092592592589E-2</v>
      </c>
      <c r="F123" s="51">
        <v>4.8645833333333333E-2</v>
      </c>
      <c r="G123" s="69">
        <f t="shared" si="54"/>
        <v>4.0462962962962964E-2</v>
      </c>
      <c r="H123" s="52"/>
      <c r="I123" s="12">
        <f t="shared" si="55"/>
        <v>5.214299350897289E-3</v>
      </c>
      <c r="J123" s="37">
        <f t="shared" si="56"/>
        <v>1.94</v>
      </c>
      <c r="K123" s="37">
        <f>IF(J123=0,0,IF(B123="F",VLOOKUP(I123,Barem!$G$2:$H$16,2,1),VLOOKUP(I123,Barem!$G$17:$H$31,2,1)))</f>
        <v>0.5</v>
      </c>
      <c r="L123" s="50">
        <v>3.5</v>
      </c>
      <c r="M123" s="124" t="s">
        <v>207</v>
      </c>
      <c r="N123" s="10">
        <f t="shared" si="60"/>
        <v>0.25</v>
      </c>
      <c r="O123" s="10">
        <f t="shared" si="60"/>
        <v>0.25</v>
      </c>
      <c r="P123" s="10">
        <f t="shared" si="60"/>
        <v>0.5</v>
      </c>
      <c r="Q123" s="40">
        <f t="shared" si="57"/>
        <v>0</v>
      </c>
      <c r="R123" s="21">
        <f>IF(D123&gt;21,VLOOKUP(D123,Barem!$T$1:$U$141,2,1),0)</f>
        <v>0</v>
      </c>
      <c r="S123" s="152">
        <f>IF(D123&lt;1.609,0,IF(B123="F",VLOOKUP(I123,Barem!$X$2:$Z$13,2,1),VLOOKUP(I123,Barem!$X$14:$Z$25,2,1)))</f>
        <v>0</v>
      </c>
      <c r="T123" s="21">
        <f>VLOOKUP(A123,Participanti!A:C,3,0)</f>
        <v>0</v>
      </c>
      <c r="U123" s="18">
        <f t="shared" si="58"/>
        <v>2.36</v>
      </c>
      <c r="V123" s="58" t="s">
        <v>382</v>
      </c>
      <c r="W123" s="77">
        <f t="shared" si="39"/>
        <v>1</v>
      </c>
      <c r="X123" s="1" t="str">
        <f>VLOOKUP(A123,Data_Echipe!A:R,18,0)</f>
        <v>The GOATs</v>
      </c>
      <c r="Z123" s="115">
        <f t="shared" si="59"/>
        <v>1</v>
      </c>
    </row>
    <row r="124" spans="1:26" x14ac:dyDescent="0.3">
      <c r="A124" s="49" t="s">
        <v>128</v>
      </c>
      <c r="B124" s="1" t="str">
        <f>VLOOKUP(A124,Participanti!A:B,2,0)</f>
        <v>M</v>
      </c>
      <c r="C124" s="74">
        <v>2</v>
      </c>
      <c r="D124" s="50">
        <v>25</v>
      </c>
      <c r="E124" s="51">
        <v>8.4594907407407396E-2</v>
      </c>
      <c r="F124" s="51">
        <v>8.4594907407407396E-2</v>
      </c>
      <c r="G124" s="69">
        <f t="shared" si="54"/>
        <v>8.4594907407407396E-2</v>
      </c>
      <c r="H124" s="52">
        <v>52</v>
      </c>
      <c r="I124" s="12">
        <f t="shared" si="55"/>
        <v>3.3837962962962958E-3</v>
      </c>
      <c r="J124" s="37">
        <f t="shared" si="56"/>
        <v>5</v>
      </c>
      <c r="K124" s="37">
        <f>IF(J124=0,0,IF(B124="F",VLOOKUP(I124,Barem!$G$2:$H$16,2,1),VLOOKUP(I124,Barem!$G$17:$H$31,2,1)))</f>
        <v>3</v>
      </c>
      <c r="L124" s="50">
        <v>4</v>
      </c>
      <c r="M124" s="124" t="s">
        <v>207</v>
      </c>
      <c r="N124" s="10">
        <f t="shared" si="60"/>
        <v>0.25</v>
      </c>
      <c r="O124" s="10">
        <f t="shared" si="60"/>
        <v>0.25</v>
      </c>
      <c r="P124" s="10">
        <f t="shared" si="60"/>
        <v>0.5</v>
      </c>
      <c r="Q124" s="40">
        <f t="shared" si="57"/>
        <v>3.4666666666666665E-2</v>
      </c>
      <c r="R124" s="21">
        <f>IF(D124&gt;21,VLOOKUP(D124,Barem!$T$1:$U$141,2,1),0)</f>
        <v>0.2</v>
      </c>
      <c r="S124" s="152">
        <f>IF(D124&lt;1.609,0,IF(B124="F",VLOOKUP(I124,Barem!$X$2:$Z$13,2,1),VLOOKUP(I124,Barem!$X$14:$Z$25,2,1)))</f>
        <v>0</v>
      </c>
      <c r="T124" s="21">
        <f>VLOOKUP(A124,Participanti!A:C,3,0)</f>
        <v>0</v>
      </c>
      <c r="U124" s="18">
        <f t="shared" si="58"/>
        <v>4.2346666666666666</v>
      </c>
      <c r="V124" s="58" t="s">
        <v>382</v>
      </c>
      <c r="W124" s="77">
        <f t="shared" si="39"/>
        <v>1</v>
      </c>
      <c r="X124" s="1" t="str">
        <f>VLOOKUP(A124,Data_Echipe!A:R,18,0)</f>
        <v>Almost Kenyan Runners</v>
      </c>
      <c r="Z124" s="115">
        <f t="shared" si="59"/>
        <v>1</v>
      </c>
    </row>
    <row r="125" spans="1:26" x14ac:dyDescent="0.3">
      <c r="A125" s="49" t="s">
        <v>368</v>
      </c>
      <c r="B125" s="1" t="str">
        <f>VLOOKUP(A125,Participanti!A:B,2,0)</f>
        <v>M</v>
      </c>
      <c r="C125" s="74">
        <v>2</v>
      </c>
      <c r="D125" s="50">
        <v>11.59</v>
      </c>
      <c r="E125" s="51">
        <v>4.8854166666666664E-2</v>
      </c>
      <c r="F125" s="51">
        <v>5.5289351851851853E-2</v>
      </c>
      <c r="G125" s="69">
        <f t="shared" si="54"/>
        <v>5.2071759259259262E-2</v>
      </c>
      <c r="H125" s="52"/>
      <c r="I125" s="12">
        <f t="shared" si="55"/>
        <v>4.4928178825935517E-3</v>
      </c>
      <c r="J125" s="37">
        <f t="shared" si="56"/>
        <v>2.7595238095238095</v>
      </c>
      <c r="K125" s="37">
        <f>IF(J125=0,0,IF(B125="F",VLOOKUP(I125,Barem!$G$2:$H$16,2,1),VLOOKUP(I125,Barem!$G$17:$H$31,2,1)))</f>
        <v>1</v>
      </c>
      <c r="L125" s="50">
        <v>0.5</v>
      </c>
      <c r="M125" s="124" t="s">
        <v>106</v>
      </c>
      <c r="N125" s="10">
        <f t="shared" si="60"/>
        <v>0.5</v>
      </c>
      <c r="O125" s="10">
        <f t="shared" si="60"/>
        <v>0.25</v>
      </c>
      <c r="P125" s="10">
        <f t="shared" si="60"/>
        <v>0.25</v>
      </c>
      <c r="Q125" s="40">
        <f t="shared" si="57"/>
        <v>0</v>
      </c>
      <c r="R125" s="21">
        <f>IF(D125&gt;21,VLOOKUP(D125,Barem!$T$1:$U$141,2,1),0)</f>
        <v>0</v>
      </c>
      <c r="S125" s="152">
        <f>IF(D125&lt;1.609,0,IF(B125="F",VLOOKUP(I125,Barem!$X$2:$Z$13,2,1),VLOOKUP(I125,Barem!$X$14:$Z$25,2,1)))</f>
        <v>0</v>
      </c>
      <c r="T125" s="21">
        <f>VLOOKUP(A125,Participanti!A:C,3,0)</f>
        <v>0</v>
      </c>
      <c r="U125" s="18">
        <f t="shared" si="58"/>
        <v>1.7547619047619047</v>
      </c>
      <c r="V125" s="58" t="s">
        <v>382</v>
      </c>
      <c r="W125" s="77">
        <f t="shared" si="39"/>
        <v>1</v>
      </c>
      <c r="X125" s="1" t="str">
        <f>VLOOKUP(A125,Data_Echipe!A:R,18,0)</f>
        <v>Almost Kenyan Runners</v>
      </c>
      <c r="Z125" s="115">
        <f t="shared" si="59"/>
        <v>1</v>
      </c>
    </row>
    <row r="126" spans="1:26" x14ac:dyDescent="0.3">
      <c r="A126" s="49" t="s">
        <v>365</v>
      </c>
      <c r="B126" s="1" t="str">
        <f>VLOOKUP(A126,Participanti!A:B,2,0)</f>
        <v>M</v>
      </c>
      <c r="C126" s="74">
        <v>2</v>
      </c>
      <c r="D126" s="50">
        <v>9.81</v>
      </c>
      <c r="E126" s="51">
        <v>4.223379629629629E-2</v>
      </c>
      <c r="F126" s="51">
        <v>4.223379629629629E-2</v>
      </c>
      <c r="G126" s="69">
        <f t="shared" ref="G126:G139" si="61">AVERAGE(E126:F126)</f>
        <v>4.223379629629629E-2</v>
      </c>
      <c r="H126" s="52"/>
      <c r="I126" s="12">
        <f t="shared" ref="I126:I139" si="62">G126/D126</f>
        <v>4.305178011854871E-3</v>
      </c>
      <c r="J126" s="37">
        <f t="shared" ref="J126:J139" si="63">IF(B126="F",IF(D126&lt;2.5,0,IF(D126&gt;19.99,5,D126/4)),IF(D126&lt;3,0, IF(D126&gt;20.99,5,D126/4.2)))</f>
        <v>2.3357142857142859</v>
      </c>
      <c r="K126" s="37">
        <f>IF(J126=0,0,IF(B126="F",VLOOKUP(I126,Barem!$G$2:$H$16,2,1),VLOOKUP(I126,Barem!$G$17:$H$31,2,1)))</f>
        <v>1.25</v>
      </c>
      <c r="L126" s="50">
        <v>1.25</v>
      </c>
      <c r="M126" s="124" t="s">
        <v>106</v>
      </c>
      <c r="N126" s="10">
        <f t="shared" si="60"/>
        <v>0.5</v>
      </c>
      <c r="O126" s="10">
        <f t="shared" si="60"/>
        <v>0.25</v>
      </c>
      <c r="P126" s="10">
        <f t="shared" si="60"/>
        <v>0.25</v>
      </c>
      <c r="Q126" s="40">
        <f t="shared" ref="Q126:Q139" si="64">IF(H126&gt;49,H126/1500,0)</f>
        <v>0</v>
      </c>
      <c r="R126" s="21">
        <f>IF(D126&gt;21,VLOOKUP(D126,Barem!$T$1:$U$141,2,1),0)</f>
        <v>0</v>
      </c>
      <c r="S126" s="152">
        <f>IF(D126&lt;1.609,0,IF(B126="F",VLOOKUP(I126,Barem!$X$2:$Z$13,2,1),VLOOKUP(I126,Barem!$X$14:$Z$25,2,1)))</f>
        <v>0</v>
      </c>
      <c r="T126" s="21">
        <f>VLOOKUP(A126,Participanti!A:C,3,0)</f>
        <v>0</v>
      </c>
      <c r="U126" s="18">
        <f t="shared" ref="U126:U139" si="65">IF(H126&lt;0,0,J126*N126+K126*O126+L126*P126+Q126+R126+S126+T126)</f>
        <v>1.7928571428571429</v>
      </c>
      <c r="V126" s="58" t="s">
        <v>382</v>
      </c>
      <c r="W126" s="77">
        <f t="shared" si="39"/>
        <v>1</v>
      </c>
      <c r="X126" s="1" t="str">
        <f>VLOOKUP(A126,Data_Echipe!A:R,18,0)</f>
        <v>MedgidiaRunning</v>
      </c>
      <c r="Z126" s="115">
        <f t="shared" ref="Z126:Z139" si="66">IF(K126&gt;0,1,0)</f>
        <v>1</v>
      </c>
    </row>
    <row r="127" spans="1:26" x14ac:dyDescent="0.3">
      <c r="A127" s="49" t="s">
        <v>59</v>
      </c>
      <c r="B127" s="1" t="str">
        <f>VLOOKUP(A127,Participanti!A:B,2,0)</f>
        <v>M</v>
      </c>
      <c r="C127" s="74">
        <v>2</v>
      </c>
      <c r="D127" s="50">
        <v>5.91</v>
      </c>
      <c r="E127" s="51">
        <v>2.3969907407407409E-2</v>
      </c>
      <c r="F127" s="51">
        <v>4.6655092592592595E-2</v>
      </c>
      <c r="G127" s="69">
        <f t="shared" si="61"/>
        <v>3.5312500000000004E-2</v>
      </c>
      <c r="H127" s="52"/>
      <c r="I127" s="12">
        <f t="shared" si="62"/>
        <v>5.975042301184434E-3</v>
      </c>
      <c r="J127" s="37">
        <f t="shared" si="63"/>
        <v>1.407142857142857</v>
      </c>
      <c r="K127" s="37">
        <f>IF(J127=0,0,IF(B127="F",VLOOKUP(I127,Barem!$G$2:$H$16,2,1),VLOOKUP(I127,Barem!$G$17:$H$31,2,1)))</f>
        <v>0</v>
      </c>
      <c r="L127" s="50">
        <v>2.75</v>
      </c>
      <c r="M127" s="124" t="s">
        <v>207</v>
      </c>
      <c r="N127" s="10">
        <f t="shared" ref="N127:P142" si="67">IF($M127=N$1,50%,25%)</f>
        <v>0.25</v>
      </c>
      <c r="O127" s="10">
        <f t="shared" si="67"/>
        <v>0.25</v>
      </c>
      <c r="P127" s="10">
        <f t="shared" si="67"/>
        <v>0.5</v>
      </c>
      <c r="Q127" s="40">
        <f t="shared" si="64"/>
        <v>0</v>
      </c>
      <c r="R127" s="21">
        <f>IF(D127&gt;21,VLOOKUP(D127,Barem!$T$1:$U$141,2,1),0)</f>
        <v>0</v>
      </c>
      <c r="S127" s="152">
        <f>IF(D127&lt;1.609,0,IF(B127="F",VLOOKUP(I127,Barem!$X$2:$Z$13,2,1),VLOOKUP(I127,Barem!$X$14:$Z$25,2,1)))</f>
        <v>0</v>
      </c>
      <c r="T127" s="21">
        <f>VLOOKUP(A127,Participanti!A:C,3,0)</f>
        <v>0</v>
      </c>
      <c r="U127" s="18">
        <f t="shared" si="65"/>
        <v>1.7267857142857141</v>
      </c>
      <c r="V127" s="58" t="s">
        <v>382</v>
      </c>
      <c r="W127" s="77">
        <f t="shared" si="39"/>
        <v>1</v>
      </c>
      <c r="X127" s="1" t="str">
        <f>VLOOKUP(A127,Data_Echipe!A:R,18,0)</f>
        <v>Almost Kenyan Runners</v>
      </c>
      <c r="Z127" s="115">
        <f t="shared" si="66"/>
        <v>0</v>
      </c>
    </row>
    <row r="128" spans="1:26" x14ac:dyDescent="0.3">
      <c r="A128" s="49" t="s">
        <v>355</v>
      </c>
      <c r="B128" s="1" t="str">
        <f>VLOOKUP(A128,Participanti!A:B,2,0)</f>
        <v>F</v>
      </c>
      <c r="C128" s="74">
        <v>2</v>
      </c>
      <c r="D128" s="50">
        <v>5.95</v>
      </c>
      <c r="E128" s="51">
        <v>2.8321759259259258E-2</v>
      </c>
      <c r="F128" s="51">
        <v>3.4305555555555554E-2</v>
      </c>
      <c r="G128" s="69">
        <f t="shared" si="61"/>
        <v>3.1313657407407408E-2</v>
      </c>
      <c r="H128" s="52"/>
      <c r="I128" s="12">
        <f t="shared" si="62"/>
        <v>5.2627995642701526E-3</v>
      </c>
      <c r="J128" s="37">
        <f t="shared" si="63"/>
        <v>1.4875</v>
      </c>
      <c r="K128" s="37">
        <f>IF(J128=0,0,IF(B128="F",VLOOKUP(I128,Barem!$G$2:$H$16,2,1),VLOOKUP(I128,Barem!$G$17:$H$31,2,1)))</f>
        <v>0.25</v>
      </c>
      <c r="L128" s="50">
        <v>3</v>
      </c>
      <c r="M128" s="124" t="s">
        <v>106</v>
      </c>
      <c r="N128" s="10">
        <f t="shared" si="67"/>
        <v>0.5</v>
      </c>
      <c r="O128" s="10">
        <f t="shared" si="67"/>
        <v>0.25</v>
      </c>
      <c r="P128" s="10">
        <f t="shared" si="67"/>
        <v>0.25</v>
      </c>
      <c r="Q128" s="40">
        <f t="shared" si="64"/>
        <v>0</v>
      </c>
      <c r="R128" s="21">
        <f>IF(D128&gt;21,VLOOKUP(D128,Barem!$T$1:$U$141,2,1),0)</f>
        <v>0</v>
      </c>
      <c r="S128" s="152">
        <f>IF(D128&lt;1.609,0,IF(B128="F",VLOOKUP(I128,Barem!$X$2:$Z$13,2,1),VLOOKUP(I128,Barem!$X$14:$Z$25,2,1)))</f>
        <v>0</v>
      </c>
      <c r="T128" s="21">
        <f>VLOOKUP(A128,Participanti!A:C,3,0)</f>
        <v>0</v>
      </c>
      <c r="U128" s="18">
        <f t="shared" si="65"/>
        <v>1.5562499999999999</v>
      </c>
      <c r="V128" s="58" t="s">
        <v>382</v>
      </c>
      <c r="W128" s="77">
        <f t="shared" si="39"/>
        <v>1</v>
      </c>
      <c r="X128" s="1" t="str">
        <f>VLOOKUP(A128,Data_Echipe!A:R,18,0)</f>
        <v>#notSYRious</v>
      </c>
      <c r="Z128" s="115">
        <f t="shared" si="66"/>
        <v>1</v>
      </c>
    </row>
    <row r="129" spans="1:26" x14ac:dyDescent="0.3">
      <c r="A129" s="49" t="s">
        <v>332</v>
      </c>
      <c r="B129" s="1" t="str">
        <f>VLOOKUP(A129,Participanti!A:B,2,0)</f>
        <v>M</v>
      </c>
      <c r="C129" s="74">
        <v>2</v>
      </c>
      <c r="D129" s="50">
        <v>19.010000000000002</v>
      </c>
      <c r="E129" s="51">
        <v>7.2233796296296296E-2</v>
      </c>
      <c r="F129" s="51">
        <v>7.3888888888888893E-2</v>
      </c>
      <c r="G129" s="69">
        <f t="shared" si="61"/>
        <v>7.3061342592592587E-2</v>
      </c>
      <c r="H129" s="52"/>
      <c r="I129" s="12">
        <f t="shared" si="62"/>
        <v>3.8433110253862485E-3</v>
      </c>
      <c r="J129" s="37">
        <f t="shared" si="63"/>
        <v>4.5261904761904761</v>
      </c>
      <c r="K129" s="37">
        <f>IF(J129=0,0,IF(B129="F",VLOOKUP(I129,Barem!$G$2:$H$16,2,1),VLOOKUP(I129,Barem!$G$17:$H$31,2,1)))</f>
        <v>1.75</v>
      </c>
      <c r="L129" s="50">
        <v>2.75</v>
      </c>
      <c r="M129" s="124" t="s">
        <v>106</v>
      </c>
      <c r="N129" s="10">
        <f t="shared" si="67"/>
        <v>0.5</v>
      </c>
      <c r="O129" s="10">
        <f t="shared" si="67"/>
        <v>0.25</v>
      </c>
      <c r="P129" s="10">
        <f t="shared" si="67"/>
        <v>0.25</v>
      </c>
      <c r="Q129" s="40">
        <f t="shared" si="64"/>
        <v>0</v>
      </c>
      <c r="R129" s="21">
        <f>IF(D129&gt;21,VLOOKUP(D129,Barem!$T$1:$U$141,2,1),0)</f>
        <v>0</v>
      </c>
      <c r="S129" s="152">
        <f>IF(D129&lt;1.609,0,IF(B129="F",VLOOKUP(I129,Barem!$X$2:$Z$13,2,1),VLOOKUP(I129,Barem!$X$14:$Z$25,2,1)))</f>
        <v>0</v>
      </c>
      <c r="T129" s="21">
        <f>VLOOKUP(A129,Participanti!A:C,3,0)</f>
        <v>0.4</v>
      </c>
      <c r="U129" s="18">
        <f t="shared" si="65"/>
        <v>3.788095238095238</v>
      </c>
      <c r="V129" s="58" t="s">
        <v>382</v>
      </c>
      <c r="W129" s="77">
        <f t="shared" si="39"/>
        <v>1</v>
      </c>
      <c r="X129" s="1" t="str">
        <f>VLOOKUP(A129,Data_Echipe!A:R,18,0)</f>
        <v>MedgidiaRunning</v>
      </c>
      <c r="Z129" s="115">
        <f t="shared" si="66"/>
        <v>1</v>
      </c>
    </row>
    <row r="130" spans="1:26" x14ac:dyDescent="0.3">
      <c r="A130" s="49" t="s">
        <v>132</v>
      </c>
      <c r="B130" s="1" t="str">
        <f>VLOOKUP(A130,Participanti!A:B,2,0)</f>
        <v>F</v>
      </c>
      <c r="C130" s="74">
        <v>2</v>
      </c>
      <c r="D130" s="50">
        <v>18.100000000000001</v>
      </c>
      <c r="E130" s="51">
        <v>8.5694444444444448E-2</v>
      </c>
      <c r="F130" s="51">
        <v>8.789351851851851E-2</v>
      </c>
      <c r="G130" s="69">
        <f t="shared" si="61"/>
        <v>8.6793981481481486E-2</v>
      </c>
      <c r="H130" s="52">
        <v>259</v>
      </c>
      <c r="I130" s="12">
        <f t="shared" si="62"/>
        <v>4.7952475956619597E-3</v>
      </c>
      <c r="J130" s="37">
        <f t="shared" si="63"/>
        <v>4.5250000000000004</v>
      </c>
      <c r="K130" s="37">
        <f>IF(J130=0,0,IF(B130="F",VLOOKUP(I130,Barem!$G$2:$H$16,2,1),VLOOKUP(I130,Barem!$G$17:$H$31,2,1)))</f>
        <v>1</v>
      </c>
      <c r="L130" s="50">
        <v>2.75</v>
      </c>
      <c r="M130" s="124" t="s">
        <v>106</v>
      </c>
      <c r="N130" s="10">
        <f t="shared" si="67"/>
        <v>0.5</v>
      </c>
      <c r="O130" s="10">
        <f t="shared" si="67"/>
        <v>0.25</v>
      </c>
      <c r="P130" s="10">
        <f t="shared" si="67"/>
        <v>0.25</v>
      </c>
      <c r="Q130" s="40">
        <f t="shared" si="64"/>
        <v>0.17266666666666666</v>
      </c>
      <c r="R130" s="21">
        <f>IF(D130&gt;21,VLOOKUP(D130,Barem!$T$1:$U$141,2,1),0)</f>
        <v>0</v>
      </c>
      <c r="S130" s="152">
        <f>IF(D130&lt;1.609,0,IF(B130="F",VLOOKUP(I130,Barem!$X$2:$Z$13,2,1),VLOOKUP(I130,Barem!$X$14:$Z$25,2,1)))</f>
        <v>0</v>
      </c>
      <c r="T130" s="21">
        <f>VLOOKUP(A130,Participanti!A:C,3,0)</f>
        <v>0</v>
      </c>
      <c r="U130" s="18">
        <f t="shared" si="65"/>
        <v>3.3726666666666669</v>
      </c>
      <c r="V130" s="58" t="s">
        <v>382</v>
      </c>
      <c r="W130" s="77">
        <f t="shared" ref="W130:W193" si="68">COUNTIFS(A:A,A130,C:C,C130)</f>
        <v>1</v>
      </c>
      <c r="X130" s="1" t="str">
        <f>VLOOKUP(A130,Data_Echipe!A:R,18,0)</f>
        <v>MedgidiaRunning</v>
      </c>
      <c r="Z130" s="115">
        <f t="shared" si="66"/>
        <v>1</v>
      </c>
    </row>
    <row r="131" spans="1:26" x14ac:dyDescent="0.3">
      <c r="A131" s="49" t="s">
        <v>384</v>
      </c>
      <c r="B131" s="1" t="str">
        <f>VLOOKUP(A131,Participanti!A:B,2,0)</f>
        <v>M</v>
      </c>
      <c r="C131" s="74">
        <v>2</v>
      </c>
      <c r="D131" s="50">
        <v>15.52</v>
      </c>
      <c r="E131" s="51">
        <v>8.7280092592592604E-2</v>
      </c>
      <c r="F131" s="51">
        <v>8.7592592592592597E-2</v>
      </c>
      <c r="G131" s="69">
        <f t="shared" si="61"/>
        <v>8.74363425925926E-2</v>
      </c>
      <c r="H131" s="52"/>
      <c r="I131" s="12">
        <f t="shared" si="62"/>
        <v>5.633784960862925E-3</v>
      </c>
      <c r="J131" s="37">
        <f t="shared" si="63"/>
        <v>3.695238095238095</v>
      </c>
      <c r="K131" s="37">
        <f>IF(J131=0,0,IF(B131="F",VLOOKUP(I131,Barem!$G$2:$H$16,2,1),VLOOKUP(I131,Barem!$G$17:$H$31,2,1)))</f>
        <v>0</v>
      </c>
      <c r="L131" s="50">
        <v>1</v>
      </c>
      <c r="M131" s="124" t="s">
        <v>107</v>
      </c>
      <c r="N131" s="10">
        <f t="shared" si="67"/>
        <v>0.25</v>
      </c>
      <c r="O131" s="10">
        <f t="shared" si="67"/>
        <v>0.5</v>
      </c>
      <c r="P131" s="10">
        <f t="shared" si="67"/>
        <v>0.25</v>
      </c>
      <c r="Q131" s="40">
        <f t="shared" si="64"/>
        <v>0</v>
      </c>
      <c r="R131" s="21">
        <f>IF(D131&gt;21,VLOOKUP(D131,Barem!$T$1:$U$141,2,1),0)</f>
        <v>0</v>
      </c>
      <c r="S131" s="152">
        <f>IF(D131&lt;1.609,0,IF(B131="F",VLOOKUP(I131,Barem!$X$2:$Z$13,2,1),VLOOKUP(I131,Barem!$X$14:$Z$25,2,1)))</f>
        <v>0</v>
      </c>
      <c r="T131" s="21">
        <f>VLOOKUP(A131,Participanti!A:C,3,0)</f>
        <v>0</v>
      </c>
      <c r="U131" s="18">
        <f t="shared" si="65"/>
        <v>1.1738095238095236</v>
      </c>
      <c r="V131" s="58" t="s">
        <v>382</v>
      </c>
      <c r="W131" s="77">
        <f t="shared" si="68"/>
        <v>1</v>
      </c>
      <c r="X131" s="1" t="e">
        <f>VLOOKUP(A131,Data_Echipe!A:R,18,0)</f>
        <v>#N/A</v>
      </c>
      <c r="Z131" s="115">
        <f t="shared" si="66"/>
        <v>0</v>
      </c>
    </row>
    <row r="132" spans="1:26" x14ac:dyDescent="0.3">
      <c r="A132" s="49" t="s">
        <v>362</v>
      </c>
      <c r="B132" s="1" t="str">
        <f>VLOOKUP(A132,Participanti!A:B,2,0)</f>
        <v>M</v>
      </c>
      <c r="C132" s="74">
        <v>2</v>
      </c>
      <c r="D132" s="50">
        <v>20.28</v>
      </c>
      <c r="E132" s="51">
        <v>9.6400462962962966E-2</v>
      </c>
      <c r="F132" s="51">
        <v>0.11192129629629628</v>
      </c>
      <c r="G132" s="69">
        <f t="shared" si="61"/>
        <v>0.10416087962962962</v>
      </c>
      <c r="H132" s="52">
        <v>1317</v>
      </c>
      <c r="I132" s="12">
        <f t="shared" si="62"/>
        <v>5.136138048798305E-3</v>
      </c>
      <c r="J132" s="37">
        <f t="shared" si="63"/>
        <v>4.8285714285714283</v>
      </c>
      <c r="K132" s="37">
        <f>IF(J132=0,0,IF(B132="F",VLOOKUP(I132,Barem!$G$2:$H$16,2,1),VLOOKUP(I132,Barem!$G$17:$H$31,2,1)))</f>
        <v>0.25</v>
      </c>
      <c r="L132" s="50">
        <v>2</v>
      </c>
      <c r="M132" s="124" t="s">
        <v>106</v>
      </c>
      <c r="N132" s="10">
        <f t="shared" si="67"/>
        <v>0.5</v>
      </c>
      <c r="O132" s="10">
        <f t="shared" si="67"/>
        <v>0.25</v>
      </c>
      <c r="P132" s="10">
        <f t="shared" si="67"/>
        <v>0.25</v>
      </c>
      <c r="Q132" s="40">
        <f t="shared" si="64"/>
        <v>0.878</v>
      </c>
      <c r="R132" s="21">
        <f>IF(D132&gt;21,VLOOKUP(D132,Barem!$T$1:$U$141,2,1),0)</f>
        <v>0</v>
      </c>
      <c r="S132" s="152">
        <f>IF(D132&lt;1.609,0,IF(B132="F",VLOOKUP(I132,Barem!$X$2:$Z$13,2,1),VLOOKUP(I132,Barem!$X$14:$Z$25,2,1)))</f>
        <v>0</v>
      </c>
      <c r="T132" s="21">
        <f>VLOOKUP(A132,Participanti!A:C,3,0)</f>
        <v>0</v>
      </c>
      <c r="U132" s="18">
        <f t="shared" si="65"/>
        <v>3.8547857142857143</v>
      </c>
      <c r="V132" s="58" t="s">
        <v>382</v>
      </c>
      <c r="W132" s="77">
        <f t="shared" si="68"/>
        <v>1</v>
      </c>
      <c r="X132" s="1" t="e">
        <f>VLOOKUP(A132,Data_Echipe!A:R,18,0)</f>
        <v>#N/A</v>
      </c>
      <c r="Z132" s="115">
        <f t="shared" si="66"/>
        <v>1</v>
      </c>
    </row>
    <row r="133" spans="1:26" x14ac:dyDescent="0.3">
      <c r="A133" s="49" t="s">
        <v>48</v>
      </c>
      <c r="B133" s="1" t="str">
        <f>VLOOKUP(A133,Participanti!A:B,2,0)</f>
        <v>M</v>
      </c>
      <c r="C133" s="74">
        <v>2</v>
      </c>
      <c r="D133" s="50">
        <v>12.45</v>
      </c>
      <c r="E133" s="51">
        <v>5.6851851851851855E-2</v>
      </c>
      <c r="F133" s="51">
        <v>6.9907407407407404E-2</v>
      </c>
      <c r="G133" s="69">
        <f t="shared" si="61"/>
        <v>6.3379629629629633E-2</v>
      </c>
      <c r="H133" s="52">
        <v>215</v>
      </c>
      <c r="I133" s="12">
        <f t="shared" si="62"/>
        <v>5.0907333035847095E-3</v>
      </c>
      <c r="J133" s="37">
        <f t="shared" si="63"/>
        <v>2.964285714285714</v>
      </c>
      <c r="K133" s="37">
        <f>IF(J133=0,0,IF(B133="F",VLOOKUP(I133,Barem!$G$2:$H$16,2,1),VLOOKUP(I133,Barem!$G$17:$H$31,2,1)))</f>
        <v>0.25</v>
      </c>
      <c r="L133" s="50">
        <v>2.75</v>
      </c>
      <c r="M133" s="124" t="s">
        <v>107</v>
      </c>
      <c r="N133" s="10">
        <f t="shared" si="67"/>
        <v>0.25</v>
      </c>
      <c r="O133" s="10">
        <f t="shared" si="67"/>
        <v>0.5</v>
      </c>
      <c r="P133" s="10">
        <f t="shared" si="67"/>
        <v>0.25</v>
      </c>
      <c r="Q133" s="40">
        <f t="shared" si="64"/>
        <v>0.14333333333333334</v>
      </c>
      <c r="R133" s="21">
        <f>IF(D133&gt;21,VLOOKUP(D133,Barem!$T$1:$U$141,2,1),0)</f>
        <v>0</v>
      </c>
      <c r="S133" s="152">
        <f>IF(D133&lt;1.609,0,IF(B133="F",VLOOKUP(I133,Barem!$X$2:$Z$13,2,1),VLOOKUP(I133,Barem!$X$14:$Z$25,2,1)))</f>
        <v>0</v>
      </c>
      <c r="T133" s="21">
        <f>VLOOKUP(A133,Participanti!A:C,3,0)</f>
        <v>0.4</v>
      </c>
      <c r="U133" s="18">
        <f t="shared" si="65"/>
        <v>2.0969047619047618</v>
      </c>
      <c r="V133" s="58" t="s">
        <v>382</v>
      </c>
      <c r="W133" s="77">
        <f t="shared" si="68"/>
        <v>1</v>
      </c>
      <c r="X133" s="1" t="str">
        <f>VLOOKUP(A133,Data_Echipe!A:R,18,0)</f>
        <v>#notSYRious</v>
      </c>
      <c r="Z133" s="115">
        <f t="shared" si="66"/>
        <v>1</v>
      </c>
    </row>
    <row r="134" spans="1:26" x14ac:dyDescent="0.3">
      <c r="A134" s="49" t="s">
        <v>225</v>
      </c>
      <c r="B134" s="1" t="str">
        <f>VLOOKUP(A134,Participanti!A:B,2,0)</f>
        <v>F</v>
      </c>
      <c r="C134" s="74">
        <v>2</v>
      </c>
      <c r="D134" s="50">
        <v>20.260000000000002</v>
      </c>
      <c r="E134" s="51">
        <v>7.1469907407407399E-2</v>
      </c>
      <c r="F134" s="51">
        <v>7.2881944444444444E-2</v>
      </c>
      <c r="G134" s="69">
        <f t="shared" si="61"/>
        <v>7.2175925925925921E-2</v>
      </c>
      <c r="H134" s="52"/>
      <c r="I134" s="12">
        <f t="shared" si="62"/>
        <v>3.5624840042411607E-3</v>
      </c>
      <c r="J134" s="37">
        <f t="shared" si="63"/>
        <v>5</v>
      </c>
      <c r="K134" s="37">
        <f>IF(J134=0,0,IF(B134="F",VLOOKUP(I134,Barem!$G$2:$H$16,2,1),VLOOKUP(I134,Barem!$G$17:$H$31,2,1)))</f>
        <v>3.5</v>
      </c>
      <c r="L134" s="50">
        <v>4.5</v>
      </c>
      <c r="M134" s="124" t="s">
        <v>106</v>
      </c>
      <c r="N134" s="10">
        <f t="shared" si="67"/>
        <v>0.5</v>
      </c>
      <c r="O134" s="10">
        <f t="shared" si="67"/>
        <v>0.25</v>
      </c>
      <c r="P134" s="10">
        <f t="shared" si="67"/>
        <v>0.25</v>
      </c>
      <c r="Q134" s="40">
        <f t="shared" si="64"/>
        <v>0</v>
      </c>
      <c r="R134" s="21">
        <f>IF(D134&gt;21,VLOOKUP(D134,Barem!$T$1:$U$141,2,1),0)</f>
        <v>0</v>
      </c>
      <c r="S134" s="152">
        <f>IF(D134&lt;1.609,0,IF(B134="F",VLOOKUP(I134,Barem!$X$2:$Z$13,2,1),VLOOKUP(I134,Barem!$X$14:$Z$25,2,1)))</f>
        <v>0</v>
      </c>
      <c r="T134" s="21">
        <f>VLOOKUP(A134,Participanti!A:C,3,0)</f>
        <v>0</v>
      </c>
      <c r="U134" s="18">
        <f t="shared" si="65"/>
        <v>4.5</v>
      </c>
      <c r="V134" s="58" t="s">
        <v>382</v>
      </c>
      <c r="W134" s="77">
        <f t="shared" si="68"/>
        <v>1</v>
      </c>
      <c r="X134" s="1" t="str">
        <f>VLOOKUP(A134,Data_Echipe!A:R,18,0)</f>
        <v>The GOATs</v>
      </c>
      <c r="Z134" s="115">
        <f t="shared" si="66"/>
        <v>1</v>
      </c>
    </row>
    <row r="135" spans="1:26" x14ac:dyDescent="0.3">
      <c r="A135" s="49" t="s">
        <v>288</v>
      </c>
      <c r="B135" s="1" t="str">
        <f>VLOOKUP(A135,Participanti!A:B,2,0)</f>
        <v>M</v>
      </c>
      <c r="C135" s="74">
        <v>2</v>
      </c>
      <c r="D135" s="50">
        <v>7.41</v>
      </c>
      <c r="E135" s="51">
        <v>2.5486111111111112E-2</v>
      </c>
      <c r="F135" s="51">
        <v>2.5601851851851851E-2</v>
      </c>
      <c r="G135" s="69">
        <f t="shared" si="61"/>
        <v>2.554398148148148E-2</v>
      </c>
      <c r="H135" s="52"/>
      <c r="I135" s="12">
        <f t="shared" si="62"/>
        <v>3.4472309691607936E-3</v>
      </c>
      <c r="J135" s="37">
        <f t="shared" si="63"/>
        <v>1.7642857142857142</v>
      </c>
      <c r="K135" s="37">
        <f>IF(J135=0,0,IF(B135="F",VLOOKUP(I135,Barem!$G$2:$H$16,2,1),VLOOKUP(I135,Barem!$G$17:$H$31,2,1)))</f>
        <v>3</v>
      </c>
      <c r="L135" s="50">
        <v>2.75</v>
      </c>
      <c r="M135" s="124" t="s">
        <v>207</v>
      </c>
      <c r="N135" s="10">
        <f t="shared" si="67"/>
        <v>0.25</v>
      </c>
      <c r="O135" s="10">
        <f t="shared" si="67"/>
        <v>0.25</v>
      </c>
      <c r="P135" s="10">
        <f t="shared" si="67"/>
        <v>0.5</v>
      </c>
      <c r="Q135" s="40">
        <f t="shared" si="64"/>
        <v>0</v>
      </c>
      <c r="R135" s="21">
        <f>IF(D135&gt;21,VLOOKUP(D135,Barem!$T$1:$U$141,2,1),0)</f>
        <v>0</v>
      </c>
      <c r="S135" s="152">
        <f>IF(D135&lt;1.609,0,IF(B135="F",VLOOKUP(I135,Barem!$X$2:$Z$13,2,1),VLOOKUP(I135,Barem!$X$14:$Z$25,2,1)))</f>
        <v>0</v>
      </c>
      <c r="T135" s="21">
        <f>VLOOKUP(A135,Participanti!A:C,3,0)</f>
        <v>0</v>
      </c>
      <c r="U135" s="18">
        <f t="shared" si="65"/>
        <v>2.5660714285714286</v>
      </c>
      <c r="V135" s="58" t="s">
        <v>382</v>
      </c>
      <c r="W135" s="77">
        <f t="shared" si="68"/>
        <v>1</v>
      </c>
      <c r="X135" s="1" t="e">
        <f>VLOOKUP(A135,Data_Echipe!A:R,18,0)</f>
        <v>#N/A</v>
      </c>
      <c r="Z135" s="115">
        <f t="shared" si="66"/>
        <v>1</v>
      </c>
    </row>
    <row r="136" spans="1:26" x14ac:dyDescent="0.3">
      <c r="A136" s="49" t="s">
        <v>284</v>
      </c>
      <c r="B136" s="1" t="str">
        <f>VLOOKUP(A136,Participanti!A:B,2,0)</f>
        <v>M</v>
      </c>
      <c r="C136" s="74">
        <v>2</v>
      </c>
      <c r="D136" s="50">
        <v>15.7</v>
      </c>
      <c r="E136" s="51">
        <v>0.11729166666666667</v>
      </c>
      <c r="F136" s="51">
        <v>0.29684027777777777</v>
      </c>
      <c r="G136" s="69">
        <f t="shared" si="61"/>
        <v>0.20706597222222223</v>
      </c>
      <c r="H136" s="52">
        <v>639</v>
      </c>
      <c r="I136" s="12">
        <f t="shared" si="62"/>
        <v>1.3188915428167022E-2</v>
      </c>
      <c r="J136" s="37">
        <f t="shared" si="63"/>
        <v>3.7380952380952377</v>
      </c>
      <c r="K136" s="37">
        <f>IF(J136=0,0,IF(B136="F",VLOOKUP(I136,Barem!$G$2:$H$16,2,1),VLOOKUP(I136,Barem!$G$17:$H$31,2,1)))</f>
        <v>0</v>
      </c>
      <c r="L136" s="50">
        <v>3.25</v>
      </c>
      <c r="M136" s="124" t="s">
        <v>207</v>
      </c>
      <c r="N136" s="10">
        <f t="shared" si="67"/>
        <v>0.25</v>
      </c>
      <c r="O136" s="10">
        <f t="shared" si="67"/>
        <v>0.25</v>
      </c>
      <c r="P136" s="10">
        <f t="shared" si="67"/>
        <v>0.5</v>
      </c>
      <c r="Q136" s="40">
        <f t="shared" si="64"/>
        <v>0.42599999999999999</v>
      </c>
      <c r="R136" s="21">
        <f>IF(D136&gt;21,VLOOKUP(D136,Barem!$T$1:$U$141,2,1),0)</f>
        <v>0</v>
      </c>
      <c r="S136" s="152">
        <f>IF(D136&lt;1.609,0,IF(B136="F",VLOOKUP(I136,Barem!$X$2:$Z$13,2,1),VLOOKUP(I136,Barem!$X$14:$Z$25,2,1)))</f>
        <v>0</v>
      </c>
      <c r="T136" s="21">
        <f>VLOOKUP(A136,Participanti!A:C,3,0)</f>
        <v>0</v>
      </c>
      <c r="U136" s="18">
        <f t="shared" si="65"/>
        <v>2.9855238095238095</v>
      </c>
      <c r="V136" s="58" t="s">
        <v>382</v>
      </c>
      <c r="W136" s="77">
        <f t="shared" si="68"/>
        <v>1</v>
      </c>
      <c r="X136" s="1" t="str">
        <f>VLOOKUP(A136,Data_Echipe!A:R,18,0)</f>
        <v>The GOATs</v>
      </c>
      <c r="Z136" s="115">
        <f t="shared" si="66"/>
        <v>0</v>
      </c>
    </row>
    <row r="137" spans="1:26" x14ac:dyDescent="0.3">
      <c r="A137" s="49" t="s">
        <v>303</v>
      </c>
      <c r="B137" s="1" t="str">
        <f>VLOOKUP(A137,Participanti!A:B,2,0)</f>
        <v>F</v>
      </c>
      <c r="C137" s="74">
        <v>2</v>
      </c>
      <c r="D137" s="50">
        <v>11.2</v>
      </c>
      <c r="E137" s="51">
        <v>5.2662037037037035E-2</v>
      </c>
      <c r="F137" s="51">
        <v>6.8472222222222226E-2</v>
      </c>
      <c r="G137" s="69">
        <f t="shared" si="61"/>
        <v>6.056712962962963E-2</v>
      </c>
      <c r="H137" s="52">
        <v>412</v>
      </c>
      <c r="I137" s="12">
        <f t="shared" si="62"/>
        <v>5.4077794312169317E-3</v>
      </c>
      <c r="J137" s="37">
        <f t="shared" si="63"/>
        <v>2.8</v>
      </c>
      <c r="K137" s="37">
        <f>IF(J137=0,0,IF(B137="F",VLOOKUP(I137,Barem!$G$2:$H$16,2,1),VLOOKUP(I137,Barem!$G$17:$H$31,2,1)))</f>
        <v>0.25</v>
      </c>
      <c r="L137" s="50">
        <v>1</v>
      </c>
      <c r="M137" s="124" t="s">
        <v>107</v>
      </c>
      <c r="N137" s="10">
        <f t="shared" si="67"/>
        <v>0.25</v>
      </c>
      <c r="O137" s="10">
        <f t="shared" si="67"/>
        <v>0.5</v>
      </c>
      <c r="P137" s="10">
        <f t="shared" si="67"/>
        <v>0.25</v>
      </c>
      <c r="Q137" s="40">
        <f t="shared" si="64"/>
        <v>0.27466666666666667</v>
      </c>
      <c r="R137" s="21">
        <f>IF(D137&gt;21,VLOOKUP(D137,Barem!$T$1:$U$141,2,1),0)</f>
        <v>0</v>
      </c>
      <c r="S137" s="152">
        <f>IF(D137&lt;1.609,0,IF(B137="F",VLOOKUP(I137,Barem!$X$2:$Z$13,2,1),VLOOKUP(I137,Barem!$X$14:$Z$25,2,1)))</f>
        <v>0</v>
      </c>
      <c r="T137" s="21">
        <f>VLOOKUP(A137,Participanti!A:C,3,0)</f>
        <v>0</v>
      </c>
      <c r="U137" s="18">
        <f t="shared" si="65"/>
        <v>1.3496666666666666</v>
      </c>
      <c r="V137" s="58" t="s">
        <v>382</v>
      </c>
      <c r="W137" s="77">
        <f t="shared" si="68"/>
        <v>1</v>
      </c>
      <c r="X137" s="1" t="e">
        <f>VLOOKUP(A137,Data_Echipe!A:R,18,0)</f>
        <v>#N/A</v>
      </c>
      <c r="Z137" s="115">
        <f t="shared" si="66"/>
        <v>1</v>
      </c>
    </row>
    <row r="138" spans="1:26" x14ac:dyDescent="0.3">
      <c r="A138" s="49" t="s">
        <v>364</v>
      </c>
      <c r="B138" s="1" t="str">
        <f>VLOOKUP(A138,Participanti!A:B,2,0)</f>
        <v>M</v>
      </c>
      <c r="C138" s="74">
        <v>2</v>
      </c>
      <c r="D138" s="50">
        <v>10.34</v>
      </c>
      <c r="E138" s="51">
        <v>4.2488425925925923E-2</v>
      </c>
      <c r="F138" s="51">
        <v>4.4189814814814814E-2</v>
      </c>
      <c r="G138" s="69">
        <f t="shared" si="61"/>
        <v>4.3339120370370368E-2</v>
      </c>
      <c r="H138" s="52">
        <v>233</v>
      </c>
      <c r="I138" s="12">
        <f t="shared" si="62"/>
        <v>4.1914042911383332E-3</v>
      </c>
      <c r="J138" s="37">
        <f t="shared" si="63"/>
        <v>2.4619047619047616</v>
      </c>
      <c r="K138" s="37">
        <f>IF(J138=0,0,IF(B138="F",VLOOKUP(I138,Barem!$G$2:$H$16,2,1),VLOOKUP(I138,Barem!$G$17:$H$31,2,1)))</f>
        <v>1.25</v>
      </c>
      <c r="L138" s="50">
        <v>2.75</v>
      </c>
      <c r="M138" s="124" t="s">
        <v>107</v>
      </c>
      <c r="N138" s="10">
        <f t="shared" si="67"/>
        <v>0.25</v>
      </c>
      <c r="O138" s="10">
        <f t="shared" si="67"/>
        <v>0.5</v>
      </c>
      <c r="P138" s="10">
        <f t="shared" si="67"/>
        <v>0.25</v>
      </c>
      <c r="Q138" s="40">
        <f t="shared" si="64"/>
        <v>0.15533333333333332</v>
      </c>
      <c r="R138" s="21">
        <f>IF(D138&gt;21,VLOOKUP(D138,Barem!$T$1:$U$141,2,1),0)</f>
        <v>0</v>
      </c>
      <c r="S138" s="152">
        <f>IF(D138&lt;1.609,0,IF(B138="F",VLOOKUP(I138,Barem!$X$2:$Z$13,2,1),VLOOKUP(I138,Barem!$X$14:$Z$25,2,1)))</f>
        <v>0</v>
      </c>
      <c r="T138" s="21">
        <f>VLOOKUP(A138,Participanti!A:C,3,0)</f>
        <v>0</v>
      </c>
      <c r="U138" s="18">
        <f t="shared" si="65"/>
        <v>2.0833095238095236</v>
      </c>
      <c r="V138" s="58" t="s">
        <v>382</v>
      </c>
      <c r="W138" s="77">
        <f t="shared" si="68"/>
        <v>1</v>
      </c>
      <c r="X138" s="1" t="e">
        <f>VLOOKUP(A138,Data_Echipe!A:R,18,0)</f>
        <v>#N/A</v>
      </c>
      <c r="Z138" s="115">
        <f t="shared" si="66"/>
        <v>1</v>
      </c>
    </row>
    <row r="139" spans="1:26" x14ac:dyDescent="0.3">
      <c r="A139" s="49" t="s">
        <v>352</v>
      </c>
      <c r="B139" s="1" t="str">
        <f>VLOOKUP(A139,Participanti!A:B,2,0)</f>
        <v>M</v>
      </c>
      <c r="C139" s="74">
        <v>2</v>
      </c>
      <c r="D139" s="50">
        <v>6.11</v>
      </c>
      <c r="E139" s="51">
        <v>2.2627314814814819E-2</v>
      </c>
      <c r="F139" s="51">
        <v>2.2627314814814819E-2</v>
      </c>
      <c r="G139" s="69">
        <f t="shared" si="61"/>
        <v>2.2627314814814819E-2</v>
      </c>
      <c r="H139" s="52"/>
      <c r="I139" s="12">
        <f t="shared" si="62"/>
        <v>3.7033248469418687E-3</v>
      </c>
      <c r="J139" s="37">
        <f t="shared" si="63"/>
        <v>1.4547619047619047</v>
      </c>
      <c r="K139" s="37">
        <f>IF(J139=0,0,IF(B139="F",VLOOKUP(I139,Barem!$G$2:$H$16,2,1),VLOOKUP(I139,Barem!$G$17:$H$31,2,1)))</f>
        <v>2</v>
      </c>
      <c r="L139" s="50">
        <v>0.5</v>
      </c>
      <c r="M139" s="124" t="s">
        <v>107</v>
      </c>
      <c r="N139" s="10">
        <f t="shared" si="67"/>
        <v>0.25</v>
      </c>
      <c r="O139" s="10">
        <f t="shared" si="67"/>
        <v>0.5</v>
      </c>
      <c r="P139" s="10">
        <f t="shared" si="67"/>
        <v>0.25</v>
      </c>
      <c r="Q139" s="40">
        <f t="shared" si="64"/>
        <v>0</v>
      </c>
      <c r="R139" s="21">
        <f>IF(D139&gt;21,VLOOKUP(D139,Barem!$T$1:$U$141,2,1),0)</f>
        <v>0</v>
      </c>
      <c r="S139" s="152">
        <f>IF(D139&lt;1.609,0,IF(B139="F",VLOOKUP(I139,Barem!$X$2:$Z$13,2,1),VLOOKUP(I139,Barem!$X$14:$Z$25,2,1)))</f>
        <v>0</v>
      </c>
      <c r="T139" s="21">
        <f>VLOOKUP(A139,Participanti!A:C,3,0)</f>
        <v>0</v>
      </c>
      <c r="U139" s="18">
        <f t="shared" si="65"/>
        <v>1.4886904761904762</v>
      </c>
      <c r="V139" s="58" t="s">
        <v>382</v>
      </c>
      <c r="W139" s="77">
        <f t="shared" si="68"/>
        <v>1</v>
      </c>
      <c r="X139" s="1" t="e">
        <f>VLOOKUP(A139,Data_Echipe!A:R,18,0)</f>
        <v>#N/A</v>
      </c>
      <c r="Z139" s="115">
        <f t="shared" si="66"/>
        <v>1</v>
      </c>
    </row>
    <row r="140" spans="1:26" x14ac:dyDescent="0.3">
      <c r="A140" s="49" t="s">
        <v>227</v>
      </c>
      <c r="B140" s="1" t="str">
        <f>VLOOKUP(A140,Participanti!A:B,2,0)</f>
        <v>M</v>
      </c>
      <c r="C140" s="74">
        <v>2</v>
      </c>
      <c r="D140" s="50">
        <v>50.05</v>
      </c>
      <c r="E140" s="51">
        <v>0.18671296296296294</v>
      </c>
      <c r="F140" s="51">
        <v>0.18986111111111112</v>
      </c>
      <c r="G140" s="69">
        <f t="shared" ref="G140:G148" si="69">AVERAGE(E140:F140)</f>
        <v>0.18828703703703703</v>
      </c>
      <c r="H140" s="52">
        <v>535</v>
      </c>
      <c r="I140" s="12">
        <f t="shared" ref="I140:I148" si="70">G140/D140</f>
        <v>3.7619787619787622E-3</v>
      </c>
      <c r="J140" s="37">
        <f t="shared" ref="J140:J148" si="71">IF(B140="F",IF(D140&lt;2.5,0,IF(D140&gt;19.99,5,D140/4)),IF(D140&lt;3,0, IF(D140&gt;20.99,5,D140/4.2)))</f>
        <v>5</v>
      </c>
      <c r="K140" s="37">
        <f>IF(J140=0,0,IF(B140="F",VLOOKUP(I140,Barem!$G$2:$H$16,2,1),VLOOKUP(I140,Barem!$G$17:$H$31,2,1)))</f>
        <v>2</v>
      </c>
      <c r="L140" s="50">
        <v>3</v>
      </c>
      <c r="M140" s="124" t="s">
        <v>207</v>
      </c>
      <c r="N140" s="10">
        <f t="shared" si="67"/>
        <v>0.25</v>
      </c>
      <c r="O140" s="10">
        <f t="shared" si="67"/>
        <v>0.25</v>
      </c>
      <c r="P140" s="10">
        <f t="shared" si="67"/>
        <v>0.5</v>
      </c>
      <c r="Q140" s="40">
        <f t="shared" ref="Q140:Q148" si="72">IF(H140&gt;49,H140/1500,0)</f>
        <v>0.35666666666666669</v>
      </c>
      <c r="R140" s="21">
        <f>IF(D140&gt;21,VLOOKUP(D140,Barem!$T$1:$U$141,2,1),0)</f>
        <v>1.4</v>
      </c>
      <c r="S140" s="152">
        <f>IF(D140&lt;1.609,0,IF(B140="F",VLOOKUP(I140,Barem!$X$2:$Z$13,2,1),VLOOKUP(I140,Barem!$X$14:$Z$25,2,1)))</f>
        <v>0</v>
      </c>
      <c r="T140" s="21">
        <f>VLOOKUP(A140,Participanti!A:C,3,0)</f>
        <v>0</v>
      </c>
      <c r="U140" s="18">
        <f t="shared" ref="U140:U148" si="73">IF(H140&lt;0,0,J140*N140+K140*O140+L140*P140+Q140+R140+S140+T140)</f>
        <v>5.0066666666666659</v>
      </c>
      <c r="V140" s="58" t="s">
        <v>382</v>
      </c>
      <c r="W140" s="77">
        <f t="shared" si="68"/>
        <v>1</v>
      </c>
      <c r="X140" s="1" t="str">
        <f>VLOOKUP(A140,Data_Echipe!A:R,18,0)</f>
        <v>UltraHaita lu' Borcan</v>
      </c>
      <c r="Z140" s="115">
        <f t="shared" ref="Z140:Z148" si="74">IF(K140&gt;0,1,0)</f>
        <v>1</v>
      </c>
    </row>
    <row r="141" spans="1:26" x14ac:dyDescent="0.3">
      <c r="A141" s="49" t="s">
        <v>354</v>
      </c>
      <c r="B141" s="1" t="str">
        <f>VLOOKUP(A141,Participanti!A:B,2,0)</f>
        <v>M</v>
      </c>
      <c r="C141" s="74">
        <v>2</v>
      </c>
      <c r="D141" s="50">
        <v>11.06</v>
      </c>
      <c r="E141" s="51">
        <v>5.9861111111111108E-2</v>
      </c>
      <c r="F141" s="51">
        <v>5.9861111111111108E-2</v>
      </c>
      <c r="G141" s="69">
        <f t="shared" si="69"/>
        <v>5.9861111111111108E-2</v>
      </c>
      <c r="H141" s="52">
        <v>404</v>
      </c>
      <c r="I141" s="12">
        <f t="shared" si="70"/>
        <v>5.4123970263210766E-3</v>
      </c>
      <c r="J141" s="37">
        <f t="shared" si="71"/>
        <v>2.6333333333333333</v>
      </c>
      <c r="K141" s="37">
        <f>IF(J141=0,0,IF(B141="F",VLOOKUP(I141,Barem!$G$2:$H$16,2,1),VLOOKUP(I141,Barem!$G$17:$H$31,2,1)))</f>
        <v>0.25</v>
      </c>
      <c r="L141" s="50">
        <v>2</v>
      </c>
      <c r="M141" s="124" t="s">
        <v>107</v>
      </c>
      <c r="N141" s="10">
        <f t="shared" si="67"/>
        <v>0.25</v>
      </c>
      <c r="O141" s="10">
        <f t="shared" si="67"/>
        <v>0.5</v>
      </c>
      <c r="P141" s="10">
        <f t="shared" si="67"/>
        <v>0.25</v>
      </c>
      <c r="Q141" s="40">
        <f t="shared" si="72"/>
        <v>0.26933333333333331</v>
      </c>
      <c r="R141" s="21">
        <f>IF(D141&gt;21,VLOOKUP(D141,Barem!$T$1:$U$141,2,1),0)</f>
        <v>0</v>
      </c>
      <c r="S141" s="152">
        <f>IF(D141&lt;1.609,0,IF(B141="F",VLOOKUP(I141,Barem!$X$2:$Z$13,2,1),VLOOKUP(I141,Barem!$X$14:$Z$25,2,1)))</f>
        <v>0</v>
      </c>
      <c r="T141" s="21">
        <f>VLOOKUP(A141,Participanti!A:C,3,0)</f>
        <v>0</v>
      </c>
      <c r="U141" s="18">
        <f t="shared" si="73"/>
        <v>1.5526666666666666</v>
      </c>
      <c r="V141" s="58" t="s">
        <v>382</v>
      </c>
      <c r="W141" s="77">
        <f t="shared" si="68"/>
        <v>1</v>
      </c>
      <c r="X141" s="1" t="e">
        <f>VLOOKUP(A141,Data_Echipe!A:R,18,0)</f>
        <v>#N/A</v>
      </c>
      <c r="Z141" s="115">
        <f t="shared" si="74"/>
        <v>1</v>
      </c>
    </row>
    <row r="142" spans="1:26" x14ac:dyDescent="0.3">
      <c r="A142" s="49" t="s">
        <v>357</v>
      </c>
      <c r="B142" s="1" t="str">
        <f>VLOOKUP(A142,Participanti!A:B,2,0)</f>
        <v>M</v>
      </c>
      <c r="C142" s="74">
        <v>2</v>
      </c>
      <c r="D142" s="50">
        <v>20.100000000000001</v>
      </c>
      <c r="E142" s="51">
        <v>7.2662037037037039E-2</v>
      </c>
      <c r="F142" s="51">
        <v>7.3159722222222223E-2</v>
      </c>
      <c r="G142" s="69">
        <f t="shared" si="69"/>
        <v>7.2910879629629638E-2</v>
      </c>
      <c r="H142" s="52">
        <v>73</v>
      </c>
      <c r="I142" s="12">
        <f t="shared" si="70"/>
        <v>3.6274069467477428E-3</v>
      </c>
      <c r="J142" s="37">
        <f t="shared" si="71"/>
        <v>4.7857142857142856</v>
      </c>
      <c r="K142" s="37">
        <f>IF(J142=0,0,IF(B142="F",VLOOKUP(I142,Barem!$G$2:$H$16,2,1),VLOOKUP(I142,Barem!$G$17:$H$31,2,1)))</f>
        <v>2.5</v>
      </c>
      <c r="L142" s="50">
        <v>2</v>
      </c>
      <c r="M142" s="124" t="s">
        <v>106</v>
      </c>
      <c r="N142" s="10">
        <f t="shared" si="67"/>
        <v>0.5</v>
      </c>
      <c r="O142" s="10">
        <f t="shared" si="67"/>
        <v>0.25</v>
      </c>
      <c r="P142" s="10">
        <f t="shared" si="67"/>
        <v>0.25</v>
      </c>
      <c r="Q142" s="40">
        <f t="shared" si="72"/>
        <v>4.8666666666666664E-2</v>
      </c>
      <c r="R142" s="21">
        <f>IF(D142&gt;21,VLOOKUP(D142,Barem!$T$1:$U$141,2,1),0)</f>
        <v>0</v>
      </c>
      <c r="S142" s="152">
        <f>IF(D142&lt;1.609,0,IF(B142="F",VLOOKUP(I142,Barem!$X$2:$Z$13,2,1),VLOOKUP(I142,Barem!$X$14:$Z$25,2,1)))</f>
        <v>0</v>
      </c>
      <c r="T142" s="21">
        <f>VLOOKUP(A142,Participanti!A:C,3,0)</f>
        <v>0</v>
      </c>
      <c r="U142" s="18">
        <f t="shared" si="73"/>
        <v>3.5665238095238094</v>
      </c>
      <c r="V142" s="58" t="s">
        <v>382</v>
      </c>
      <c r="W142" s="77">
        <f t="shared" si="68"/>
        <v>1</v>
      </c>
      <c r="X142" s="1" t="e">
        <f>VLOOKUP(A142,Data_Echipe!A:R,18,0)</f>
        <v>#N/A</v>
      </c>
      <c r="Z142" s="115">
        <f t="shared" si="74"/>
        <v>1</v>
      </c>
    </row>
    <row r="143" spans="1:26" x14ac:dyDescent="0.3">
      <c r="A143" s="49" t="s">
        <v>208</v>
      </c>
      <c r="B143" s="1" t="str">
        <f>VLOOKUP(A143,Participanti!A:B,2,0)</f>
        <v>M</v>
      </c>
      <c r="C143" s="74">
        <v>2</v>
      </c>
      <c r="D143" s="50">
        <v>8.01</v>
      </c>
      <c r="E143" s="51">
        <v>2.4502314814814814E-2</v>
      </c>
      <c r="F143" s="51">
        <v>2.494212962962963E-2</v>
      </c>
      <c r="G143" s="69">
        <f t="shared" si="69"/>
        <v>2.4722222222222222E-2</v>
      </c>
      <c r="H143" s="52"/>
      <c r="I143" s="12">
        <f t="shared" si="70"/>
        <v>3.0864197530864196E-3</v>
      </c>
      <c r="J143" s="37">
        <f t="shared" si="71"/>
        <v>1.907142857142857</v>
      </c>
      <c r="K143" s="37">
        <f>IF(J143=0,0,IF(B143="F",VLOOKUP(I143,Barem!$G$2:$H$16,2,1),VLOOKUP(I143,Barem!$G$17:$H$31,2,1)))</f>
        <v>4</v>
      </c>
      <c r="L143" s="50">
        <v>2.25</v>
      </c>
      <c r="M143" s="124" t="s">
        <v>107</v>
      </c>
      <c r="N143" s="10">
        <f t="shared" ref="N143:P158" si="75">IF($M143=N$1,50%,25%)</f>
        <v>0.25</v>
      </c>
      <c r="O143" s="10">
        <f t="shared" si="75"/>
        <v>0.5</v>
      </c>
      <c r="P143" s="10">
        <f t="shared" si="75"/>
        <v>0.25</v>
      </c>
      <c r="Q143" s="40">
        <f t="shared" si="72"/>
        <v>0</v>
      </c>
      <c r="R143" s="21">
        <f>IF(D143&gt;21,VLOOKUP(D143,Barem!$T$1:$U$141,2,1),0)</f>
        <v>0</v>
      </c>
      <c r="S143" s="152">
        <f>IF(D143&lt;1.609,0,IF(B143="F",VLOOKUP(I143,Barem!$X$2:$Z$13,2,1),VLOOKUP(I143,Barem!$X$14:$Z$25,2,1)))</f>
        <v>0</v>
      </c>
      <c r="T143" s="21">
        <f>VLOOKUP(A143,Participanti!A:C,3,0)</f>
        <v>0</v>
      </c>
      <c r="U143" s="18">
        <f t="shared" si="73"/>
        <v>3.0392857142857141</v>
      </c>
      <c r="V143" s="58" t="s">
        <v>382</v>
      </c>
      <c r="W143" s="77">
        <f t="shared" si="68"/>
        <v>1</v>
      </c>
      <c r="X143" s="1" t="e">
        <f>VLOOKUP(A143,Data_Echipe!A:R,18,0)</f>
        <v>#N/A</v>
      </c>
      <c r="Z143" s="115">
        <f t="shared" si="74"/>
        <v>1</v>
      </c>
    </row>
    <row r="144" spans="1:26" x14ac:dyDescent="0.3">
      <c r="A144" s="49" t="s">
        <v>356</v>
      </c>
      <c r="B144" s="1" t="str">
        <f>VLOOKUP(A144,Participanti!A:B,2,0)</f>
        <v>M</v>
      </c>
      <c r="C144" s="74">
        <v>2</v>
      </c>
      <c r="D144" s="50">
        <v>5.01</v>
      </c>
      <c r="E144" s="51">
        <v>1.6481481481481482E-2</v>
      </c>
      <c r="F144" s="51">
        <v>2.0416666666666666E-2</v>
      </c>
      <c r="G144" s="69">
        <f t="shared" si="69"/>
        <v>1.8449074074074076E-2</v>
      </c>
      <c r="H144" s="52"/>
      <c r="I144" s="12">
        <f t="shared" si="70"/>
        <v>3.6824499149848457E-3</v>
      </c>
      <c r="J144" s="37">
        <f t="shared" si="71"/>
        <v>1.1928571428571428</v>
      </c>
      <c r="K144" s="37">
        <f>IF(J144=0,0,IF(B144="F",VLOOKUP(I144,Barem!$G$2:$H$16,2,1),VLOOKUP(I144,Barem!$G$17:$H$31,2,1)))</f>
        <v>2</v>
      </c>
      <c r="L144" s="50">
        <v>2.25</v>
      </c>
      <c r="M144" s="124" t="s">
        <v>107</v>
      </c>
      <c r="N144" s="10">
        <f t="shared" si="75"/>
        <v>0.25</v>
      </c>
      <c r="O144" s="10">
        <f t="shared" si="75"/>
        <v>0.5</v>
      </c>
      <c r="P144" s="10">
        <f t="shared" si="75"/>
        <v>0.25</v>
      </c>
      <c r="Q144" s="40">
        <f t="shared" si="72"/>
        <v>0</v>
      </c>
      <c r="R144" s="21">
        <f>IF(D144&gt;21,VLOOKUP(D144,Barem!$T$1:$U$141,2,1),0)</f>
        <v>0</v>
      </c>
      <c r="S144" s="152">
        <f>IF(D144&lt;1.609,0,IF(B144="F",VLOOKUP(I144,Barem!$X$2:$Z$13,2,1),VLOOKUP(I144,Barem!$X$14:$Z$25,2,1)))</f>
        <v>0</v>
      </c>
      <c r="T144" s="21">
        <f>VLOOKUP(A144,Participanti!A:C,3,0)</f>
        <v>0</v>
      </c>
      <c r="U144" s="18">
        <f t="shared" si="73"/>
        <v>1.8607142857142858</v>
      </c>
      <c r="V144" s="58" t="s">
        <v>382</v>
      </c>
      <c r="W144" s="77">
        <f t="shared" si="68"/>
        <v>1</v>
      </c>
      <c r="X144" s="1" t="str">
        <f>VLOOKUP(A144,Data_Echipe!A:R,18,0)</f>
        <v>MedgidiaRunning</v>
      </c>
      <c r="Z144" s="115">
        <f t="shared" si="74"/>
        <v>1</v>
      </c>
    </row>
    <row r="145" spans="1:26" x14ac:dyDescent="0.3">
      <c r="A145" s="49" t="s">
        <v>242</v>
      </c>
      <c r="B145" s="1" t="str">
        <f>VLOOKUP(A145,Participanti!A:B,2,0)</f>
        <v>M</v>
      </c>
      <c r="C145" s="74">
        <v>2</v>
      </c>
      <c r="D145" s="50">
        <v>7.12</v>
      </c>
      <c r="E145" s="51">
        <v>2.8576388888888887E-2</v>
      </c>
      <c r="F145" s="51">
        <v>2.8576388888888887E-2</v>
      </c>
      <c r="G145" s="69">
        <f t="shared" si="69"/>
        <v>2.8576388888888887E-2</v>
      </c>
      <c r="H145" s="52"/>
      <c r="I145" s="12">
        <f t="shared" si="70"/>
        <v>4.0135377652933827E-3</v>
      </c>
      <c r="J145" s="37">
        <f t="shared" si="71"/>
        <v>1.6952380952380952</v>
      </c>
      <c r="K145" s="37">
        <f>IF(J145=0,0,IF(B145="F",VLOOKUP(I145,Barem!$G$2:$H$16,2,1),VLOOKUP(I145,Barem!$G$17:$H$31,2,1)))</f>
        <v>1.5</v>
      </c>
      <c r="L145" s="50">
        <v>0.75</v>
      </c>
      <c r="M145" s="124" t="s">
        <v>107</v>
      </c>
      <c r="N145" s="10">
        <f t="shared" si="75"/>
        <v>0.25</v>
      </c>
      <c r="O145" s="10">
        <f t="shared" si="75"/>
        <v>0.5</v>
      </c>
      <c r="P145" s="10">
        <f t="shared" si="75"/>
        <v>0.25</v>
      </c>
      <c r="Q145" s="40">
        <f t="shared" si="72"/>
        <v>0</v>
      </c>
      <c r="R145" s="21">
        <f>IF(D145&gt;21,VLOOKUP(D145,Barem!$T$1:$U$141,2,1),0)</f>
        <v>0</v>
      </c>
      <c r="S145" s="152">
        <f>IF(D145&lt;1.609,0,IF(B145="F",VLOOKUP(I145,Barem!$X$2:$Z$13,2,1),VLOOKUP(I145,Barem!$X$14:$Z$25,2,1)))</f>
        <v>0</v>
      </c>
      <c r="T145" s="21">
        <f>VLOOKUP(A145,Participanti!A:C,3,0)</f>
        <v>0</v>
      </c>
      <c r="U145" s="18">
        <f t="shared" si="73"/>
        <v>1.3613095238095239</v>
      </c>
      <c r="V145" s="58" t="s">
        <v>382</v>
      </c>
      <c r="W145" s="77">
        <f t="shared" si="68"/>
        <v>1</v>
      </c>
      <c r="X145" s="1" t="e">
        <f>VLOOKUP(A145,Data_Echipe!A:R,18,0)</f>
        <v>#N/A</v>
      </c>
      <c r="Z145" s="115">
        <f t="shared" si="74"/>
        <v>1</v>
      </c>
    </row>
    <row r="146" spans="1:26" x14ac:dyDescent="0.3">
      <c r="A146" s="49" t="s">
        <v>108</v>
      </c>
      <c r="B146" s="1" t="str">
        <f>VLOOKUP(A146,Participanti!A:B,2,0)</f>
        <v>M</v>
      </c>
      <c r="C146" s="74">
        <v>2</v>
      </c>
      <c r="D146" s="50">
        <v>63.1</v>
      </c>
      <c r="E146" s="51">
        <v>0.30534722222222221</v>
      </c>
      <c r="F146" s="51">
        <v>0.35533564814814816</v>
      </c>
      <c r="G146" s="69">
        <f t="shared" si="69"/>
        <v>0.33034143518518522</v>
      </c>
      <c r="H146" s="52">
        <v>1502</v>
      </c>
      <c r="I146" s="12">
        <f t="shared" si="70"/>
        <v>5.2352049950108587E-3</v>
      </c>
      <c r="J146" s="37">
        <f t="shared" si="71"/>
        <v>5</v>
      </c>
      <c r="K146" s="37">
        <f>IF(J146=0,0,IF(B146="F",VLOOKUP(I146,Barem!$G$2:$H$16,2,1),VLOOKUP(I146,Barem!$G$17:$H$31,2,1)))</f>
        <v>0.25</v>
      </c>
      <c r="L146" s="50">
        <v>4.25</v>
      </c>
      <c r="M146" s="124" t="s">
        <v>106</v>
      </c>
      <c r="N146" s="10">
        <f t="shared" si="75"/>
        <v>0.5</v>
      </c>
      <c r="O146" s="10">
        <f t="shared" si="75"/>
        <v>0.25</v>
      </c>
      <c r="P146" s="10">
        <f t="shared" si="75"/>
        <v>0.25</v>
      </c>
      <c r="Q146" s="40">
        <f t="shared" si="72"/>
        <v>1.0013333333333334</v>
      </c>
      <c r="R146" s="21">
        <f>IF(D146&gt;21,VLOOKUP(D146,Barem!$T$1:$U$141,2,1),0)</f>
        <v>2.1</v>
      </c>
      <c r="S146" s="152">
        <f>IF(D146&lt;1.609,0,IF(B146="F",VLOOKUP(I146,Barem!$X$2:$Z$13,2,1),VLOOKUP(I146,Barem!$X$14:$Z$25,2,1)))</f>
        <v>0</v>
      </c>
      <c r="T146" s="21">
        <f>VLOOKUP(A146,Participanti!A:C,3,0)</f>
        <v>0</v>
      </c>
      <c r="U146" s="18">
        <f t="shared" si="73"/>
        <v>6.7263333333333328</v>
      </c>
      <c r="V146" s="58" t="s">
        <v>382</v>
      </c>
      <c r="W146" s="77">
        <f t="shared" si="68"/>
        <v>1</v>
      </c>
      <c r="X146" s="1" t="str">
        <f>VLOOKUP(A146,Data_Echipe!A:R,18,0)</f>
        <v>UltraHaita lu' Borcan</v>
      </c>
      <c r="Z146" s="115">
        <f t="shared" si="74"/>
        <v>1</v>
      </c>
    </row>
    <row r="147" spans="1:26" x14ac:dyDescent="0.3">
      <c r="A147" s="49" t="s">
        <v>378</v>
      </c>
      <c r="B147" s="1" t="str">
        <f>VLOOKUP(A147,Participanti!A:B,2,0)</f>
        <v>F</v>
      </c>
      <c r="C147" s="74">
        <v>2</v>
      </c>
      <c r="D147" s="50">
        <v>8.01</v>
      </c>
      <c r="E147" s="51">
        <v>2.900462962962963E-2</v>
      </c>
      <c r="F147" s="51">
        <v>3.1527777777777773E-2</v>
      </c>
      <c r="G147" s="69">
        <f t="shared" si="69"/>
        <v>3.0266203703703701E-2</v>
      </c>
      <c r="H147" s="52"/>
      <c r="I147" s="12">
        <f t="shared" si="70"/>
        <v>3.7785522726221849E-3</v>
      </c>
      <c r="J147" s="37">
        <f t="shared" si="71"/>
        <v>2.0024999999999999</v>
      </c>
      <c r="K147" s="37">
        <f>IF(J147=0,0,IF(B147="F",VLOOKUP(I147,Barem!$G$2:$H$16,2,1),VLOOKUP(I147,Barem!$G$17:$H$31,2,1)))</f>
        <v>3</v>
      </c>
      <c r="L147" s="50">
        <v>2</v>
      </c>
      <c r="M147" s="124" t="s">
        <v>107</v>
      </c>
      <c r="N147" s="10">
        <f t="shared" si="75"/>
        <v>0.25</v>
      </c>
      <c r="O147" s="10">
        <f t="shared" si="75"/>
        <v>0.5</v>
      </c>
      <c r="P147" s="10">
        <f t="shared" si="75"/>
        <v>0.25</v>
      </c>
      <c r="Q147" s="40">
        <f t="shared" si="72"/>
        <v>0</v>
      </c>
      <c r="R147" s="21">
        <f>IF(D147&gt;21,VLOOKUP(D147,Barem!$T$1:$U$141,2,1),0)</f>
        <v>0</v>
      </c>
      <c r="S147" s="152">
        <f>IF(D147&lt;1.609,0,IF(B147="F",VLOOKUP(I147,Barem!$X$2:$Z$13,2,1),VLOOKUP(I147,Barem!$X$14:$Z$25,2,1)))</f>
        <v>0</v>
      </c>
      <c r="T147" s="21">
        <f>VLOOKUP(A147,Participanti!A:C,3,0)</f>
        <v>0</v>
      </c>
      <c r="U147" s="18">
        <f t="shared" si="73"/>
        <v>2.5006249999999999</v>
      </c>
      <c r="V147" s="58" t="s">
        <v>382</v>
      </c>
      <c r="W147" s="77">
        <f t="shared" si="68"/>
        <v>1</v>
      </c>
      <c r="X147" s="1" t="str">
        <f>VLOOKUP(A147,Data_Echipe!A:R,18,0)</f>
        <v>MedgidiaRunning</v>
      </c>
      <c r="Z147" s="115">
        <f t="shared" si="74"/>
        <v>1</v>
      </c>
    </row>
    <row r="148" spans="1:26" x14ac:dyDescent="0.3">
      <c r="A148" s="49" t="s">
        <v>293</v>
      </c>
      <c r="B148" s="1" t="str">
        <f>VLOOKUP(A148,Participanti!A:B,2,0)</f>
        <v>M</v>
      </c>
      <c r="C148" s="74">
        <v>2</v>
      </c>
      <c r="D148" s="50">
        <v>22.18</v>
      </c>
      <c r="E148" s="51">
        <v>8.5636574074074087E-2</v>
      </c>
      <c r="F148" s="51">
        <v>8.5752314814814823E-2</v>
      </c>
      <c r="G148" s="69">
        <f t="shared" si="69"/>
        <v>8.5694444444444462E-2</v>
      </c>
      <c r="H148" s="52">
        <v>63</v>
      </c>
      <c r="I148" s="12">
        <f t="shared" si="70"/>
        <v>3.8635908225628703E-3</v>
      </c>
      <c r="J148" s="37">
        <f t="shared" si="71"/>
        <v>5</v>
      </c>
      <c r="K148" s="37">
        <f>IF(J148=0,0,IF(B148="F",VLOOKUP(I148,Barem!$G$2:$H$16,2,1),VLOOKUP(I148,Barem!$G$17:$H$31,2,1)))</f>
        <v>1.75</v>
      </c>
      <c r="L148" s="50">
        <v>0.75</v>
      </c>
      <c r="M148" s="124" t="s">
        <v>106</v>
      </c>
      <c r="N148" s="10">
        <f t="shared" si="75"/>
        <v>0.5</v>
      </c>
      <c r="O148" s="10">
        <f t="shared" si="75"/>
        <v>0.25</v>
      </c>
      <c r="P148" s="10">
        <f t="shared" si="75"/>
        <v>0.25</v>
      </c>
      <c r="Q148" s="40">
        <f t="shared" si="72"/>
        <v>4.2000000000000003E-2</v>
      </c>
      <c r="R148" s="21">
        <f>IF(D148&gt;21,VLOOKUP(D148,Barem!$T$1:$U$141,2,1),0)</f>
        <v>0</v>
      </c>
      <c r="S148" s="152">
        <f>IF(D148&lt;1.609,0,IF(B148="F",VLOOKUP(I148,Barem!$X$2:$Z$13,2,1),VLOOKUP(I148,Barem!$X$14:$Z$25,2,1)))</f>
        <v>0</v>
      </c>
      <c r="T148" s="21">
        <f>VLOOKUP(A148,Participanti!A:C,3,0)</f>
        <v>0</v>
      </c>
      <c r="U148" s="18">
        <f t="shared" si="73"/>
        <v>3.1669999999999998</v>
      </c>
      <c r="V148" s="58" t="s">
        <v>382</v>
      </c>
      <c r="W148" s="77">
        <f t="shared" si="68"/>
        <v>1</v>
      </c>
      <c r="X148" s="1" t="str">
        <f>VLOOKUP(A148,Data_Echipe!A:R,18,0)</f>
        <v>UltraHaita lu' Borcan</v>
      </c>
      <c r="Z148" s="115">
        <f t="shared" si="74"/>
        <v>1</v>
      </c>
    </row>
    <row r="149" spans="1:26" x14ac:dyDescent="0.3">
      <c r="A149" s="49" t="s">
        <v>346</v>
      </c>
      <c r="B149" s="1" t="str">
        <f>VLOOKUP(A149,Participanti!A:B,2,0)</f>
        <v>M</v>
      </c>
      <c r="C149" s="74">
        <v>2</v>
      </c>
      <c r="D149" s="50">
        <v>84.7</v>
      </c>
      <c r="E149" s="51">
        <v>0.38994212962962965</v>
      </c>
      <c r="F149" s="51">
        <v>0.47159722222222222</v>
      </c>
      <c r="G149" s="69">
        <f t="shared" ref="G149:G157" si="76">AVERAGE(E149:F149)</f>
        <v>0.43076967592592597</v>
      </c>
      <c r="H149" s="52">
        <v>299</v>
      </c>
      <c r="I149" s="12">
        <f t="shared" ref="I149:I157" si="77">G149/D149</f>
        <v>5.0858285233285234E-3</v>
      </c>
      <c r="J149" s="37">
        <f t="shared" ref="J149:J157" si="78">IF(B149="F",IF(D149&lt;2.5,0,IF(D149&gt;19.99,5,D149/4)),IF(D149&lt;3,0, IF(D149&gt;20.99,5,D149/4.2)))</f>
        <v>5</v>
      </c>
      <c r="K149" s="37">
        <f>IF(J149=0,0,IF(B149="F",VLOOKUP(I149,Barem!$G$2:$H$16,2,1),VLOOKUP(I149,Barem!$G$17:$H$31,2,1)))</f>
        <v>0.25</v>
      </c>
      <c r="L149" s="50">
        <v>0.5</v>
      </c>
      <c r="M149" s="124" t="s">
        <v>106</v>
      </c>
      <c r="N149" s="10">
        <f t="shared" si="75"/>
        <v>0.5</v>
      </c>
      <c r="O149" s="10">
        <f t="shared" si="75"/>
        <v>0.25</v>
      </c>
      <c r="P149" s="10">
        <f t="shared" si="75"/>
        <v>0.25</v>
      </c>
      <c r="Q149" s="40">
        <f t="shared" ref="Q149:Q157" si="79">IF(H149&gt;49,H149/1500,0)</f>
        <v>0.19933333333333333</v>
      </c>
      <c r="R149" s="21">
        <f>IF(D149&gt;21,VLOOKUP(D149,Barem!$T$1:$U$141,2,1),0)</f>
        <v>3.1</v>
      </c>
      <c r="S149" s="152">
        <f>IF(D149&lt;1.609,0,IF(B149="F",VLOOKUP(I149,Barem!$X$2:$Z$13,2,1),VLOOKUP(I149,Barem!$X$14:$Z$25,2,1)))</f>
        <v>0</v>
      </c>
      <c r="T149" s="21">
        <f>VLOOKUP(A149,Participanti!A:C,3,0)</f>
        <v>0</v>
      </c>
      <c r="U149" s="18">
        <f t="shared" ref="U149:U157" si="80">IF(H149&lt;0,0,J149*N149+K149*O149+L149*P149+Q149+R149+S149+T149)</f>
        <v>5.9868333333333332</v>
      </c>
      <c r="V149" s="58" t="s">
        <v>382</v>
      </c>
      <c r="W149" s="77">
        <f t="shared" si="68"/>
        <v>1</v>
      </c>
      <c r="X149" s="1" t="str">
        <f>VLOOKUP(A149,Data_Echipe!A:R,18,0)</f>
        <v>UltraHaita lu' Borcan</v>
      </c>
      <c r="Z149" s="115">
        <f t="shared" ref="Z149:Z157" si="81">IF(K149&gt;0,1,0)</f>
        <v>1</v>
      </c>
    </row>
    <row r="150" spans="1:26" x14ac:dyDescent="0.3">
      <c r="A150" s="49" t="s">
        <v>301</v>
      </c>
      <c r="B150" s="1" t="str">
        <f>VLOOKUP(A150,Participanti!A:B,2,0)</f>
        <v>M</v>
      </c>
      <c r="C150" s="74">
        <v>2</v>
      </c>
      <c r="D150" s="50">
        <v>12.04</v>
      </c>
      <c r="E150" s="51">
        <v>4.3437499999999997E-2</v>
      </c>
      <c r="F150" s="51">
        <v>4.87037037037037E-2</v>
      </c>
      <c r="G150" s="69">
        <f t="shared" si="76"/>
        <v>4.6070601851851849E-2</v>
      </c>
      <c r="H150" s="52">
        <v>74</v>
      </c>
      <c r="I150" s="12">
        <f t="shared" si="77"/>
        <v>3.8264619478282271E-3</v>
      </c>
      <c r="J150" s="37">
        <f t="shared" si="78"/>
        <v>2.8666666666666663</v>
      </c>
      <c r="K150" s="37">
        <f>IF(J150=0,0,IF(B150="F",VLOOKUP(I150,Barem!$G$2:$H$16,2,1),VLOOKUP(I150,Barem!$G$17:$H$31,2,1)))</f>
        <v>2</v>
      </c>
      <c r="L150" s="50">
        <v>1.5</v>
      </c>
      <c r="M150" s="124" t="s">
        <v>107</v>
      </c>
      <c r="N150" s="10">
        <f t="shared" si="75"/>
        <v>0.25</v>
      </c>
      <c r="O150" s="10">
        <f t="shared" si="75"/>
        <v>0.5</v>
      </c>
      <c r="P150" s="10">
        <f t="shared" si="75"/>
        <v>0.25</v>
      </c>
      <c r="Q150" s="40">
        <f t="shared" si="79"/>
        <v>4.9333333333333333E-2</v>
      </c>
      <c r="R150" s="21">
        <f>IF(D150&gt;21,VLOOKUP(D150,Barem!$T$1:$U$141,2,1),0)</f>
        <v>0</v>
      </c>
      <c r="S150" s="152">
        <f>IF(D150&lt;1.609,0,IF(B150="F",VLOOKUP(I150,Barem!$X$2:$Z$13,2,1),VLOOKUP(I150,Barem!$X$14:$Z$25,2,1)))</f>
        <v>0</v>
      </c>
      <c r="T150" s="21">
        <f>VLOOKUP(A150,Participanti!A:C,3,0)</f>
        <v>0</v>
      </c>
      <c r="U150" s="18">
        <f t="shared" si="80"/>
        <v>2.141</v>
      </c>
      <c r="V150" s="58" t="s">
        <v>382</v>
      </c>
      <c r="W150" s="77">
        <f t="shared" si="68"/>
        <v>1</v>
      </c>
      <c r="X150" s="1" t="e">
        <f>VLOOKUP(A150,Data_Echipe!A:R,18,0)</f>
        <v>#N/A</v>
      </c>
      <c r="Z150" s="115">
        <f t="shared" si="81"/>
        <v>1</v>
      </c>
    </row>
    <row r="151" spans="1:26" x14ac:dyDescent="0.3">
      <c r="A151" s="49" t="s">
        <v>296</v>
      </c>
      <c r="B151" s="1" t="str">
        <f>VLOOKUP(A151,Participanti!A:B,2,0)</f>
        <v>M</v>
      </c>
      <c r="C151" s="74">
        <v>2</v>
      </c>
      <c r="D151" s="50">
        <v>5.29</v>
      </c>
      <c r="E151" s="51">
        <v>2.7083333333333334E-2</v>
      </c>
      <c r="F151" s="51">
        <v>2.7199074074074073E-2</v>
      </c>
      <c r="G151" s="69">
        <f t="shared" si="76"/>
        <v>2.7141203703703702E-2</v>
      </c>
      <c r="H151" s="52">
        <v>57</v>
      </c>
      <c r="I151" s="12">
        <f t="shared" si="77"/>
        <v>5.1306623258419093E-3</v>
      </c>
      <c r="J151" s="37">
        <f t="shared" si="78"/>
        <v>1.2595238095238095</v>
      </c>
      <c r="K151" s="37">
        <f>IF(J151=0,0,IF(B151="F",VLOOKUP(I151,Barem!$G$2:$H$16,2,1),VLOOKUP(I151,Barem!$G$17:$H$31,2,1)))</f>
        <v>0.25</v>
      </c>
      <c r="L151" s="50">
        <v>1.5</v>
      </c>
      <c r="M151" s="124" t="s">
        <v>107</v>
      </c>
      <c r="N151" s="10">
        <f t="shared" si="75"/>
        <v>0.25</v>
      </c>
      <c r="O151" s="10">
        <f t="shared" si="75"/>
        <v>0.5</v>
      </c>
      <c r="P151" s="10">
        <f t="shared" si="75"/>
        <v>0.25</v>
      </c>
      <c r="Q151" s="40">
        <f t="shared" si="79"/>
        <v>3.7999999999999999E-2</v>
      </c>
      <c r="R151" s="21">
        <f>IF(D151&gt;21,VLOOKUP(D151,Barem!$T$1:$U$141,2,1),0)</f>
        <v>0</v>
      </c>
      <c r="S151" s="152">
        <f>IF(D151&lt;1.609,0,IF(B151="F",VLOOKUP(I151,Barem!$X$2:$Z$13,2,1),VLOOKUP(I151,Barem!$X$14:$Z$25,2,1)))</f>
        <v>0</v>
      </c>
      <c r="T151" s="21">
        <f>VLOOKUP(A151,Participanti!A:C,3,0)</f>
        <v>0</v>
      </c>
      <c r="U151" s="18">
        <f t="shared" si="80"/>
        <v>0.85288095238095241</v>
      </c>
      <c r="V151" s="58" t="s">
        <v>382</v>
      </c>
      <c r="W151" s="77">
        <f t="shared" si="68"/>
        <v>1</v>
      </c>
      <c r="X151" s="1" t="str">
        <f>VLOOKUP(A151,Data_Echipe!A:R,18,0)</f>
        <v>MedgidiaRunning</v>
      </c>
      <c r="Z151" s="115">
        <f t="shared" si="81"/>
        <v>1</v>
      </c>
    </row>
    <row r="152" spans="1:26" x14ac:dyDescent="0.3">
      <c r="A152" s="49" t="s">
        <v>345</v>
      </c>
      <c r="B152" s="1" t="str">
        <f>VLOOKUP(A152,Participanti!A:B,2,0)</f>
        <v>F</v>
      </c>
      <c r="C152" s="74">
        <v>2</v>
      </c>
      <c r="D152" s="50">
        <v>10.02</v>
      </c>
      <c r="E152" s="51">
        <v>3.9097222222222221E-2</v>
      </c>
      <c r="F152" s="51">
        <v>4.3159722222222224E-2</v>
      </c>
      <c r="G152" s="69">
        <f t="shared" si="76"/>
        <v>4.1128472222222226E-2</v>
      </c>
      <c r="H152" s="52">
        <v>62</v>
      </c>
      <c r="I152" s="12">
        <f t="shared" si="77"/>
        <v>4.1046379463295637E-3</v>
      </c>
      <c r="J152" s="37">
        <f t="shared" si="78"/>
        <v>2.5049999999999999</v>
      </c>
      <c r="K152" s="37">
        <f>IF(J152=0,0,IF(B152="F",VLOOKUP(I152,Barem!$G$2:$H$16,2,1),VLOOKUP(I152,Barem!$G$17:$H$31,2,1)))</f>
        <v>2</v>
      </c>
      <c r="L152" s="50">
        <v>2.5</v>
      </c>
      <c r="M152" s="124" t="s">
        <v>107</v>
      </c>
      <c r="N152" s="10">
        <f t="shared" si="75"/>
        <v>0.25</v>
      </c>
      <c r="O152" s="10">
        <f t="shared" si="75"/>
        <v>0.5</v>
      </c>
      <c r="P152" s="10">
        <f t="shared" si="75"/>
        <v>0.25</v>
      </c>
      <c r="Q152" s="40">
        <f t="shared" si="79"/>
        <v>4.1333333333333333E-2</v>
      </c>
      <c r="R152" s="21">
        <f>IF(D152&gt;21,VLOOKUP(D152,Barem!$T$1:$U$141,2,1),0)</f>
        <v>0</v>
      </c>
      <c r="S152" s="152">
        <f>IF(D152&lt;1.609,0,IF(B152="F",VLOOKUP(I152,Barem!$X$2:$Z$13,2,1),VLOOKUP(I152,Barem!$X$14:$Z$25,2,1)))</f>
        <v>0</v>
      </c>
      <c r="T152" s="21">
        <f>VLOOKUP(A152,Participanti!A:C,3,0)</f>
        <v>0</v>
      </c>
      <c r="U152" s="18">
        <f t="shared" si="80"/>
        <v>2.292583333333333</v>
      </c>
      <c r="V152" s="58" t="s">
        <v>382</v>
      </c>
      <c r="W152" s="77">
        <f t="shared" si="68"/>
        <v>1</v>
      </c>
      <c r="X152" s="1" t="str">
        <f>VLOOKUP(A152,Data_Echipe!A:R,18,0)</f>
        <v>MedgidiaRunning</v>
      </c>
      <c r="Z152" s="115">
        <f t="shared" si="81"/>
        <v>1</v>
      </c>
    </row>
    <row r="153" spans="1:26" x14ac:dyDescent="0.3">
      <c r="A153" s="49" t="s">
        <v>366</v>
      </c>
      <c r="B153" s="1" t="str">
        <f>VLOOKUP(A153,Participanti!A:B,2,0)</f>
        <v>M</v>
      </c>
      <c r="C153" s="74">
        <v>2</v>
      </c>
      <c r="D153" s="50">
        <v>21.11</v>
      </c>
      <c r="E153" s="51">
        <v>6.8356481481481476E-2</v>
      </c>
      <c r="F153" s="51">
        <v>6.8356481481481476E-2</v>
      </c>
      <c r="G153" s="69">
        <f t="shared" si="76"/>
        <v>6.8356481481481476E-2</v>
      </c>
      <c r="H153" s="52">
        <v>64</v>
      </c>
      <c r="I153" s="12">
        <f t="shared" si="77"/>
        <v>3.238109023281927E-3</v>
      </c>
      <c r="J153" s="37">
        <f t="shared" si="78"/>
        <v>5</v>
      </c>
      <c r="K153" s="37">
        <f>IF(J153=0,0,IF(B153="F",VLOOKUP(I153,Barem!$G$2:$H$16,2,1),VLOOKUP(I153,Barem!$G$17:$H$31,2,1)))</f>
        <v>3.5</v>
      </c>
      <c r="L153" s="50">
        <v>3</v>
      </c>
      <c r="M153" s="124" t="s">
        <v>106</v>
      </c>
      <c r="N153" s="10">
        <f t="shared" si="75"/>
        <v>0.5</v>
      </c>
      <c r="O153" s="10">
        <f t="shared" si="75"/>
        <v>0.25</v>
      </c>
      <c r="P153" s="10">
        <f t="shared" si="75"/>
        <v>0.25</v>
      </c>
      <c r="Q153" s="40">
        <f t="shared" si="79"/>
        <v>4.2666666666666665E-2</v>
      </c>
      <c r="R153" s="21">
        <f>IF(D153&gt;21,VLOOKUP(D153,Barem!$T$1:$U$141,2,1),0)</f>
        <v>0</v>
      </c>
      <c r="S153" s="152">
        <f>IF(D153&lt;1.609,0,IF(B153="F",VLOOKUP(I153,Barem!$X$2:$Z$13,2,1),VLOOKUP(I153,Barem!$X$14:$Z$25,2,1)))</f>
        <v>0</v>
      </c>
      <c r="T153" s="21">
        <f>VLOOKUP(A153,Participanti!A:C,3,0)</f>
        <v>0</v>
      </c>
      <c r="U153" s="18">
        <f t="shared" si="80"/>
        <v>4.1676666666666664</v>
      </c>
      <c r="V153" s="58" t="s">
        <v>382</v>
      </c>
      <c r="W153" s="77">
        <f t="shared" si="68"/>
        <v>1</v>
      </c>
      <c r="X153" s="1" t="str">
        <f>VLOOKUP(A153,Data_Echipe!A:R,18,0)</f>
        <v>The GOATs</v>
      </c>
      <c r="Z153" s="115">
        <f t="shared" si="81"/>
        <v>1</v>
      </c>
    </row>
    <row r="154" spans="1:26" x14ac:dyDescent="0.3">
      <c r="A154" s="132" t="s">
        <v>358</v>
      </c>
      <c r="B154" s="133" t="str">
        <f>VLOOKUP(A154,Participanti!A:B,2,0)</f>
        <v>F</v>
      </c>
      <c r="C154" s="134">
        <v>2</v>
      </c>
      <c r="D154" s="135">
        <v>0</v>
      </c>
      <c r="E154" s="136">
        <v>0</v>
      </c>
      <c r="F154" s="136">
        <v>0</v>
      </c>
      <c r="G154" s="137">
        <f t="shared" si="76"/>
        <v>0</v>
      </c>
      <c r="H154" s="138"/>
      <c r="I154" s="139">
        <v>0</v>
      </c>
      <c r="J154" s="140">
        <f t="shared" si="78"/>
        <v>0</v>
      </c>
      <c r="K154" s="140">
        <f>IF(J154=0,0,IF(B154="F",VLOOKUP(I154,Barem!$G$2:$H$16,2,1),VLOOKUP(I154,Barem!$G$17:$H$31,2,1)))</f>
        <v>0</v>
      </c>
      <c r="L154" s="135">
        <v>0</v>
      </c>
      <c r="M154" s="141" t="s">
        <v>459</v>
      </c>
      <c r="N154" s="142">
        <f t="shared" si="75"/>
        <v>0.25</v>
      </c>
      <c r="O154" s="142">
        <f t="shared" si="75"/>
        <v>0.25</v>
      </c>
      <c r="P154" s="142">
        <f t="shared" si="75"/>
        <v>0.25</v>
      </c>
      <c r="Q154" s="143">
        <f t="shared" si="79"/>
        <v>0</v>
      </c>
      <c r="R154" s="144">
        <f>IF(D154&gt;21,VLOOKUP(D154,Barem!$T$1:$U$141,2,1),0)</f>
        <v>0</v>
      </c>
      <c r="S154" s="152">
        <f>IF(D154&lt;1.609,0,IF(B154="F",VLOOKUP(I154,Barem!$X$2:$Z$13,2,1),VLOOKUP(I154,Barem!$X$14:$Z$25,2,1)))</f>
        <v>0</v>
      </c>
      <c r="T154" s="144">
        <f>VLOOKUP(A154,Participanti!A:C,3,0)</f>
        <v>0</v>
      </c>
      <c r="U154" s="143">
        <v>1.5</v>
      </c>
      <c r="V154" s="145" t="s">
        <v>382</v>
      </c>
      <c r="W154" s="146">
        <f t="shared" si="68"/>
        <v>1</v>
      </c>
      <c r="X154" s="1" t="str">
        <f>VLOOKUP(A154,Data_Echipe!A:R,18,0)</f>
        <v>#notSYRious</v>
      </c>
      <c r="Y154" s="133"/>
      <c r="Z154" s="147">
        <f t="shared" si="81"/>
        <v>0</v>
      </c>
    </row>
    <row r="155" spans="1:26" x14ac:dyDescent="0.3">
      <c r="A155" s="49" t="s">
        <v>252</v>
      </c>
      <c r="B155" s="1" t="str">
        <f>VLOOKUP(A155,Participanti!A:B,2,0)</f>
        <v>M</v>
      </c>
      <c r="C155" s="74">
        <v>2</v>
      </c>
      <c r="D155" s="50">
        <v>4.7699999999999996</v>
      </c>
      <c r="E155" s="51">
        <v>1.3946759259259258E-2</v>
      </c>
      <c r="F155" s="51">
        <v>1.3946759259259258E-2</v>
      </c>
      <c r="G155" s="69">
        <f t="shared" si="76"/>
        <v>1.3946759259259258E-2</v>
      </c>
      <c r="H155" s="52"/>
      <c r="I155" s="12">
        <f t="shared" si="77"/>
        <v>2.9238489013122138E-3</v>
      </c>
      <c r="J155" s="37">
        <f t="shared" si="78"/>
        <v>1.1357142857142855</v>
      </c>
      <c r="K155" s="37">
        <f>IF(J155=0,0,IF(B155="F",VLOOKUP(I155,Barem!$G$2:$H$16,2,1),VLOOKUP(I155,Barem!$G$17:$H$31,2,1)))</f>
        <v>4.5</v>
      </c>
      <c r="L155" s="50">
        <v>2</v>
      </c>
      <c r="M155" s="124" t="s">
        <v>107</v>
      </c>
      <c r="N155" s="10">
        <f t="shared" si="75"/>
        <v>0.25</v>
      </c>
      <c r="O155" s="10">
        <f t="shared" si="75"/>
        <v>0.5</v>
      </c>
      <c r="P155" s="10">
        <f t="shared" si="75"/>
        <v>0.25</v>
      </c>
      <c r="Q155" s="40">
        <f t="shared" si="79"/>
        <v>0</v>
      </c>
      <c r="R155" s="21">
        <f>IF(D155&gt;21,VLOOKUP(D155,Barem!$T$1:$U$141,2,1),0)</f>
        <v>0</v>
      </c>
      <c r="S155" s="152">
        <f>IF(D155&lt;1.609,0,IF(B155="F",VLOOKUP(I155,Barem!$X$2:$Z$13,2,1),VLOOKUP(I155,Barem!$X$14:$Z$25,2,1)))</f>
        <v>0</v>
      </c>
      <c r="T155" s="21">
        <f>VLOOKUP(A155,Participanti!A:C,3,0)</f>
        <v>0</v>
      </c>
      <c r="U155" s="18">
        <f t="shared" si="80"/>
        <v>3.0339285714285715</v>
      </c>
      <c r="V155" s="58" t="s">
        <v>382</v>
      </c>
      <c r="W155" s="77">
        <f t="shared" si="68"/>
        <v>1</v>
      </c>
      <c r="X155" s="1" t="str">
        <f>VLOOKUP(A155,Data_Echipe!A:R,18,0)</f>
        <v>UltraHaita lu' Borcan</v>
      </c>
      <c r="Z155" s="115">
        <f t="shared" si="81"/>
        <v>1</v>
      </c>
    </row>
    <row r="156" spans="1:26" x14ac:dyDescent="0.3">
      <c r="A156" s="49" t="s">
        <v>347</v>
      </c>
      <c r="B156" s="1" t="str">
        <f>VLOOKUP(A156,Participanti!A:B,2,0)</f>
        <v>F</v>
      </c>
      <c r="C156" s="74">
        <v>2</v>
      </c>
      <c r="D156" s="50">
        <v>13.42</v>
      </c>
      <c r="E156" s="51">
        <v>5.2106481481481483E-2</v>
      </c>
      <c r="F156" s="51">
        <v>5.2499999999999998E-2</v>
      </c>
      <c r="G156" s="69">
        <f t="shared" si="76"/>
        <v>5.230324074074074E-2</v>
      </c>
      <c r="H156" s="52"/>
      <c r="I156" s="12">
        <f t="shared" si="77"/>
        <v>3.8974098912623501E-3</v>
      </c>
      <c r="J156" s="37">
        <f t="shared" si="78"/>
        <v>3.355</v>
      </c>
      <c r="K156" s="37">
        <f>IF(J156=0,0,IF(B156="F",VLOOKUP(I156,Barem!$G$2:$H$16,2,1),VLOOKUP(I156,Barem!$G$17:$H$31,2,1)))</f>
        <v>2.5</v>
      </c>
      <c r="L156" s="50">
        <v>1</v>
      </c>
      <c r="M156" s="124" t="s">
        <v>106</v>
      </c>
      <c r="N156" s="10">
        <f t="shared" si="75"/>
        <v>0.5</v>
      </c>
      <c r="O156" s="10">
        <f t="shared" si="75"/>
        <v>0.25</v>
      </c>
      <c r="P156" s="10">
        <f t="shared" si="75"/>
        <v>0.25</v>
      </c>
      <c r="Q156" s="40">
        <f t="shared" si="79"/>
        <v>0</v>
      </c>
      <c r="R156" s="21">
        <f>IF(D156&gt;21,VLOOKUP(D156,Barem!$T$1:$U$141,2,1),0)</f>
        <v>0</v>
      </c>
      <c r="S156" s="152">
        <f>IF(D156&lt;1.609,0,IF(B156="F",VLOOKUP(I156,Barem!$X$2:$Z$13,2,1),VLOOKUP(I156,Barem!$X$14:$Z$25,2,1)))</f>
        <v>0</v>
      </c>
      <c r="T156" s="21">
        <f>VLOOKUP(A156,Participanti!A:C,3,0)</f>
        <v>0</v>
      </c>
      <c r="U156" s="18">
        <f t="shared" si="80"/>
        <v>2.5525000000000002</v>
      </c>
      <c r="V156" s="58" t="s">
        <v>382</v>
      </c>
      <c r="W156" s="77">
        <f t="shared" si="68"/>
        <v>1</v>
      </c>
      <c r="X156" s="1" t="str">
        <f>VLOOKUP(A156,Data_Echipe!A:R,18,0)</f>
        <v>MedgidiaRunning</v>
      </c>
      <c r="Z156" s="115">
        <f t="shared" si="81"/>
        <v>1</v>
      </c>
    </row>
    <row r="157" spans="1:26" x14ac:dyDescent="0.3">
      <c r="A157" s="49" t="s">
        <v>385</v>
      </c>
      <c r="B157" s="1" t="str">
        <f>VLOOKUP(A157,Participanti!A:B,2,0)</f>
        <v>F</v>
      </c>
      <c r="C157" s="74">
        <v>2</v>
      </c>
      <c r="D157" s="50">
        <v>10.02</v>
      </c>
      <c r="E157" s="51">
        <v>3.4328703703703702E-2</v>
      </c>
      <c r="F157" s="51">
        <v>3.4328703703703702E-2</v>
      </c>
      <c r="G157" s="69">
        <f t="shared" si="76"/>
        <v>3.4328703703703702E-2</v>
      </c>
      <c r="H157" s="52"/>
      <c r="I157" s="12">
        <f t="shared" si="77"/>
        <v>3.4260183337029644E-3</v>
      </c>
      <c r="J157" s="37">
        <f t="shared" si="78"/>
        <v>2.5049999999999999</v>
      </c>
      <c r="K157" s="37">
        <f>IF(J157=0,0,IF(B157="F",VLOOKUP(I157,Barem!$G$2:$H$16,2,1),VLOOKUP(I157,Barem!$G$17:$H$31,2,1)))</f>
        <v>4</v>
      </c>
      <c r="L157" s="50">
        <v>1.25</v>
      </c>
      <c r="M157" s="124" t="s">
        <v>107</v>
      </c>
      <c r="N157" s="10">
        <f t="shared" si="75"/>
        <v>0.25</v>
      </c>
      <c r="O157" s="10">
        <f t="shared" si="75"/>
        <v>0.5</v>
      </c>
      <c r="P157" s="10">
        <f t="shared" si="75"/>
        <v>0.25</v>
      </c>
      <c r="Q157" s="40">
        <f t="shared" si="79"/>
        <v>0</v>
      </c>
      <c r="R157" s="21">
        <f>IF(D157&gt;21,VLOOKUP(D157,Barem!$T$1:$U$141,2,1),0)</f>
        <v>0</v>
      </c>
      <c r="S157" s="152">
        <f>IF(D157&lt;1.609,0,IF(B157="F",VLOOKUP(I157,Barem!$X$2:$Z$13,2,1),VLOOKUP(I157,Barem!$X$14:$Z$25,2,1)))</f>
        <v>0</v>
      </c>
      <c r="T157" s="21">
        <f>VLOOKUP(A157,Participanti!A:C,3,0)</f>
        <v>0</v>
      </c>
      <c r="U157" s="18">
        <f t="shared" si="80"/>
        <v>2.9387499999999998</v>
      </c>
      <c r="V157" s="58" t="s">
        <v>382</v>
      </c>
      <c r="W157" s="77">
        <f t="shared" si="68"/>
        <v>1</v>
      </c>
      <c r="X157" s="1" t="e">
        <f>VLOOKUP(A157,Data_Echipe!A:R,18,0)</f>
        <v>#N/A</v>
      </c>
      <c r="Z157" s="115">
        <f t="shared" si="81"/>
        <v>1</v>
      </c>
    </row>
    <row r="158" spans="1:26" x14ac:dyDescent="0.3">
      <c r="A158" s="49" t="s">
        <v>344</v>
      </c>
      <c r="B158" s="1" t="str">
        <f>VLOOKUP(A158,Participanti!A:B,2,0)</f>
        <v>F</v>
      </c>
      <c r="C158" s="74">
        <v>2</v>
      </c>
      <c r="D158" s="50">
        <v>8.7200000000000006</v>
      </c>
      <c r="E158" s="51">
        <v>3.8958333333333338E-2</v>
      </c>
      <c r="F158" s="51">
        <v>3.9016203703703699E-2</v>
      </c>
      <c r="G158" s="69">
        <f t="shared" ref="G158:G180" si="82">AVERAGE(E158:F158)</f>
        <v>3.8987268518518518E-2</v>
      </c>
      <c r="H158" s="52"/>
      <c r="I158" s="12">
        <f t="shared" ref="I158:I180" si="83">G158/D158</f>
        <v>4.4710170319401969E-3</v>
      </c>
      <c r="J158" s="37">
        <f t="shared" ref="J158:J180" si="84">IF(B158="F",IF(D158&lt;2.5,0,IF(D158&gt;19.99,5,D158/4)),IF(D158&lt;3,0, IF(D158&gt;20.99,5,D158/4.2)))</f>
        <v>2.1800000000000002</v>
      </c>
      <c r="K158" s="37">
        <f>IF(J158=0,0,IF(B158="F",VLOOKUP(I158,Barem!$G$2:$H$16,2,1),VLOOKUP(I158,Barem!$G$17:$H$31,2,1)))</f>
        <v>1.5</v>
      </c>
      <c r="L158" s="50">
        <v>1.5</v>
      </c>
      <c r="M158" s="124" t="s">
        <v>207</v>
      </c>
      <c r="N158" s="10">
        <f t="shared" si="75"/>
        <v>0.25</v>
      </c>
      <c r="O158" s="10">
        <f t="shared" si="75"/>
        <v>0.25</v>
      </c>
      <c r="P158" s="10">
        <f t="shared" si="75"/>
        <v>0.5</v>
      </c>
      <c r="Q158" s="40">
        <f t="shared" ref="Q158:Q180" si="85">IF(H158&gt;49,H158/1500,0)</f>
        <v>0</v>
      </c>
      <c r="R158" s="21">
        <f>IF(D158&gt;21,VLOOKUP(D158,Barem!$T$1:$U$141,2,1),0)</f>
        <v>0</v>
      </c>
      <c r="S158" s="152">
        <f>IF(D158&lt;1.609,0,IF(B158="F",VLOOKUP(I158,Barem!$X$2:$Z$13,2,1),VLOOKUP(I158,Barem!$X$14:$Z$25,2,1)))</f>
        <v>0</v>
      </c>
      <c r="T158" s="21">
        <f>VLOOKUP(A158,Participanti!A:C,3,0)</f>
        <v>0</v>
      </c>
      <c r="U158" s="18">
        <f t="shared" ref="U158:U180" si="86">IF(H158&lt;0,0,J158*N158+K158*O158+L158*P158+Q158+R158+S158+T158)</f>
        <v>1.67</v>
      </c>
      <c r="V158" s="58" t="s">
        <v>382</v>
      </c>
      <c r="W158" s="77">
        <f t="shared" si="68"/>
        <v>1</v>
      </c>
      <c r="X158" s="1" t="e">
        <f>VLOOKUP(A158,Data_Echipe!A:R,18,0)</f>
        <v>#N/A</v>
      </c>
      <c r="Z158" s="115">
        <f t="shared" ref="Z158:Z180" si="87">IF(K158&gt;0,1,0)</f>
        <v>1</v>
      </c>
    </row>
    <row r="159" spans="1:26" x14ac:dyDescent="0.3">
      <c r="A159" s="49" t="s">
        <v>241</v>
      </c>
      <c r="B159" s="1" t="str">
        <f>VLOOKUP(A159,Participanti!A:B,2,0)</f>
        <v>F</v>
      </c>
      <c r="C159" s="74">
        <v>2</v>
      </c>
      <c r="D159" s="50">
        <v>3.02</v>
      </c>
      <c r="E159" s="51">
        <v>1.1006944444444444E-2</v>
      </c>
      <c r="F159" s="51">
        <v>1.1145833333333334E-2</v>
      </c>
      <c r="G159" s="69">
        <f t="shared" si="82"/>
        <v>1.1076388888888889E-2</v>
      </c>
      <c r="H159" s="52"/>
      <c r="I159" s="12">
        <f t="shared" si="83"/>
        <v>3.6676784400294336E-3</v>
      </c>
      <c r="J159" s="37">
        <f t="shared" si="84"/>
        <v>0.755</v>
      </c>
      <c r="K159" s="37">
        <f>IF(J159=0,0,IF(B159="F",VLOOKUP(I159,Barem!$G$2:$H$16,2,1),VLOOKUP(I159,Barem!$G$17:$H$31,2,1)))</f>
        <v>3</v>
      </c>
      <c r="L159" s="50">
        <v>2.75</v>
      </c>
      <c r="M159" s="124" t="s">
        <v>107</v>
      </c>
      <c r="N159" s="10">
        <f t="shared" ref="N159:P182" si="88">IF($M159=N$1,50%,25%)</f>
        <v>0.25</v>
      </c>
      <c r="O159" s="10">
        <f t="shared" si="88"/>
        <v>0.5</v>
      </c>
      <c r="P159" s="10">
        <f t="shared" si="88"/>
        <v>0.25</v>
      </c>
      <c r="Q159" s="40">
        <f t="shared" si="85"/>
        <v>0</v>
      </c>
      <c r="R159" s="21">
        <f>IF(D159&gt;21,VLOOKUP(D159,Barem!$T$1:$U$141,2,1),0)</f>
        <v>0</v>
      </c>
      <c r="S159" s="152">
        <f>IF(D159&lt;1.609,0,IF(B159="F",VLOOKUP(I159,Barem!$X$2:$Z$13,2,1),VLOOKUP(I159,Barem!$X$14:$Z$25,2,1)))</f>
        <v>0</v>
      </c>
      <c r="T159" s="21">
        <f>VLOOKUP(A159,Participanti!A:C,3,0)</f>
        <v>0</v>
      </c>
      <c r="U159" s="18">
        <f t="shared" si="86"/>
        <v>2.3762499999999998</v>
      </c>
      <c r="V159" s="58" t="s">
        <v>382</v>
      </c>
      <c r="W159" s="77">
        <f t="shared" si="68"/>
        <v>1</v>
      </c>
      <c r="X159" s="1" t="str">
        <f>VLOOKUP(A159,Data_Echipe!A:R,18,0)</f>
        <v>Almost Kenyan Runners</v>
      </c>
      <c r="Z159" s="115">
        <f t="shared" si="87"/>
        <v>1</v>
      </c>
    </row>
    <row r="160" spans="1:26" x14ac:dyDescent="0.3">
      <c r="A160" s="49" t="s">
        <v>204</v>
      </c>
      <c r="B160" s="1" t="str">
        <f>VLOOKUP(A160,Participanti!A:B,2,0)</f>
        <v>M</v>
      </c>
      <c r="C160" s="74">
        <v>2</v>
      </c>
      <c r="D160" s="50">
        <v>12.41</v>
      </c>
      <c r="E160" s="51">
        <v>4.6481481481481485E-2</v>
      </c>
      <c r="F160" s="51">
        <v>4.9733796296296297E-2</v>
      </c>
      <c r="G160" s="69">
        <f t="shared" si="82"/>
        <v>4.8107638888888887E-2</v>
      </c>
      <c r="H160" s="52"/>
      <c r="I160" s="12">
        <f t="shared" si="83"/>
        <v>3.8765220700152205E-3</v>
      </c>
      <c r="J160" s="37">
        <f t="shared" si="84"/>
        <v>2.9547619047619045</v>
      </c>
      <c r="K160" s="37">
        <f>IF(J160=0,0,IF(B160="F",VLOOKUP(I160,Barem!$G$2:$H$16,2,1),VLOOKUP(I160,Barem!$G$17:$H$31,2,1)))</f>
        <v>1.75</v>
      </c>
      <c r="L160" s="50">
        <v>1.25</v>
      </c>
      <c r="M160" s="124" t="s">
        <v>107</v>
      </c>
      <c r="N160" s="10">
        <f t="shared" si="88"/>
        <v>0.25</v>
      </c>
      <c r="O160" s="10">
        <f t="shared" si="88"/>
        <v>0.5</v>
      </c>
      <c r="P160" s="10">
        <f t="shared" si="88"/>
        <v>0.25</v>
      </c>
      <c r="Q160" s="40">
        <f t="shared" si="85"/>
        <v>0</v>
      </c>
      <c r="R160" s="21">
        <f>IF(D160&gt;21,VLOOKUP(D160,Barem!$T$1:$U$141,2,1),0)</f>
        <v>0</v>
      </c>
      <c r="S160" s="152">
        <f>IF(D160&lt;1.609,0,IF(B160="F",VLOOKUP(I160,Barem!$X$2:$Z$13,2,1),VLOOKUP(I160,Barem!$X$14:$Z$25,2,1)))</f>
        <v>0</v>
      </c>
      <c r="T160" s="21">
        <f>VLOOKUP(A160,Participanti!A:C,3,0)</f>
        <v>0</v>
      </c>
      <c r="U160" s="18">
        <f t="shared" si="86"/>
        <v>1.926190476190476</v>
      </c>
      <c r="V160" s="58" t="s">
        <v>382</v>
      </c>
      <c r="W160" s="77">
        <f t="shared" si="68"/>
        <v>1</v>
      </c>
      <c r="X160" s="1" t="e">
        <f>VLOOKUP(A160,Data_Echipe!A:R,18,0)</f>
        <v>#N/A</v>
      </c>
      <c r="Z160" s="115">
        <f t="shared" si="87"/>
        <v>1</v>
      </c>
    </row>
    <row r="161" spans="1:26" x14ac:dyDescent="0.3">
      <c r="A161" s="49" t="s">
        <v>337</v>
      </c>
      <c r="B161" s="1" t="str">
        <f>VLOOKUP(A161,Participanti!A:B,2,0)</f>
        <v>M</v>
      </c>
      <c r="C161" s="74">
        <v>2</v>
      </c>
      <c r="D161" s="50">
        <v>16.16</v>
      </c>
      <c r="E161" s="51">
        <v>6.8136574074074072E-2</v>
      </c>
      <c r="F161" s="51">
        <v>6.8136574074074072E-2</v>
      </c>
      <c r="G161" s="69">
        <f t="shared" si="82"/>
        <v>6.8136574074074072E-2</v>
      </c>
      <c r="H161" s="52"/>
      <c r="I161" s="12">
        <f t="shared" si="83"/>
        <v>4.2163721580491384E-3</v>
      </c>
      <c r="J161" s="37">
        <f t="shared" si="84"/>
        <v>3.8476190476190473</v>
      </c>
      <c r="K161" s="37">
        <f>IF(J161=0,0,IF(B161="F",VLOOKUP(I161,Barem!$G$2:$H$16,2,1),VLOOKUP(I161,Barem!$G$17:$H$31,2,1)))</f>
        <v>1.25</v>
      </c>
      <c r="L161" s="50">
        <v>4</v>
      </c>
      <c r="M161" s="124" t="s">
        <v>106</v>
      </c>
      <c r="N161" s="10">
        <f t="shared" si="88"/>
        <v>0.5</v>
      </c>
      <c r="O161" s="10">
        <f t="shared" si="88"/>
        <v>0.25</v>
      </c>
      <c r="P161" s="10">
        <f t="shared" si="88"/>
        <v>0.25</v>
      </c>
      <c r="Q161" s="40">
        <f t="shared" si="85"/>
        <v>0</v>
      </c>
      <c r="R161" s="21">
        <f>IF(D161&gt;21,VLOOKUP(D161,Barem!$T$1:$U$141,2,1),0)</f>
        <v>0</v>
      </c>
      <c r="S161" s="152">
        <f>IF(D161&lt;1.609,0,IF(B161="F",VLOOKUP(I161,Barem!$X$2:$Z$13,2,1),VLOOKUP(I161,Barem!$X$14:$Z$25,2,1)))</f>
        <v>0</v>
      </c>
      <c r="T161" s="21">
        <f>VLOOKUP(A161,Participanti!A:C,3,0)</f>
        <v>0</v>
      </c>
      <c r="U161" s="18">
        <f t="shared" si="86"/>
        <v>3.2363095238095236</v>
      </c>
      <c r="V161" s="58" t="s">
        <v>382</v>
      </c>
      <c r="W161" s="77">
        <f t="shared" si="68"/>
        <v>1</v>
      </c>
      <c r="X161" s="1" t="str">
        <f>VLOOKUP(A161,Data_Echipe!A:R,18,0)</f>
        <v>The GOATs</v>
      </c>
      <c r="Z161" s="115">
        <f t="shared" si="87"/>
        <v>1</v>
      </c>
    </row>
    <row r="162" spans="1:26" x14ac:dyDescent="0.3">
      <c r="A162" s="49" t="s">
        <v>333</v>
      </c>
      <c r="B162" s="1" t="str">
        <f>VLOOKUP(A162,Participanti!A:B,2,0)</f>
        <v>M</v>
      </c>
      <c r="C162" s="74">
        <v>2</v>
      </c>
      <c r="D162" s="50">
        <v>21.26</v>
      </c>
      <c r="E162" s="51">
        <v>8.0405092592592597E-2</v>
      </c>
      <c r="F162" s="51">
        <v>8.0613425925925922E-2</v>
      </c>
      <c r="G162" s="69">
        <f t="shared" si="82"/>
        <v>8.0509259259259253E-2</v>
      </c>
      <c r="H162" s="52"/>
      <c r="I162" s="12">
        <f t="shared" si="83"/>
        <v>3.7868889585728712E-3</v>
      </c>
      <c r="J162" s="37">
        <f t="shared" si="84"/>
        <v>5</v>
      </c>
      <c r="K162" s="37">
        <f>IF(J162=0,0,IF(B162="F",VLOOKUP(I162,Barem!$G$2:$H$16,2,1),VLOOKUP(I162,Barem!$G$17:$H$31,2,1)))</f>
        <v>2</v>
      </c>
      <c r="L162" s="50">
        <v>2</v>
      </c>
      <c r="M162" s="124" t="s">
        <v>106</v>
      </c>
      <c r="N162" s="10">
        <f t="shared" si="88"/>
        <v>0.5</v>
      </c>
      <c r="O162" s="10">
        <f t="shared" si="88"/>
        <v>0.25</v>
      </c>
      <c r="P162" s="10">
        <f t="shared" si="88"/>
        <v>0.25</v>
      </c>
      <c r="Q162" s="40">
        <f t="shared" si="85"/>
        <v>0</v>
      </c>
      <c r="R162" s="21">
        <f>IF(D162&gt;21,VLOOKUP(D162,Barem!$T$1:$U$141,2,1),0)</f>
        <v>0</v>
      </c>
      <c r="S162" s="152">
        <f>IF(D162&lt;1.609,0,IF(B162="F",VLOOKUP(I162,Barem!$X$2:$Z$13,2,1),VLOOKUP(I162,Barem!$X$14:$Z$25,2,1)))</f>
        <v>0</v>
      </c>
      <c r="T162" s="21">
        <f>VLOOKUP(A162,Participanti!A:C,3,0)</f>
        <v>0</v>
      </c>
      <c r="U162" s="18">
        <f t="shared" si="86"/>
        <v>3.5</v>
      </c>
      <c r="V162" s="58" t="s">
        <v>382</v>
      </c>
      <c r="W162" s="77">
        <f t="shared" si="68"/>
        <v>1</v>
      </c>
      <c r="X162" s="1" t="str">
        <f>VLOOKUP(A162,Data_Echipe!A:R,18,0)</f>
        <v>UltraHaita lu' Borcan</v>
      </c>
      <c r="Z162" s="115">
        <f t="shared" si="87"/>
        <v>1</v>
      </c>
    </row>
    <row r="163" spans="1:26" x14ac:dyDescent="0.3">
      <c r="A163" s="49" t="s">
        <v>275</v>
      </c>
      <c r="B163" s="1" t="str">
        <f>VLOOKUP(A163,Participanti!A:B,2,0)</f>
        <v>M</v>
      </c>
      <c r="C163" s="74">
        <v>2</v>
      </c>
      <c r="D163" s="50">
        <v>10.02</v>
      </c>
      <c r="E163" s="51">
        <v>3.408564814814815E-2</v>
      </c>
      <c r="F163" s="51">
        <v>3.7152777777777778E-2</v>
      </c>
      <c r="G163" s="69">
        <f t="shared" si="82"/>
        <v>3.5619212962962964E-2</v>
      </c>
      <c r="H163" s="52"/>
      <c r="I163" s="12">
        <f t="shared" si="83"/>
        <v>3.5548116729503957E-3</v>
      </c>
      <c r="J163" s="37">
        <f t="shared" si="84"/>
        <v>2.3857142857142857</v>
      </c>
      <c r="K163" s="37">
        <f>IF(J163=0,0,IF(B163="F",VLOOKUP(I163,Barem!$G$2:$H$16,2,1),VLOOKUP(I163,Barem!$G$17:$H$31,2,1)))</f>
        <v>2.5</v>
      </c>
      <c r="L163" s="50">
        <v>1</v>
      </c>
      <c r="M163" s="124" t="s">
        <v>107</v>
      </c>
      <c r="N163" s="10">
        <f t="shared" si="88"/>
        <v>0.25</v>
      </c>
      <c r="O163" s="10">
        <f t="shared" si="88"/>
        <v>0.5</v>
      </c>
      <c r="P163" s="10">
        <f t="shared" si="88"/>
        <v>0.25</v>
      </c>
      <c r="Q163" s="40">
        <f t="shared" si="85"/>
        <v>0</v>
      </c>
      <c r="R163" s="21">
        <f>IF(D163&gt;21,VLOOKUP(D163,Barem!$T$1:$U$141,2,1),0)</f>
        <v>0</v>
      </c>
      <c r="S163" s="152">
        <f>IF(D163&lt;1.609,0,IF(B163="F",VLOOKUP(I163,Barem!$X$2:$Z$13,2,1),VLOOKUP(I163,Barem!$X$14:$Z$25,2,1)))</f>
        <v>0</v>
      </c>
      <c r="T163" s="21">
        <f>VLOOKUP(A163,Participanti!A:C,3,0)</f>
        <v>0</v>
      </c>
      <c r="U163" s="18">
        <f t="shared" si="86"/>
        <v>2.0964285714285715</v>
      </c>
      <c r="V163" s="58" t="s">
        <v>382</v>
      </c>
      <c r="W163" s="77">
        <f t="shared" si="68"/>
        <v>1</v>
      </c>
      <c r="X163" s="1" t="e">
        <f>VLOOKUP(A163,Data_Echipe!A:R,18,0)</f>
        <v>#N/A</v>
      </c>
      <c r="Z163" s="115">
        <f t="shared" si="87"/>
        <v>1</v>
      </c>
    </row>
    <row r="164" spans="1:26" x14ac:dyDescent="0.3">
      <c r="A164" s="49" t="s">
        <v>47</v>
      </c>
      <c r="B164" s="1" t="str">
        <f>VLOOKUP(A164,Participanti!A:B,2,0)</f>
        <v>M</v>
      </c>
      <c r="C164" s="74">
        <v>2</v>
      </c>
      <c r="D164" s="50">
        <v>21.28</v>
      </c>
      <c r="E164" s="51">
        <v>7.0671296296296301E-2</v>
      </c>
      <c r="F164" s="51">
        <v>7.1273148148148155E-2</v>
      </c>
      <c r="G164" s="69">
        <f t="shared" si="82"/>
        <v>7.0972222222222228E-2</v>
      </c>
      <c r="H164" s="52"/>
      <c r="I164" s="12">
        <f t="shared" si="83"/>
        <v>3.3351608187134505E-3</v>
      </c>
      <c r="J164" s="37">
        <f t="shared" si="84"/>
        <v>5</v>
      </c>
      <c r="K164" s="37">
        <f>IF(J164=0,0,IF(B164="F",VLOOKUP(I164,Barem!$G$2:$H$16,2,1),VLOOKUP(I164,Barem!$G$17:$H$31,2,1)))</f>
        <v>3</v>
      </c>
      <c r="L164" s="50">
        <v>4</v>
      </c>
      <c r="M164" s="124" t="s">
        <v>106</v>
      </c>
      <c r="N164" s="10">
        <f t="shared" si="88"/>
        <v>0.5</v>
      </c>
      <c r="O164" s="10">
        <f t="shared" si="88"/>
        <v>0.25</v>
      </c>
      <c r="P164" s="10">
        <f t="shared" si="88"/>
        <v>0.25</v>
      </c>
      <c r="Q164" s="40">
        <f t="shared" si="85"/>
        <v>0</v>
      </c>
      <c r="R164" s="21">
        <f>IF(D164&gt;21,VLOOKUP(D164,Barem!$T$1:$U$141,2,1),0)</f>
        <v>0</v>
      </c>
      <c r="S164" s="152">
        <f>IF(D164&lt;1.609,0,IF(B164="F",VLOOKUP(I164,Barem!$X$2:$Z$13,2,1),VLOOKUP(I164,Barem!$X$14:$Z$25,2,1)))</f>
        <v>0</v>
      </c>
      <c r="T164" s="21">
        <f>VLOOKUP(A164,Participanti!A:C,3,0)</f>
        <v>0</v>
      </c>
      <c r="U164" s="18">
        <f t="shared" si="86"/>
        <v>4.25</v>
      </c>
      <c r="V164" s="58" t="s">
        <v>382</v>
      </c>
      <c r="W164" s="77">
        <f t="shared" si="68"/>
        <v>1</v>
      </c>
      <c r="X164" s="1" t="str">
        <f>VLOOKUP(A164,Data_Echipe!A:R,18,0)</f>
        <v>The GOATs</v>
      </c>
      <c r="Z164" s="115">
        <f t="shared" si="87"/>
        <v>1</v>
      </c>
    </row>
    <row r="165" spans="1:26" x14ac:dyDescent="0.3">
      <c r="A165" s="49" t="s">
        <v>41</v>
      </c>
      <c r="B165" s="1" t="str">
        <f>VLOOKUP(A165,Participanti!A:B,2,0)</f>
        <v>M</v>
      </c>
      <c r="C165" s="74">
        <v>2</v>
      </c>
      <c r="D165" s="50">
        <v>10.48</v>
      </c>
      <c r="E165" s="51">
        <v>3.7905092592592594E-2</v>
      </c>
      <c r="F165" s="51">
        <v>3.7951388888888889E-2</v>
      </c>
      <c r="G165" s="69">
        <f t="shared" si="82"/>
        <v>3.7928240740740742E-2</v>
      </c>
      <c r="H165" s="52"/>
      <c r="I165" s="12">
        <f t="shared" si="83"/>
        <v>3.6191069409103761E-3</v>
      </c>
      <c r="J165" s="37">
        <f t="shared" si="84"/>
        <v>2.4952380952380953</v>
      </c>
      <c r="K165" s="37">
        <f>IF(J165=0,0,IF(B165="F",VLOOKUP(I165,Barem!$G$2:$H$16,2,1),VLOOKUP(I165,Barem!$G$17:$H$31,2,1)))</f>
        <v>2.5</v>
      </c>
      <c r="L165" s="50">
        <v>2</v>
      </c>
      <c r="M165" s="124" t="s">
        <v>107</v>
      </c>
      <c r="N165" s="10">
        <f t="shared" si="88"/>
        <v>0.25</v>
      </c>
      <c r="O165" s="10">
        <f t="shared" si="88"/>
        <v>0.5</v>
      </c>
      <c r="P165" s="10">
        <f t="shared" si="88"/>
        <v>0.25</v>
      </c>
      <c r="Q165" s="40">
        <f t="shared" si="85"/>
        <v>0</v>
      </c>
      <c r="R165" s="21">
        <f>IF(D165&gt;21,VLOOKUP(D165,Barem!$T$1:$U$141,2,1),0)</f>
        <v>0</v>
      </c>
      <c r="S165" s="152">
        <f>IF(D165&lt;1.609,0,IF(B165="F",VLOOKUP(I165,Barem!$X$2:$Z$13,2,1),VLOOKUP(I165,Barem!$X$14:$Z$25,2,1)))</f>
        <v>0</v>
      </c>
      <c r="T165" s="21">
        <f>VLOOKUP(A165,Participanti!A:C,3,0)</f>
        <v>0</v>
      </c>
      <c r="U165" s="18">
        <f t="shared" si="86"/>
        <v>2.3738095238095238</v>
      </c>
      <c r="V165" s="58" t="s">
        <v>382</v>
      </c>
      <c r="W165" s="77">
        <f t="shared" si="68"/>
        <v>1</v>
      </c>
      <c r="X165" s="1" t="str">
        <f>VLOOKUP(A165,Data_Echipe!A:R,18,0)</f>
        <v>Almost Kenyan Runners</v>
      </c>
      <c r="Z165" s="115">
        <f t="shared" si="87"/>
        <v>1</v>
      </c>
    </row>
    <row r="166" spans="1:26" x14ac:dyDescent="0.3">
      <c r="A166" s="49" t="s">
        <v>336</v>
      </c>
      <c r="B166" s="1" t="str">
        <f>VLOOKUP(A166,Participanti!A:B,2,0)</f>
        <v>M</v>
      </c>
      <c r="C166" s="74">
        <v>2</v>
      </c>
      <c r="D166" s="50">
        <v>22.2</v>
      </c>
      <c r="E166" s="51">
        <v>9.3333333333333338E-2</v>
      </c>
      <c r="F166" s="51">
        <v>9.3333333333333338E-2</v>
      </c>
      <c r="G166" s="69">
        <f t="shared" si="82"/>
        <v>9.3333333333333338E-2</v>
      </c>
      <c r="H166" s="52"/>
      <c r="I166" s="12">
        <f t="shared" si="83"/>
        <v>4.2042042042042043E-3</v>
      </c>
      <c r="J166" s="37">
        <f t="shared" si="84"/>
        <v>5</v>
      </c>
      <c r="K166" s="37">
        <f>IF(J166=0,0,IF(B166="F",VLOOKUP(I166,Barem!$G$2:$H$16,2,1),VLOOKUP(I166,Barem!$G$17:$H$31,2,1)))</f>
        <v>1.25</v>
      </c>
      <c r="L166" s="50">
        <v>0.75</v>
      </c>
      <c r="M166" s="124" t="s">
        <v>107</v>
      </c>
      <c r="N166" s="10">
        <f t="shared" si="88"/>
        <v>0.25</v>
      </c>
      <c r="O166" s="10">
        <f t="shared" si="88"/>
        <v>0.5</v>
      </c>
      <c r="P166" s="10">
        <f t="shared" si="88"/>
        <v>0.25</v>
      </c>
      <c r="Q166" s="40">
        <f t="shared" si="85"/>
        <v>0</v>
      </c>
      <c r="R166" s="21">
        <f>IF(D166&gt;21,VLOOKUP(D166,Barem!$T$1:$U$141,2,1),0)</f>
        <v>0</v>
      </c>
      <c r="S166" s="152">
        <f>IF(D166&lt;1.609,0,IF(B166="F",VLOOKUP(I166,Barem!$X$2:$Z$13,2,1),VLOOKUP(I166,Barem!$X$14:$Z$25,2,1)))</f>
        <v>0</v>
      </c>
      <c r="T166" s="21">
        <f>VLOOKUP(A166,Participanti!A:C,3,0)</f>
        <v>0</v>
      </c>
      <c r="U166" s="18">
        <f t="shared" si="86"/>
        <v>2.0625</v>
      </c>
      <c r="V166" s="58" t="s">
        <v>372</v>
      </c>
      <c r="W166" s="77">
        <f t="shared" si="68"/>
        <v>1</v>
      </c>
      <c r="X166" s="1" t="e">
        <f>VLOOKUP(A166,Data_Echipe!A:R,18,0)</f>
        <v>#N/A</v>
      </c>
      <c r="Z166" s="115">
        <f t="shared" si="87"/>
        <v>1</v>
      </c>
    </row>
    <row r="167" spans="1:26" x14ac:dyDescent="0.3">
      <c r="A167" s="49" t="s">
        <v>291</v>
      </c>
      <c r="B167" s="1" t="str">
        <f>VLOOKUP(A167,Participanti!A:B,2,0)</f>
        <v>F</v>
      </c>
      <c r="C167" s="74">
        <v>2</v>
      </c>
      <c r="D167" s="50">
        <v>8</v>
      </c>
      <c r="E167" s="51">
        <v>2.9421296296296296E-2</v>
      </c>
      <c r="F167" s="51">
        <v>4.041666666666667E-2</v>
      </c>
      <c r="G167" s="69">
        <f t="shared" si="82"/>
        <v>3.4918981481481481E-2</v>
      </c>
      <c r="H167" s="52"/>
      <c r="I167" s="12">
        <f t="shared" si="83"/>
        <v>4.3648726851851852E-3</v>
      </c>
      <c r="J167" s="37">
        <f t="shared" si="84"/>
        <v>2</v>
      </c>
      <c r="K167" s="37">
        <f>IF(J167=0,0,IF(B167="F",VLOOKUP(I167,Barem!$G$2:$H$16,2,1),VLOOKUP(I167,Barem!$G$17:$H$31,2,1)))</f>
        <v>1.5</v>
      </c>
      <c r="L167" s="50">
        <v>2.5</v>
      </c>
      <c r="M167" s="124" t="s">
        <v>107</v>
      </c>
      <c r="N167" s="10">
        <f t="shared" si="88"/>
        <v>0.25</v>
      </c>
      <c r="O167" s="10">
        <f t="shared" si="88"/>
        <v>0.5</v>
      </c>
      <c r="P167" s="10">
        <f t="shared" si="88"/>
        <v>0.25</v>
      </c>
      <c r="Q167" s="40">
        <f t="shared" si="85"/>
        <v>0</v>
      </c>
      <c r="R167" s="21">
        <f>IF(D167&gt;21,VLOOKUP(D167,Barem!$T$1:$U$141,2,1),0)</f>
        <v>0</v>
      </c>
      <c r="S167" s="152">
        <f>IF(D167&lt;1.609,0,IF(B167="F",VLOOKUP(I167,Barem!$X$2:$Z$13,2,1),VLOOKUP(I167,Barem!$X$14:$Z$25,2,1)))</f>
        <v>0</v>
      </c>
      <c r="T167" s="21">
        <f>VLOOKUP(A167,Participanti!A:C,3,0)</f>
        <v>0</v>
      </c>
      <c r="U167" s="18">
        <f t="shared" si="86"/>
        <v>1.875</v>
      </c>
      <c r="V167" s="58" t="s">
        <v>382</v>
      </c>
      <c r="W167" s="77">
        <f t="shared" si="68"/>
        <v>1</v>
      </c>
      <c r="X167" s="1" t="str">
        <f>VLOOKUP(A167,Data_Echipe!A:R,18,0)</f>
        <v>#notSYRious</v>
      </c>
      <c r="Z167" s="115">
        <f t="shared" si="87"/>
        <v>1</v>
      </c>
    </row>
    <row r="168" spans="1:26" x14ac:dyDescent="0.3">
      <c r="A168" s="49" t="s">
        <v>373</v>
      </c>
      <c r="B168" s="1" t="str">
        <f>VLOOKUP(A168,Participanti!A:B,2,0)</f>
        <v>F</v>
      </c>
      <c r="C168" s="74">
        <v>2</v>
      </c>
      <c r="D168" s="50">
        <v>5.0199999999999996</v>
      </c>
      <c r="E168" s="51">
        <v>1.7916666666666668E-2</v>
      </c>
      <c r="F168" s="51">
        <v>1.8090277777777778E-2</v>
      </c>
      <c r="G168" s="69">
        <f t="shared" si="82"/>
        <v>1.8003472222222223E-2</v>
      </c>
      <c r="H168" s="52"/>
      <c r="I168" s="12">
        <f t="shared" si="83"/>
        <v>3.5863490482514393E-3</v>
      </c>
      <c r="J168" s="37">
        <f t="shared" si="84"/>
        <v>1.2549999999999999</v>
      </c>
      <c r="K168" s="37">
        <f>IF(J168=0,0,IF(B168="F",VLOOKUP(I168,Barem!$G$2:$H$16,2,1),VLOOKUP(I168,Barem!$G$17:$H$31,2,1)))</f>
        <v>3.5</v>
      </c>
      <c r="L168" s="50">
        <v>3.5</v>
      </c>
      <c r="M168" s="124" t="s">
        <v>207</v>
      </c>
      <c r="N168" s="10">
        <f t="shared" si="88"/>
        <v>0.25</v>
      </c>
      <c r="O168" s="10">
        <f t="shared" si="88"/>
        <v>0.25</v>
      </c>
      <c r="P168" s="10">
        <f t="shared" si="88"/>
        <v>0.5</v>
      </c>
      <c r="Q168" s="40">
        <f t="shared" si="85"/>
        <v>0</v>
      </c>
      <c r="R168" s="21">
        <f>IF(D168&gt;21,VLOOKUP(D168,Barem!$T$1:$U$141,2,1),0)</f>
        <v>0</v>
      </c>
      <c r="S168" s="152">
        <f>IF(D168&lt;1.609,0,IF(B168="F",VLOOKUP(I168,Barem!$X$2:$Z$13,2,1),VLOOKUP(I168,Barem!$X$14:$Z$25,2,1)))</f>
        <v>0</v>
      </c>
      <c r="T168" s="21">
        <f>VLOOKUP(A168,Participanti!A:C,3,0)</f>
        <v>0</v>
      </c>
      <c r="U168" s="18">
        <f t="shared" si="86"/>
        <v>2.9387499999999998</v>
      </c>
      <c r="V168" s="58" t="s">
        <v>382</v>
      </c>
      <c r="W168" s="77">
        <f t="shared" si="68"/>
        <v>1</v>
      </c>
      <c r="X168" s="1" t="e">
        <f>VLOOKUP(A168,Data_Echipe!A:R,18,0)</f>
        <v>#N/A</v>
      </c>
      <c r="Z168" s="115">
        <f t="shared" si="87"/>
        <v>1</v>
      </c>
    </row>
    <row r="169" spans="1:26" x14ac:dyDescent="0.3">
      <c r="A169" s="49" t="s">
        <v>58</v>
      </c>
      <c r="B169" s="1" t="str">
        <f>VLOOKUP(A169,Participanti!A:B,2,0)</f>
        <v>M</v>
      </c>
      <c r="C169" s="74">
        <v>2</v>
      </c>
      <c r="D169" s="50">
        <v>10.039999999999999</v>
      </c>
      <c r="E169" s="51">
        <v>4.6053240740740742E-2</v>
      </c>
      <c r="F169" s="51">
        <v>4.6053240740740742E-2</v>
      </c>
      <c r="G169" s="69">
        <f t="shared" si="82"/>
        <v>4.6053240740740742E-2</v>
      </c>
      <c r="H169" s="52"/>
      <c r="I169" s="12">
        <f t="shared" si="83"/>
        <v>4.5869761693964886E-3</v>
      </c>
      <c r="J169" s="37">
        <f t="shared" si="84"/>
        <v>2.39047619047619</v>
      </c>
      <c r="K169" s="37">
        <f>IF(J169=0,0,IF(B169="F",VLOOKUP(I169,Barem!$G$2:$H$16,2,1),VLOOKUP(I169,Barem!$G$17:$H$31,2,1)))</f>
        <v>0.75</v>
      </c>
      <c r="L169" s="50">
        <v>0</v>
      </c>
      <c r="M169" s="124" t="s">
        <v>107</v>
      </c>
      <c r="N169" s="10">
        <f t="shared" si="88"/>
        <v>0.25</v>
      </c>
      <c r="O169" s="10">
        <f t="shared" si="88"/>
        <v>0.5</v>
      </c>
      <c r="P169" s="10">
        <f t="shared" si="88"/>
        <v>0.25</v>
      </c>
      <c r="Q169" s="40">
        <f t="shared" si="85"/>
        <v>0</v>
      </c>
      <c r="R169" s="21">
        <f>IF(D169&gt;21,VLOOKUP(D169,Barem!$T$1:$U$141,2,1),0)</f>
        <v>0</v>
      </c>
      <c r="S169" s="152">
        <f>IF(D169&lt;1.609,0,IF(B169="F",VLOOKUP(I169,Barem!$X$2:$Z$13,2,1),VLOOKUP(I169,Barem!$X$14:$Z$25,2,1)))</f>
        <v>0</v>
      </c>
      <c r="T169" s="21">
        <f>VLOOKUP(A169,Participanti!A:C,3,0)</f>
        <v>0</v>
      </c>
      <c r="U169" s="18">
        <f t="shared" si="86"/>
        <v>0.97261904761904749</v>
      </c>
      <c r="V169" s="58" t="s">
        <v>382</v>
      </c>
      <c r="W169" s="77">
        <f t="shared" si="68"/>
        <v>1</v>
      </c>
      <c r="X169" s="1" t="e">
        <f>VLOOKUP(A169,Data_Echipe!A:R,18,0)</f>
        <v>#N/A</v>
      </c>
      <c r="Z169" s="115">
        <f t="shared" si="87"/>
        <v>1</v>
      </c>
    </row>
    <row r="170" spans="1:26" x14ac:dyDescent="0.3">
      <c r="A170" s="49" t="s">
        <v>374</v>
      </c>
      <c r="B170" s="1" t="str">
        <f>VLOOKUP(A170,Participanti!A:B,2,0)</f>
        <v>M</v>
      </c>
      <c r="C170" s="74">
        <v>2</v>
      </c>
      <c r="D170" s="50">
        <v>6.71</v>
      </c>
      <c r="E170" s="51">
        <v>1.7488425925925925E-2</v>
      </c>
      <c r="F170" s="51">
        <v>1.7488425925925925E-2</v>
      </c>
      <c r="G170" s="69">
        <f t="shared" si="82"/>
        <v>1.7488425925925925E-2</v>
      </c>
      <c r="H170" s="52"/>
      <c r="I170" s="12">
        <f t="shared" si="83"/>
        <v>2.60632279074902E-3</v>
      </c>
      <c r="J170" s="37">
        <f t="shared" si="84"/>
        <v>1.5976190476190475</v>
      </c>
      <c r="K170" s="37">
        <f>IF(J170=0,0,IF(B170="F",VLOOKUP(I170,Barem!$G$2:$H$16,2,1),VLOOKUP(I170,Barem!$G$17:$H$31,2,1)))</f>
        <v>5</v>
      </c>
      <c r="L170" s="50">
        <v>1.25</v>
      </c>
      <c r="M170" s="124" t="s">
        <v>107</v>
      </c>
      <c r="N170" s="10">
        <f t="shared" si="88"/>
        <v>0.25</v>
      </c>
      <c r="O170" s="10">
        <f t="shared" si="88"/>
        <v>0.5</v>
      </c>
      <c r="P170" s="10">
        <f t="shared" si="88"/>
        <v>0.25</v>
      </c>
      <c r="Q170" s="40">
        <f t="shared" si="85"/>
        <v>0</v>
      </c>
      <c r="R170" s="21">
        <f>IF(D170&gt;21,VLOOKUP(D170,Barem!$T$1:$U$141,2,1),0)</f>
        <v>0</v>
      </c>
      <c r="S170" s="152">
        <f>IF(D170&lt;1.609,0,IF(B170="F",VLOOKUP(I170,Barem!$X$2:$Z$13,2,1),VLOOKUP(I170,Barem!$X$14:$Z$25,2,1)))</f>
        <v>1.4999999999999998</v>
      </c>
      <c r="T170" s="21">
        <f>VLOOKUP(A170,Participanti!A:C,3,0)</f>
        <v>0</v>
      </c>
      <c r="U170" s="18">
        <f t="shared" si="86"/>
        <v>4.711904761904762</v>
      </c>
      <c r="V170" s="58" t="s">
        <v>382</v>
      </c>
      <c r="W170" s="77">
        <f t="shared" si="68"/>
        <v>1</v>
      </c>
      <c r="X170" s="1" t="e">
        <f>VLOOKUP(A170,Data_Echipe!A:R,18,0)</f>
        <v>#N/A</v>
      </c>
      <c r="Z170" s="115">
        <f t="shared" si="87"/>
        <v>1</v>
      </c>
    </row>
    <row r="171" spans="1:26" x14ac:dyDescent="0.3">
      <c r="A171" s="49" t="s">
        <v>51</v>
      </c>
      <c r="B171" s="1" t="str">
        <f>VLOOKUP(A171,Participanti!A:B,2,0)</f>
        <v>M</v>
      </c>
      <c r="C171" s="74">
        <v>2</v>
      </c>
      <c r="D171" s="50">
        <v>20.75</v>
      </c>
      <c r="E171" s="51">
        <v>8.0520833333333333E-2</v>
      </c>
      <c r="F171" s="51">
        <v>8.0648148148148149E-2</v>
      </c>
      <c r="G171" s="69">
        <f t="shared" si="82"/>
        <v>8.0584490740740741E-2</v>
      </c>
      <c r="H171" s="52">
        <v>777</v>
      </c>
      <c r="I171" s="12">
        <f t="shared" si="83"/>
        <v>3.8835899152164211E-3</v>
      </c>
      <c r="J171" s="37">
        <f t="shared" si="84"/>
        <v>4.9404761904761907</v>
      </c>
      <c r="K171" s="37">
        <f>IF(J171=0,0,IF(B171="F",VLOOKUP(I171,Barem!$G$2:$H$16,2,1),VLOOKUP(I171,Barem!$G$17:$H$31,2,1)))</f>
        <v>1.75</v>
      </c>
      <c r="L171" s="50">
        <v>4</v>
      </c>
      <c r="M171" s="124" t="s">
        <v>207</v>
      </c>
      <c r="N171" s="10">
        <f t="shared" si="88"/>
        <v>0.25</v>
      </c>
      <c r="O171" s="10">
        <f t="shared" si="88"/>
        <v>0.25</v>
      </c>
      <c r="P171" s="10">
        <f t="shared" si="88"/>
        <v>0.5</v>
      </c>
      <c r="Q171" s="40">
        <f t="shared" si="85"/>
        <v>0.51800000000000002</v>
      </c>
      <c r="R171" s="21">
        <f>IF(D171&gt;21,VLOOKUP(D171,Barem!$T$1:$U$141,2,1),0)</f>
        <v>0</v>
      </c>
      <c r="S171" s="152">
        <f>IF(D171&lt;1.609,0,IF(B171="F",VLOOKUP(I171,Barem!$X$2:$Z$13,2,1),VLOOKUP(I171,Barem!$X$14:$Z$25,2,1)))</f>
        <v>0</v>
      </c>
      <c r="T171" s="21">
        <f>VLOOKUP(A171,Participanti!A:C,3,0)</f>
        <v>0</v>
      </c>
      <c r="U171" s="18">
        <f t="shared" si="86"/>
        <v>4.1906190476190472</v>
      </c>
      <c r="V171" s="58" t="s">
        <v>382</v>
      </c>
      <c r="W171" s="77">
        <f t="shared" si="68"/>
        <v>1</v>
      </c>
      <c r="X171" s="1" t="str">
        <f>VLOOKUP(A171,Data_Echipe!A:R,18,0)</f>
        <v>The GOATs</v>
      </c>
      <c r="Z171" s="115">
        <f t="shared" si="87"/>
        <v>1</v>
      </c>
    </row>
    <row r="172" spans="1:26" x14ac:dyDescent="0.3">
      <c r="A172" s="49" t="s">
        <v>248</v>
      </c>
      <c r="B172" s="1" t="str">
        <f>VLOOKUP(A172,Participanti!A:B,2,0)</f>
        <v>M</v>
      </c>
      <c r="C172" s="74">
        <v>2</v>
      </c>
      <c r="D172" s="50">
        <v>3</v>
      </c>
      <c r="E172" s="51">
        <v>8.4027777777777781E-3</v>
      </c>
      <c r="F172" s="51">
        <v>8.4490740740740741E-3</v>
      </c>
      <c r="G172" s="69">
        <f t="shared" si="82"/>
        <v>8.425925925925927E-3</v>
      </c>
      <c r="H172" s="52"/>
      <c r="I172" s="12">
        <f t="shared" si="83"/>
        <v>2.8086419753086422E-3</v>
      </c>
      <c r="J172" s="37">
        <f t="shared" si="84"/>
        <v>0.7142857142857143</v>
      </c>
      <c r="K172" s="37">
        <f>IF(J172=0,0,IF(B172="F",VLOOKUP(I172,Barem!$G$2:$H$16,2,1),VLOOKUP(I172,Barem!$G$17:$H$31,2,1)))</f>
        <v>4.5</v>
      </c>
      <c r="L172" s="50">
        <v>3.5</v>
      </c>
      <c r="M172" s="124" t="s">
        <v>107</v>
      </c>
      <c r="N172" s="10">
        <f t="shared" si="88"/>
        <v>0.25</v>
      </c>
      <c r="O172" s="10">
        <f t="shared" si="88"/>
        <v>0.5</v>
      </c>
      <c r="P172" s="10">
        <f t="shared" si="88"/>
        <v>0.25</v>
      </c>
      <c r="Q172" s="40">
        <f t="shared" si="85"/>
        <v>0</v>
      </c>
      <c r="R172" s="21">
        <f>IF(D172&gt;21,VLOOKUP(D172,Barem!$T$1:$U$141,2,1),0)</f>
        <v>0</v>
      </c>
      <c r="S172" s="152">
        <f>IF(D172&lt;1.609,0,IF(B172="F",VLOOKUP(I172,Barem!$X$2:$Z$13,2,1),VLOOKUP(I172,Barem!$X$14:$Z$25,2,1)))</f>
        <v>0</v>
      </c>
      <c r="T172" s="21">
        <f>VLOOKUP(A172,Participanti!A:C,3,0)</f>
        <v>0</v>
      </c>
      <c r="U172" s="18">
        <f t="shared" si="86"/>
        <v>3.3035714285714284</v>
      </c>
      <c r="V172" s="58" t="s">
        <v>382</v>
      </c>
      <c r="W172" s="77">
        <f t="shared" si="68"/>
        <v>1</v>
      </c>
      <c r="X172" s="1" t="str">
        <f>VLOOKUP(A172,Data_Echipe!A:R,18,0)</f>
        <v>Almost Kenyan Runners</v>
      </c>
      <c r="Z172" s="115">
        <f t="shared" si="87"/>
        <v>1</v>
      </c>
    </row>
    <row r="173" spans="1:26" x14ac:dyDescent="0.3">
      <c r="A173" s="49" t="s">
        <v>116</v>
      </c>
      <c r="B173" s="1" t="str">
        <f>VLOOKUP(A173,Participanti!A:B,2,0)</f>
        <v>F</v>
      </c>
      <c r="C173" s="74">
        <v>2</v>
      </c>
      <c r="D173" s="50">
        <v>15.02</v>
      </c>
      <c r="E173" s="51">
        <v>5.9513888888888887E-2</v>
      </c>
      <c r="F173" s="51">
        <v>6.5231481481481488E-2</v>
      </c>
      <c r="G173" s="69">
        <f t="shared" si="82"/>
        <v>6.2372685185185184E-2</v>
      </c>
      <c r="H173" s="52">
        <v>79</v>
      </c>
      <c r="I173" s="12">
        <f t="shared" si="83"/>
        <v>4.152642156137496E-3</v>
      </c>
      <c r="J173" s="37">
        <f t="shared" si="84"/>
        <v>3.7549999999999999</v>
      </c>
      <c r="K173" s="37">
        <f>IF(J173=0,0,IF(B173="F",VLOOKUP(I173,Barem!$G$2:$H$16,2,1),VLOOKUP(I173,Barem!$G$17:$H$31,2,1)))</f>
        <v>2</v>
      </c>
      <c r="L173" s="50">
        <v>2.75</v>
      </c>
      <c r="M173" s="124" t="s">
        <v>106</v>
      </c>
      <c r="N173" s="10">
        <f t="shared" si="88"/>
        <v>0.5</v>
      </c>
      <c r="O173" s="10">
        <f t="shared" si="88"/>
        <v>0.25</v>
      </c>
      <c r="P173" s="10">
        <f t="shared" si="88"/>
        <v>0.25</v>
      </c>
      <c r="Q173" s="40">
        <f t="shared" si="85"/>
        <v>5.2666666666666667E-2</v>
      </c>
      <c r="R173" s="21">
        <f>IF(D173&gt;21,VLOOKUP(D173,Barem!$T$1:$U$141,2,1),0)</f>
        <v>0</v>
      </c>
      <c r="S173" s="152">
        <f>IF(D173&lt;1.609,0,IF(B173="F",VLOOKUP(I173,Barem!$X$2:$Z$13,2,1),VLOOKUP(I173,Barem!$X$14:$Z$25,2,1)))</f>
        <v>0</v>
      </c>
      <c r="T173" s="21">
        <f>VLOOKUP(A173,Participanti!A:C,3,0)</f>
        <v>0</v>
      </c>
      <c r="U173" s="18">
        <f t="shared" si="86"/>
        <v>3.1176666666666666</v>
      </c>
      <c r="V173" s="58" t="s">
        <v>382</v>
      </c>
      <c r="W173" s="77">
        <f t="shared" si="68"/>
        <v>1</v>
      </c>
      <c r="X173" s="1" t="str">
        <f>VLOOKUP(A173,Data_Echipe!A:R,18,0)</f>
        <v>#notSYRious</v>
      </c>
      <c r="Z173" s="115">
        <f t="shared" si="87"/>
        <v>1</v>
      </c>
    </row>
    <row r="174" spans="1:26" x14ac:dyDescent="0.3">
      <c r="A174" s="49" t="s">
        <v>283</v>
      </c>
      <c r="B174" s="1" t="str">
        <f>VLOOKUP(A174,Participanti!A:B,2,0)</f>
        <v>M</v>
      </c>
      <c r="C174" s="74">
        <v>2</v>
      </c>
      <c r="D174" s="50">
        <v>17.260000000000002</v>
      </c>
      <c r="E174" s="51">
        <v>7.0891203703703706E-2</v>
      </c>
      <c r="F174" s="51">
        <v>7.1585648148148148E-2</v>
      </c>
      <c r="G174" s="69">
        <f t="shared" si="82"/>
        <v>7.1238425925925927E-2</v>
      </c>
      <c r="H174" s="52">
        <v>91</v>
      </c>
      <c r="I174" s="12">
        <f t="shared" si="83"/>
        <v>4.1273711428694041E-3</v>
      </c>
      <c r="J174" s="37">
        <f t="shared" si="84"/>
        <v>4.10952380952381</v>
      </c>
      <c r="K174" s="37">
        <f>IF(J174=0,0,IF(B174="F",VLOOKUP(I174,Barem!$G$2:$H$16,2,1),VLOOKUP(I174,Barem!$G$17:$H$31,2,1)))</f>
        <v>1.5</v>
      </c>
      <c r="L174" s="50">
        <v>3</v>
      </c>
      <c r="M174" s="124" t="s">
        <v>107</v>
      </c>
      <c r="N174" s="10">
        <f t="shared" si="88"/>
        <v>0.25</v>
      </c>
      <c r="O174" s="10">
        <f t="shared" si="88"/>
        <v>0.5</v>
      </c>
      <c r="P174" s="10">
        <f t="shared" si="88"/>
        <v>0.25</v>
      </c>
      <c r="Q174" s="40">
        <f t="shared" si="85"/>
        <v>6.0666666666666667E-2</v>
      </c>
      <c r="R174" s="21">
        <f>IF(D174&gt;21,VLOOKUP(D174,Barem!$T$1:$U$141,2,1),0)</f>
        <v>0</v>
      </c>
      <c r="S174" s="152">
        <f>IF(D174&lt;1.609,0,IF(B174="F",VLOOKUP(I174,Barem!$X$2:$Z$13,2,1),VLOOKUP(I174,Barem!$X$14:$Z$25,2,1)))</f>
        <v>0</v>
      </c>
      <c r="T174" s="21">
        <f>VLOOKUP(A174,Participanti!A:C,3,0)</f>
        <v>0</v>
      </c>
      <c r="U174" s="18">
        <f t="shared" si="86"/>
        <v>2.5880476190476194</v>
      </c>
      <c r="V174" s="58" t="s">
        <v>382</v>
      </c>
      <c r="W174" s="77">
        <f t="shared" si="68"/>
        <v>1</v>
      </c>
      <c r="X174" s="1" t="str">
        <f>VLOOKUP(A174,Data_Echipe!A:R,18,0)</f>
        <v>The GOATs</v>
      </c>
      <c r="Z174" s="115">
        <f t="shared" si="87"/>
        <v>1</v>
      </c>
    </row>
    <row r="175" spans="1:26" x14ac:dyDescent="0.3">
      <c r="A175" s="49" t="s">
        <v>114</v>
      </c>
      <c r="B175" s="1" t="str">
        <f>VLOOKUP(A175,Participanti!A:B,2,0)</f>
        <v>M</v>
      </c>
      <c r="C175" s="74">
        <v>2</v>
      </c>
      <c r="D175" s="50">
        <v>4.03</v>
      </c>
      <c r="E175" s="51">
        <v>1.6967592592592593E-2</v>
      </c>
      <c r="F175" s="51">
        <v>1.7013888888888887E-2</v>
      </c>
      <c r="G175" s="69">
        <f t="shared" si="82"/>
        <v>1.699074074074074E-2</v>
      </c>
      <c r="H175" s="52"/>
      <c r="I175" s="12">
        <f t="shared" si="83"/>
        <v>4.216064699935667E-3</v>
      </c>
      <c r="J175" s="37">
        <f t="shared" si="84"/>
        <v>0.95952380952380956</v>
      </c>
      <c r="K175" s="37">
        <f>IF(J175=0,0,IF(B175="F",VLOOKUP(I175,Barem!$G$2:$H$16,2,1),VLOOKUP(I175,Barem!$G$17:$H$31,2,1)))</f>
        <v>1.25</v>
      </c>
      <c r="L175" s="50">
        <v>4.25</v>
      </c>
      <c r="M175" s="124" t="s">
        <v>207</v>
      </c>
      <c r="N175" s="10">
        <f t="shared" si="88"/>
        <v>0.25</v>
      </c>
      <c r="O175" s="10">
        <f t="shared" si="88"/>
        <v>0.25</v>
      </c>
      <c r="P175" s="10">
        <f t="shared" si="88"/>
        <v>0.5</v>
      </c>
      <c r="Q175" s="40">
        <f t="shared" si="85"/>
        <v>0</v>
      </c>
      <c r="R175" s="21">
        <f>IF(D175&gt;21,VLOOKUP(D175,Barem!$T$1:$U$141,2,1),0)</f>
        <v>0</v>
      </c>
      <c r="S175" s="152">
        <f>IF(D175&lt;1.609,0,IF(B175="F",VLOOKUP(I175,Barem!$X$2:$Z$13,2,1),VLOOKUP(I175,Barem!$X$14:$Z$25,2,1)))</f>
        <v>0</v>
      </c>
      <c r="T175" s="21">
        <f>VLOOKUP(A175,Participanti!A:C,3,0)</f>
        <v>0</v>
      </c>
      <c r="U175" s="18">
        <f t="shared" si="86"/>
        <v>2.6773809523809522</v>
      </c>
      <c r="V175" s="58" t="s">
        <v>382</v>
      </c>
      <c r="W175" s="77">
        <f t="shared" si="68"/>
        <v>1</v>
      </c>
      <c r="X175" s="1" t="str">
        <f>VLOOKUP(A175,Data_Echipe!A:R,18,0)</f>
        <v>#notSYRious</v>
      </c>
      <c r="Z175" s="115">
        <f t="shared" si="87"/>
        <v>1</v>
      </c>
    </row>
    <row r="176" spans="1:26" x14ac:dyDescent="0.3">
      <c r="A176" s="49" t="s">
        <v>49</v>
      </c>
      <c r="B176" s="1" t="str">
        <f>VLOOKUP(A176,Participanti!A:B,2,0)</f>
        <v>M</v>
      </c>
      <c r="C176" s="74">
        <v>2</v>
      </c>
      <c r="D176" s="50">
        <v>3</v>
      </c>
      <c r="E176" s="51">
        <v>8.1249999999999985E-3</v>
      </c>
      <c r="F176" s="51">
        <v>8.1249999999999985E-3</v>
      </c>
      <c r="G176" s="69">
        <f t="shared" si="82"/>
        <v>8.1249999999999985E-3</v>
      </c>
      <c r="H176" s="52"/>
      <c r="I176" s="12">
        <f t="shared" si="83"/>
        <v>2.708333333333333E-3</v>
      </c>
      <c r="J176" s="37">
        <f t="shared" si="84"/>
        <v>0.7142857142857143</v>
      </c>
      <c r="K176" s="37">
        <f>IF(J176=0,0,IF(B176="F",VLOOKUP(I176,Barem!$G$2:$H$16,2,1),VLOOKUP(I176,Barem!$G$17:$H$31,2,1)))</f>
        <v>5</v>
      </c>
      <c r="L176" s="50">
        <v>3.75</v>
      </c>
      <c r="M176" s="124" t="s">
        <v>107</v>
      </c>
      <c r="N176" s="10">
        <f t="shared" si="88"/>
        <v>0.25</v>
      </c>
      <c r="O176" s="10">
        <f t="shared" si="88"/>
        <v>0.5</v>
      </c>
      <c r="P176" s="10">
        <f t="shared" si="88"/>
        <v>0.25</v>
      </c>
      <c r="Q176" s="40">
        <f t="shared" si="85"/>
        <v>0</v>
      </c>
      <c r="R176" s="21">
        <f>IF(D176&gt;21,VLOOKUP(D176,Barem!$T$1:$U$141,2,1),0)</f>
        <v>0</v>
      </c>
      <c r="S176" s="152">
        <f>IF(D176&lt;1.609,0,IF(B176="F",VLOOKUP(I176,Barem!$X$2:$Z$13,2,1),VLOOKUP(I176,Barem!$X$14:$Z$25,2,1)))</f>
        <v>0.45000000000000007</v>
      </c>
      <c r="T176" s="21">
        <f>VLOOKUP(A176,Participanti!A:C,3,0)</f>
        <v>0</v>
      </c>
      <c r="U176" s="18">
        <f t="shared" si="86"/>
        <v>4.0660714285714281</v>
      </c>
      <c r="V176" s="58" t="s">
        <v>382</v>
      </c>
      <c r="W176" s="77">
        <f t="shared" si="68"/>
        <v>1</v>
      </c>
      <c r="X176" s="1" t="str">
        <f>VLOOKUP(A176,Data_Echipe!A:R,18,0)</f>
        <v>The GOATs</v>
      </c>
      <c r="Z176" s="115">
        <f t="shared" si="87"/>
        <v>1</v>
      </c>
    </row>
    <row r="177" spans="1:26" x14ac:dyDescent="0.3">
      <c r="A177" s="49" t="s">
        <v>122</v>
      </c>
      <c r="B177" s="1" t="str">
        <f>VLOOKUP(A177,Participanti!A:B,2,0)</f>
        <v>M</v>
      </c>
      <c r="C177" s="74">
        <v>2</v>
      </c>
      <c r="D177" s="50">
        <v>14.07</v>
      </c>
      <c r="E177" s="51">
        <v>5.1770833333333328E-2</v>
      </c>
      <c r="F177" s="51">
        <v>5.2233796296296299E-2</v>
      </c>
      <c r="G177" s="69">
        <f t="shared" si="82"/>
        <v>5.2002314814814814E-2</v>
      </c>
      <c r="H177" s="52">
        <v>64</v>
      </c>
      <c r="I177" s="12">
        <f t="shared" si="83"/>
        <v>3.6959712021901077E-3</v>
      </c>
      <c r="J177" s="37">
        <f t="shared" si="84"/>
        <v>3.35</v>
      </c>
      <c r="K177" s="37">
        <f>IF(J177=0,0,IF(B177="F",VLOOKUP(I177,Barem!$G$2:$H$16,2,1),VLOOKUP(I177,Barem!$G$17:$H$31,2,1)))</f>
        <v>2</v>
      </c>
      <c r="L177" s="50">
        <v>2.75</v>
      </c>
      <c r="M177" s="124" t="s">
        <v>107</v>
      </c>
      <c r="N177" s="10">
        <f t="shared" si="88"/>
        <v>0.25</v>
      </c>
      <c r="O177" s="10">
        <f t="shared" si="88"/>
        <v>0.5</v>
      </c>
      <c r="P177" s="10">
        <f t="shared" si="88"/>
        <v>0.25</v>
      </c>
      <c r="Q177" s="40">
        <f t="shared" si="85"/>
        <v>4.2666666666666665E-2</v>
      </c>
      <c r="R177" s="21">
        <f>IF(D177&gt;21,VLOOKUP(D177,Barem!$T$1:$U$141,2,1),0)</f>
        <v>0</v>
      </c>
      <c r="S177" s="152">
        <f>IF(D177&lt;1.609,0,IF(B177="F",VLOOKUP(I177,Barem!$X$2:$Z$13,2,1),VLOOKUP(I177,Barem!$X$14:$Z$25,2,1)))</f>
        <v>0</v>
      </c>
      <c r="T177" s="21">
        <f>VLOOKUP(A177,Participanti!A:C,3,0)</f>
        <v>0</v>
      </c>
      <c r="U177" s="18">
        <f t="shared" si="86"/>
        <v>2.5676666666666668</v>
      </c>
      <c r="V177" s="58" t="s">
        <v>382</v>
      </c>
      <c r="W177" s="77">
        <f t="shared" si="68"/>
        <v>1</v>
      </c>
      <c r="X177" s="1" t="str">
        <f>VLOOKUP(A177,Data_Echipe!A:R,18,0)</f>
        <v>#notSYRious</v>
      </c>
      <c r="Z177" s="115">
        <f t="shared" si="87"/>
        <v>1</v>
      </c>
    </row>
    <row r="178" spans="1:26" x14ac:dyDescent="0.3">
      <c r="A178" s="49" t="s">
        <v>170</v>
      </c>
      <c r="B178" s="1" t="str">
        <f>VLOOKUP(A178,Participanti!A:B,2,0)</f>
        <v>F</v>
      </c>
      <c r="C178" s="74">
        <v>2</v>
      </c>
      <c r="D178" s="50">
        <v>15.39</v>
      </c>
      <c r="E178" s="51">
        <v>6.4189814814814811E-2</v>
      </c>
      <c r="F178" s="51">
        <v>6.4328703703703707E-2</v>
      </c>
      <c r="G178" s="69">
        <f t="shared" si="82"/>
        <v>6.4259259259259266E-2</v>
      </c>
      <c r="H178" s="52"/>
      <c r="I178" s="12">
        <f t="shared" si="83"/>
        <v>4.1753904651890359E-3</v>
      </c>
      <c r="J178" s="37">
        <f t="shared" si="84"/>
        <v>3.8475000000000001</v>
      </c>
      <c r="K178" s="37">
        <f>IF(J178=0,0,IF(B178="F",VLOOKUP(I178,Barem!$G$2:$H$16,2,1),VLOOKUP(I178,Barem!$G$17:$H$31,2,1)))</f>
        <v>2</v>
      </c>
      <c r="L178" s="50">
        <v>1.25</v>
      </c>
      <c r="M178" s="124" t="s">
        <v>106</v>
      </c>
      <c r="N178" s="10">
        <f t="shared" si="88"/>
        <v>0.5</v>
      </c>
      <c r="O178" s="10">
        <f t="shared" si="88"/>
        <v>0.25</v>
      </c>
      <c r="P178" s="10">
        <f t="shared" si="88"/>
        <v>0.25</v>
      </c>
      <c r="Q178" s="40">
        <f t="shared" si="85"/>
        <v>0</v>
      </c>
      <c r="R178" s="21">
        <f>IF(D178&gt;21,VLOOKUP(D178,Barem!$T$1:$U$141,2,1),0)</f>
        <v>0</v>
      </c>
      <c r="S178" s="152">
        <f>IF(D178&lt;1.609,0,IF(B178="F",VLOOKUP(I178,Barem!$X$2:$Z$13,2,1),VLOOKUP(I178,Barem!$X$14:$Z$25,2,1)))</f>
        <v>0</v>
      </c>
      <c r="T178" s="21">
        <f>VLOOKUP(A178,Participanti!A:C,3,0)</f>
        <v>0</v>
      </c>
      <c r="U178" s="18">
        <f t="shared" si="86"/>
        <v>2.7362500000000001</v>
      </c>
      <c r="V178" s="58" t="s">
        <v>382</v>
      </c>
      <c r="W178" s="77">
        <f t="shared" si="68"/>
        <v>1</v>
      </c>
      <c r="X178" s="1" t="str">
        <f>VLOOKUP(A178,Data_Echipe!A:R,18,0)</f>
        <v>Almost Kenyan Runners</v>
      </c>
      <c r="Z178" s="115">
        <f t="shared" si="87"/>
        <v>1</v>
      </c>
    </row>
    <row r="179" spans="1:26" x14ac:dyDescent="0.3">
      <c r="A179" s="49" t="s">
        <v>45</v>
      </c>
      <c r="B179" s="1" t="str">
        <f>VLOOKUP(A179,Participanti!A:B,2,0)</f>
        <v>F</v>
      </c>
      <c r="C179" s="74">
        <v>2</v>
      </c>
      <c r="D179" s="50">
        <v>10.06</v>
      </c>
      <c r="E179" s="51">
        <v>4.0682870370370376E-2</v>
      </c>
      <c r="F179" s="51">
        <v>4.2337962962962966E-2</v>
      </c>
      <c r="G179" s="69">
        <f t="shared" si="82"/>
        <v>4.1510416666666675E-2</v>
      </c>
      <c r="H179" s="52">
        <v>82</v>
      </c>
      <c r="I179" s="12">
        <f t="shared" si="83"/>
        <v>4.1262839628893313E-3</v>
      </c>
      <c r="J179" s="37">
        <f t="shared" si="84"/>
        <v>2.5150000000000001</v>
      </c>
      <c r="K179" s="37">
        <f>IF(J179=0,0,IF(B179="F",VLOOKUP(I179,Barem!$G$2:$H$16,2,1),VLOOKUP(I179,Barem!$G$17:$H$31,2,1)))</f>
        <v>2</v>
      </c>
      <c r="L179" s="50">
        <v>2.5</v>
      </c>
      <c r="M179" s="124" t="s">
        <v>107</v>
      </c>
      <c r="N179" s="10">
        <f t="shared" si="88"/>
        <v>0.25</v>
      </c>
      <c r="O179" s="10">
        <f t="shared" si="88"/>
        <v>0.5</v>
      </c>
      <c r="P179" s="10">
        <f t="shared" si="88"/>
        <v>0.25</v>
      </c>
      <c r="Q179" s="40">
        <f t="shared" si="85"/>
        <v>5.4666666666666669E-2</v>
      </c>
      <c r="R179" s="21">
        <f>IF(D179&gt;21,VLOOKUP(D179,Barem!$T$1:$U$141,2,1),0)</f>
        <v>0</v>
      </c>
      <c r="S179" s="152">
        <f>IF(D179&lt;1.609,0,IF(B179="F",VLOOKUP(I179,Barem!$X$2:$Z$13,2,1),VLOOKUP(I179,Barem!$X$14:$Z$25,2,1)))</f>
        <v>0</v>
      </c>
      <c r="T179" s="21">
        <f>VLOOKUP(A179,Participanti!A:C,3,0)</f>
        <v>0</v>
      </c>
      <c r="U179" s="18">
        <f t="shared" si="86"/>
        <v>2.308416666666667</v>
      </c>
      <c r="V179" s="58" t="s">
        <v>382</v>
      </c>
      <c r="W179" s="77">
        <f t="shared" si="68"/>
        <v>1</v>
      </c>
      <c r="X179" s="1" t="e">
        <f>VLOOKUP(A179,Data_Echipe!A:R,18,0)</f>
        <v>#N/A</v>
      </c>
      <c r="Z179" s="115">
        <f t="shared" si="87"/>
        <v>1</v>
      </c>
    </row>
    <row r="180" spans="1:26" x14ac:dyDescent="0.3">
      <c r="A180" s="49" t="s">
        <v>78</v>
      </c>
      <c r="B180" s="1" t="str">
        <f>VLOOKUP(A180,Participanti!A:B,2,0)</f>
        <v>M</v>
      </c>
      <c r="C180" s="74">
        <v>2</v>
      </c>
      <c r="D180" s="50">
        <v>45.7</v>
      </c>
      <c r="E180" s="51">
        <v>0.37508101851851849</v>
      </c>
      <c r="F180" s="51">
        <v>0.41704861111111113</v>
      </c>
      <c r="G180" s="69">
        <f t="shared" si="82"/>
        <v>0.39606481481481481</v>
      </c>
      <c r="H180" s="52">
        <v>1571</v>
      </c>
      <c r="I180" s="12">
        <f t="shared" si="83"/>
        <v>8.6666261447443053E-3</v>
      </c>
      <c r="J180" s="37">
        <f t="shared" si="84"/>
        <v>5</v>
      </c>
      <c r="K180" s="37">
        <f>IF(J180=0,0,IF(B180="F",VLOOKUP(I180,Barem!$G$2:$H$16,2,1),VLOOKUP(I180,Barem!$G$17:$H$31,2,1)))</f>
        <v>0</v>
      </c>
      <c r="L180" s="50">
        <v>3.25</v>
      </c>
      <c r="M180" s="124" t="s">
        <v>207</v>
      </c>
      <c r="N180" s="10">
        <f t="shared" si="88"/>
        <v>0.25</v>
      </c>
      <c r="O180" s="10">
        <f t="shared" si="88"/>
        <v>0.25</v>
      </c>
      <c r="P180" s="10">
        <f t="shared" si="88"/>
        <v>0.5</v>
      </c>
      <c r="Q180" s="40">
        <f t="shared" si="85"/>
        <v>1.0473333333333332</v>
      </c>
      <c r="R180" s="21">
        <f>IF(D180&gt;21,VLOOKUP(D180,Barem!$T$1:$U$141,2,1),0)</f>
        <v>1.2</v>
      </c>
      <c r="S180" s="152">
        <f>IF(D180&lt;1.609,0,IF(B180="F",VLOOKUP(I180,Barem!$X$2:$Z$13,2,1),VLOOKUP(I180,Barem!$X$14:$Z$25,2,1)))</f>
        <v>0</v>
      </c>
      <c r="T180" s="21">
        <f>VLOOKUP(A180,Participanti!A:C,3,0)</f>
        <v>0.4</v>
      </c>
      <c r="U180" s="18">
        <f t="shared" si="86"/>
        <v>5.522333333333334</v>
      </c>
      <c r="V180" s="58" t="s">
        <v>382</v>
      </c>
      <c r="W180" s="77">
        <f t="shared" si="68"/>
        <v>1</v>
      </c>
      <c r="X180" s="1" t="str">
        <f>VLOOKUP(A180,Data_Echipe!A:R,18,0)</f>
        <v>Almost Kenyan Runners</v>
      </c>
      <c r="Z180" s="115">
        <f t="shared" si="87"/>
        <v>0</v>
      </c>
    </row>
    <row r="181" spans="1:26" x14ac:dyDescent="0.3">
      <c r="A181" s="49" t="s">
        <v>335</v>
      </c>
      <c r="B181" s="1" t="str">
        <f>VLOOKUP(A181,Participanti!A:B,2,0)</f>
        <v>M</v>
      </c>
      <c r="C181" s="74">
        <v>3</v>
      </c>
      <c r="D181" s="50">
        <v>21.13</v>
      </c>
      <c r="E181" s="51">
        <v>8.2928240740740733E-2</v>
      </c>
      <c r="F181" s="51">
        <v>8.2928240740740733E-2</v>
      </c>
      <c r="G181" s="69">
        <f t="shared" ref="G181:G192" si="89">AVERAGE(E181:F181)</f>
        <v>8.2928240740740733E-2</v>
      </c>
      <c r="H181" s="52"/>
      <c r="I181" s="12">
        <f t="shared" ref="I181:I192" si="90">G181/D181</f>
        <v>3.9246682792589086E-3</v>
      </c>
      <c r="J181" s="37">
        <f t="shared" ref="J181:J192" si="91">IF(B181="F",IF(D181&lt;2.5,0,IF(D181&gt;19.99,5,D181/4)),IF(D181&lt;3,0, IF(D181&gt;20.99,5,D181/4.2)))</f>
        <v>5</v>
      </c>
      <c r="K181" s="37">
        <f>IF(J181=0,0,IF(B181="F",VLOOKUP(I181,Barem!$G$2:$H$16,2,1),VLOOKUP(I181,Barem!$G$17:$H$31,2,1)))</f>
        <v>1.75</v>
      </c>
      <c r="L181" s="50">
        <v>0.5</v>
      </c>
      <c r="M181" s="124" t="s">
        <v>207</v>
      </c>
      <c r="N181" s="10">
        <f t="shared" ref="N181:P181" si="92">IF($M181=N$1,50%,25%)</f>
        <v>0.25</v>
      </c>
      <c r="O181" s="10">
        <f t="shared" si="92"/>
        <v>0.25</v>
      </c>
      <c r="P181" s="10">
        <f t="shared" si="92"/>
        <v>0.5</v>
      </c>
      <c r="Q181" s="40">
        <f t="shared" ref="Q181:Q192" si="93">IF(H181&gt;49,H181/1500,0)</f>
        <v>0</v>
      </c>
      <c r="R181" s="21">
        <f>IF(D181&gt;21,VLOOKUP(D181,Barem!$T$1:$U$141,2,1),0)</f>
        <v>0</v>
      </c>
      <c r="S181" s="152">
        <f>IF(D181&lt;1.609,0,IF(B181="F",VLOOKUP(I181,Barem!$X$2:$Z$13,2,1),VLOOKUP(I181,Barem!$X$14:$Z$25,2,1)))</f>
        <v>0</v>
      </c>
      <c r="T181" s="21">
        <f>VLOOKUP(A181,Participanti!A:C,3,0)</f>
        <v>0.4</v>
      </c>
      <c r="U181" s="18">
        <f t="shared" ref="U181:U192" si="94">IF(H181&lt;0,0,J181*N181+K181*O181+L181*P181+Q181+R181+S181+T181)</f>
        <v>2.3374999999999999</v>
      </c>
      <c r="V181" s="58" t="s">
        <v>386</v>
      </c>
      <c r="W181" s="77">
        <f t="shared" si="68"/>
        <v>1</v>
      </c>
      <c r="X181" s="1" t="e">
        <f>VLOOKUP(A181,Data_Echipe!A:R,18,0)</f>
        <v>#N/A</v>
      </c>
      <c r="Z181" s="115">
        <f t="shared" ref="Z181:Z192" si="95">IF(K181&gt;0,1,0)</f>
        <v>1</v>
      </c>
    </row>
    <row r="182" spans="1:26" x14ac:dyDescent="0.3">
      <c r="A182" s="49" t="s">
        <v>45</v>
      </c>
      <c r="B182" s="1" t="str">
        <f>VLOOKUP(A182,Participanti!A:B,2,0)</f>
        <v>F</v>
      </c>
      <c r="C182" s="74">
        <v>3</v>
      </c>
      <c r="D182" s="50">
        <v>23.27</v>
      </c>
      <c r="E182" s="51">
        <v>0.10623842592592592</v>
      </c>
      <c r="F182" s="51">
        <v>0.1404050925925926</v>
      </c>
      <c r="G182" s="69">
        <f t="shared" si="89"/>
        <v>0.12332175925925926</v>
      </c>
      <c r="H182" s="52">
        <v>59</v>
      </c>
      <c r="I182" s="12">
        <f t="shared" si="90"/>
        <v>5.2996028903850136E-3</v>
      </c>
      <c r="J182" s="37">
        <f t="shared" si="91"/>
        <v>5</v>
      </c>
      <c r="K182" s="37">
        <f>IF(J182=0,0,IF(B182="F",VLOOKUP(I182,Barem!$G$2:$H$16,2,1),VLOOKUP(I182,Barem!$G$17:$H$31,2,1)))</f>
        <v>0.25</v>
      </c>
      <c r="L182" s="50">
        <v>5</v>
      </c>
      <c r="M182" s="124" t="s">
        <v>106</v>
      </c>
      <c r="N182" s="10">
        <f t="shared" si="88"/>
        <v>0.5</v>
      </c>
      <c r="O182" s="10">
        <f t="shared" si="88"/>
        <v>0.25</v>
      </c>
      <c r="P182" s="10">
        <f t="shared" si="88"/>
        <v>0.25</v>
      </c>
      <c r="Q182" s="40">
        <f t="shared" si="93"/>
        <v>3.9333333333333331E-2</v>
      </c>
      <c r="R182" s="21">
        <f>IF(D182&gt;21,VLOOKUP(D182,Barem!$T$1:$U$141,2,1),0)</f>
        <v>0.1</v>
      </c>
      <c r="S182" s="152">
        <f>IF(D182&lt;1.609,0,IF(B182="F",VLOOKUP(I182,Barem!$X$2:$Z$13,2,1),VLOOKUP(I182,Barem!$X$14:$Z$25,2,1)))</f>
        <v>0</v>
      </c>
      <c r="T182" s="21">
        <f>VLOOKUP(A182,Participanti!A:C,3,0)</f>
        <v>0</v>
      </c>
      <c r="U182" s="18">
        <f t="shared" si="94"/>
        <v>3.9518333333333335</v>
      </c>
      <c r="V182" s="58" t="s">
        <v>386</v>
      </c>
      <c r="W182" s="77">
        <f t="shared" si="68"/>
        <v>1</v>
      </c>
      <c r="X182" s="1" t="e">
        <f>VLOOKUP(A182,Data_Echipe!A:R,18,0)</f>
        <v>#N/A</v>
      </c>
      <c r="Z182" s="115">
        <f t="shared" si="95"/>
        <v>1</v>
      </c>
    </row>
    <row r="183" spans="1:26" x14ac:dyDescent="0.3">
      <c r="A183" s="49" t="s">
        <v>333</v>
      </c>
      <c r="B183" s="1" t="str">
        <f>VLOOKUP(A183,Participanti!A:B,2,0)</f>
        <v>M</v>
      </c>
      <c r="C183" s="74">
        <v>3</v>
      </c>
      <c r="D183" s="50">
        <v>11.81</v>
      </c>
      <c r="E183" s="51">
        <v>4.4861111111111109E-2</v>
      </c>
      <c r="F183" s="51">
        <v>5.6168981481481479E-2</v>
      </c>
      <c r="G183" s="69">
        <f t="shared" si="89"/>
        <v>5.0515046296296294E-2</v>
      </c>
      <c r="H183" s="52"/>
      <c r="I183" s="12">
        <f t="shared" si="90"/>
        <v>4.2773112867312696E-3</v>
      </c>
      <c r="J183" s="37">
        <f t="shared" si="91"/>
        <v>2.8119047619047617</v>
      </c>
      <c r="K183" s="37">
        <f>IF(J183=0,0,IF(B183="F",VLOOKUP(I183,Barem!$G$2:$H$16,2,1),VLOOKUP(I183,Barem!$G$17:$H$31,2,1)))</f>
        <v>1.25</v>
      </c>
      <c r="L183" s="50">
        <v>2</v>
      </c>
      <c r="M183" s="124" t="s">
        <v>207</v>
      </c>
      <c r="N183" s="10">
        <f t="shared" ref="N183:P197" si="96">IF($M183=N$1,50%,25%)</f>
        <v>0.25</v>
      </c>
      <c r="O183" s="10">
        <f t="shared" si="96"/>
        <v>0.25</v>
      </c>
      <c r="P183" s="10">
        <f t="shared" si="96"/>
        <v>0.5</v>
      </c>
      <c r="Q183" s="40">
        <f t="shared" si="93"/>
        <v>0</v>
      </c>
      <c r="R183" s="21">
        <f>IF(D183&gt;21,VLOOKUP(D183,Barem!$T$1:$U$141,2,1),0)</f>
        <v>0</v>
      </c>
      <c r="S183" s="152">
        <f>IF(D183&lt;1.609,0,IF(B183="F",VLOOKUP(I183,Barem!$X$2:$Z$13,2,1),VLOOKUP(I183,Barem!$X$14:$Z$25,2,1)))</f>
        <v>0</v>
      </c>
      <c r="T183" s="21">
        <f>VLOOKUP(A183,Participanti!A:C,3,0)</f>
        <v>0</v>
      </c>
      <c r="U183" s="18">
        <f t="shared" si="94"/>
        <v>2.0154761904761904</v>
      </c>
      <c r="V183" s="58" t="s">
        <v>386</v>
      </c>
      <c r="W183" s="77">
        <f t="shared" si="68"/>
        <v>1</v>
      </c>
      <c r="X183" s="1" t="str">
        <f>VLOOKUP(A183,Data_Echipe!A:R,18,0)</f>
        <v>UltraHaita lu' Borcan</v>
      </c>
      <c r="Z183" s="115">
        <f t="shared" si="95"/>
        <v>1</v>
      </c>
    </row>
    <row r="184" spans="1:26" x14ac:dyDescent="0.3">
      <c r="A184" s="49" t="s">
        <v>304</v>
      </c>
      <c r="B184" s="1" t="str">
        <f>VLOOKUP(A184,Participanti!A:B,2,0)</f>
        <v>F</v>
      </c>
      <c r="C184" s="74">
        <v>3</v>
      </c>
      <c r="D184" s="50">
        <v>24.25</v>
      </c>
      <c r="E184" s="51">
        <v>9.4687499999999994E-2</v>
      </c>
      <c r="F184" s="51">
        <v>0.105</v>
      </c>
      <c r="G184" s="69">
        <f t="shared" si="89"/>
        <v>9.9843749999999995E-2</v>
      </c>
      <c r="H184" s="52">
        <v>23</v>
      </c>
      <c r="I184" s="12">
        <f t="shared" si="90"/>
        <v>4.117268041237113E-3</v>
      </c>
      <c r="J184" s="37">
        <f t="shared" si="91"/>
        <v>5</v>
      </c>
      <c r="K184" s="37">
        <f>IF(J184=0,0,IF(B184="F",VLOOKUP(I184,Barem!$G$2:$H$16,2,1),VLOOKUP(I184,Barem!$G$17:$H$31,2,1)))</f>
        <v>2</v>
      </c>
      <c r="L184" s="50">
        <v>1.75</v>
      </c>
      <c r="M184" s="124" t="s">
        <v>207</v>
      </c>
      <c r="N184" s="10">
        <f t="shared" si="96"/>
        <v>0.25</v>
      </c>
      <c r="O184" s="10">
        <f t="shared" si="96"/>
        <v>0.25</v>
      </c>
      <c r="P184" s="10">
        <f t="shared" si="96"/>
        <v>0.5</v>
      </c>
      <c r="Q184" s="40">
        <f t="shared" si="93"/>
        <v>0</v>
      </c>
      <c r="R184" s="21">
        <f>IF(D184&gt;21,VLOOKUP(D184,Barem!$T$1:$U$141,2,1),0)</f>
        <v>0.1</v>
      </c>
      <c r="S184" s="152">
        <f>IF(D184&lt;1.609,0,IF(B184="F",VLOOKUP(I184,Barem!$X$2:$Z$13,2,1),VLOOKUP(I184,Barem!$X$14:$Z$25,2,1)))</f>
        <v>0</v>
      </c>
      <c r="T184" s="21">
        <f>VLOOKUP(A184,Participanti!A:C,3,0)</f>
        <v>0</v>
      </c>
      <c r="U184" s="18">
        <f t="shared" si="94"/>
        <v>2.7250000000000001</v>
      </c>
      <c r="V184" s="58" t="s">
        <v>386</v>
      </c>
      <c r="W184" s="77">
        <f t="shared" si="68"/>
        <v>1</v>
      </c>
      <c r="X184" s="1" t="e">
        <f>VLOOKUP(A184,Data_Echipe!A:R,18,0)</f>
        <v>#N/A</v>
      </c>
      <c r="Z184" s="115">
        <f t="shared" si="95"/>
        <v>1</v>
      </c>
    </row>
    <row r="185" spans="1:26" x14ac:dyDescent="0.3">
      <c r="A185" s="49" t="s">
        <v>284</v>
      </c>
      <c r="B185" s="1" t="str">
        <f>VLOOKUP(A185,Participanti!A:B,2,0)</f>
        <v>M</v>
      </c>
      <c r="C185" s="74">
        <v>3</v>
      </c>
      <c r="D185" s="50">
        <v>16.12</v>
      </c>
      <c r="E185" s="51">
        <v>6.5115740740740738E-2</v>
      </c>
      <c r="F185" s="51">
        <v>7.7071759259259257E-2</v>
      </c>
      <c r="G185" s="69">
        <f t="shared" si="89"/>
        <v>7.1093749999999997E-2</v>
      </c>
      <c r="H185" s="52">
        <v>136</v>
      </c>
      <c r="I185" s="12">
        <f t="shared" si="90"/>
        <v>4.4102822580645157E-3</v>
      </c>
      <c r="J185" s="37">
        <f t="shared" si="91"/>
        <v>3.8380952380952382</v>
      </c>
      <c r="K185" s="37">
        <f>IF(J185=0,0,IF(B185="F",VLOOKUP(I185,Barem!$G$2:$H$16,2,1),VLOOKUP(I185,Barem!$G$17:$H$31,2,1)))</f>
        <v>1</v>
      </c>
      <c r="L185" s="50">
        <v>4.75</v>
      </c>
      <c r="M185" s="124" t="s">
        <v>207</v>
      </c>
      <c r="N185" s="10">
        <f t="shared" si="96"/>
        <v>0.25</v>
      </c>
      <c r="O185" s="10">
        <f t="shared" si="96"/>
        <v>0.25</v>
      </c>
      <c r="P185" s="10">
        <f t="shared" si="96"/>
        <v>0.5</v>
      </c>
      <c r="Q185" s="40">
        <f t="shared" si="93"/>
        <v>9.0666666666666673E-2</v>
      </c>
      <c r="R185" s="21">
        <f>IF(D185&gt;21,VLOOKUP(D185,Barem!$T$1:$U$141,2,1),0)</f>
        <v>0</v>
      </c>
      <c r="S185" s="152">
        <f>IF(D185&lt;1.609,0,IF(B185="F",VLOOKUP(I185,Barem!$X$2:$Z$13,2,1),VLOOKUP(I185,Barem!$X$14:$Z$25,2,1)))</f>
        <v>0</v>
      </c>
      <c r="T185" s="21">
        <f>VLOOKUP(A185,Participanti!A:C,3,0)</f>
        <v>0</v>
      </c>
      <c r="U185" s="18">
        <f t="shared" si="94"/>
        <v>3.6751904761904761</v>
      </c>
      <c r="V185" s="58" t="s">
        <v>386</v>
      </c>
      <c r="W185" s="77">
        <f t="shared" si="68"/>
        <v>1</v>
      </c>
      <c r="X185" s="1" t="str">
        <f>VLOOKUP(A185,Data_Echipe!A:R,18,0)</f>
        <v>The GOATs</v>
      </c>
      <c r="Z185" s="115">
        <f t="shared" si="95"/>
        <v>1</v>
      </c>
    </row>
    <row r="186" spans="1:26" x14ac:dyDescent="0.3">
      <c r="A186" s="49" t="s">
        <v>387</v>
      </c>
      <c r="B186" s="1" t="str">
        <f>VLOOKUP(A186,Participanti!A:B,2,0)</f>
        <v>F</v>
      </c>
      <c r="C186" s="74">
        <v>3</v>
      </c>
      <c r="D186" s="50">
        <v>19.100000000000001</v>
      </c>
      <c r="E186" s="51">
        <v>8.1284722222222217E-2</v>
      </c>
      <c r="F186" s="51">
        <v>8.458333333333333E-2</v>
      </c>
      <c r="G186" s="69">
        <f t="shared" si="89"/>
        <v>8.293402777777778E-2</v>
      </c>
      <c r="H186" s="52">
        <v>189</v>
      </c>
      <c r="I186" s="12">
        <f t="shared" si="90"/>
        <v>4.3420956951716111E-3</v>
      </c>
      <c r="J186" s="37">
        <f t="shared" si="91"/>
        <v>4.7750000000000004</v>
      </c>
      <c r="K186" s="37">
        <f>IF(J186=0,0,IF(B186="F",VLOOKUP(I186,Barem!$G$2:$H$16,2,1),VLOOKUP(I186,Barem!$G$17:$H$31,2,1)))</f>
        <v>1.75</v>
      </c>
      <c r="L186" s="50">
        <v>3.5</v>
      </c>
      <c r="M186" s="124" t="s">
        <v>207</v>
      </c>
      <c r="N186" s="10">
        <f t="shared" si="96"/>
        <v>0.25</v>
      </c>
      <c r="O186" s="10">
        <f t="shared" si="96"/>
        <v>0.25</v>
      </c>
      <c r="P186" s="10">
        <f t="shared" si="96"/>
        <v>0.5</v>
      </c>
      <c r="Q186" s="40">
        <f t="shared" si="93"/>
        <v>0.126</v>
      </c>
      <c r="R186" s="21">
        <f>IF(D186&gt;21,VLOOKUP(D186,Barem!$T$1:$U$141,2,1),0)</f>
        <v>0</v>
      </c>
      <c r="S186" s="152">
        <f>IF(D186&lt;1.609,0,IF(B186="F",VLOOKUP(I186,Barem!$X$2:$Z$13,2,1),VLOOKUP(I186,Barem!$X$14:$Z$25,2,1)))</f>
        <v>0</v>
      </c>
      <c r="T186" s="21">
        <f>VLOOKUP(A186,Participanti!A:C,3,0)</f>
        <v>0</v>
      </c>
      <c r="U186" s="18">
        <f t="shared" si="94"/>
        <v>3.50725</v>
      </c>
      <c r="V186" s="58" t="s">
        <v>386</v>
      </c>
      <c r="W186" s="77">
        <f t="shared" si="68"/>
        <v>1</v>
      </c>
      <c r="X186" s="1" t="str">
        <f>VLOOKUP(A186,Data_Echipe!A:R,18,0)</f>
        <v>#notSYRious</v>
      </c>
      <c r="Z186" s="115">
        <f t="shared" si="95"/>
        <v>1</v>
      </c>
    </row>
    <row r="187" spans="1:26" x14ac:dyDescent="0.3">
      <c r="A187" s="49" t="s">
        <v>344</v>
      </c>
      <c r="B187" s="1" t="str">
        <f>VLOOKUP(A187,Participanti!A:B,2,0)</f>
        <v>F</v>
      </c>
      <c r="C187" s="74">
        <v>3</v>
      </c>
      <c r="D187" s="50">
        <v>21.03</v>
      </c>
      <c r="E187" s="51">
        <v>8.9803240740740739E-2</v>
      </c>
      <c r="F187" s="51">
        <v>8.9837962962962967E-2</v>
      </c>
      <c r="G187" s="69">
        <f t="shared" si="89"/>
        <v>8.9820601851851853E-2</v>
      </c>
      <c r="H187" s="52"/>
      <c r="I187" s="12">
        <f t="shared" si="90"/>
        <v>4.2710699882002783E-3</v>
      </c>
      <c r="J187" s="37">
        <f t="shared" si="91"/>
        <v>5</v>
      </c>
      <c r="K187" s="37">
        <f>IF(J187=0,0,IF(B187="F",VLOOKUP(I187,Barem!$G$2:$H$16,2,1),VLOOKUP(I187,Barem!$G$17:$H$31,2,1)))</f>
        <v>1.75</v>
      </c>
      <c r="L187" s="50">
        <v>2.75</v>
      </c>
      <c r="M187" s="124" t="s">
        <v>106</v>
      </c>
      <c r="N187" s="10">
        <f t="shared" si="96"/>
        <v>0.5</v>
      </c>
      <c r="O187" s="10">
        <f t="shared" si="96"/>
        <v>0.25</v>
      </c>
      <c r="P187" s="10">
        <f t="shared" si="96"/>
        <v>0.25</v>
      </c>
      <c r="Q187" s="40">
        <f t="shared" si="93"/>
        <v>0</v>
      </c>
      <c r="R187" s="21">
        <f>IF(D187&gt;21,VLOOKUP(D187,Barem!$T$1:$U$141,2,1),0)</f>
        <v>0</v>
      </c>
      <c r="S187" s="152">
        <f>IF(D187&lt;1.609,0,IF(B187="F",VLOOKUP(I187,Barem!$X$2:$Z$13,2,1),VLOOKUP(I187,Barem!$X$14:$Z$25,2,1)))</f>
        <v>0</v>
      </c>
      <c r="T187" s="21">
        <f>VLOOKUP(A187,Participanti!A:C,3,0)</f>
        <v>0</v>
      </c>
      <c r="U187" s="18">
        <f t="shared" si="94"/>
        <v>3.625</v>
      </c>
      <c r="V187" s="58" t="s">
        <v>386</v>
      </c>
      <c r="W187" s="77">
        <f t="shared" si="68"/>
        <v>1</v>
      </c>
      <c r="X187" s="1" t="e">
        <f>VLOOKUP(A187,Data_Echipe!A:R,18,0)</f>
        <v>#N/A</v>
      </c>
      <c r="Z187" s="115">
        <f t="shared" si="95"/>
        <v>1</v>
      </c>
    </row>
    <row r="188" spans="1:26" x14ac:dyDescent="0.3">
      <c r="A188" s="49" t="s">
        <v>336</v>
      </c>
      <c r="B188" s="1" t="str">
        <f>VLOOKUP(A188,Participanti!A:B,2,0)</f>
        <v>M</v>
      </c>
      <c r="C188" s="74">
        <v>3</v>
      </c>
      <c r="D188" s="50">
        <v>23.11</v>
      </c>
      <c r="E188" s="51">
        <v>9.7615740740740739E-2</v>
      </c>
      <c r="F188" s="51">
        <v>9.7615740740740739E-2</v>
      </c>
      <c r="G188" s="69">
        <f t="shared" si="89"/>
        <v>9.7615740740740739E-2</v>
      </c>
      <c r="H188" s="52"/>
      <c r="I188" s="12">
        <f t="shared" si="90"/>
        <v>4.2239610878728141E-3</v>
      </c>
      <c r="J188" s="37">
        <f t="shared" si="91"/>
        <v>5</v>
      </c>
      <c r="K188" s="37">
        <f>IF(J188=0,0,IF(B188="F",VLOOKUP(I188,Barem!$G$2:$H$16,2,1),VLOOKUP(I188,Barem!$G$17:$H$31,2,1)))</f>
        <v>1.25</v>
      </c>
      <c r="L188" s="50">
        <v>0.75</v>
      </c>
      <c r="M188" s="124" t="s">
        <v>207</v>
      </c>
      <c r="N188" s="10">
        <f t="shared" si="96"/>
        <v>0.25</v>
      </c>
      <c r="O188" s="10">
        <f t="shared" si="96"/>
        <v>0.25</v>
      </c>
      <c r="P188" s="10">
        <f t="shared" si="96"/>
        <v>0.5</v>
      </c>
      <c r="Q188" s="40">
        <f t="shared" si="93"/>
        <v>0</v>
      </c>
      <c r="R188" s="21">
        <f>IF(D188&gt;21,VLOOKUP(D188,Barem!$T$1:$U$141,2,1),0)</f>
        <v>0.1</v>
      </c>
      <c r="S188" s="152">
        <f>IF(D188&lt;1.609,0,IF(B188="F",VLOOKUP(I188,Barem!$X$2:$Z$13,2,1),VLOOKUP(I188,Barem!$X$14:$Z$25,2,1)))</f>
        <v>0</v>
      </c>
      <c r="T188" s="21">
        <f>VLOOKUP(A188,Participanti!A:C,3,0)</f>
        <v>0</v>
      </c>
      <c r="U188" s="18">
        <f t="shared" si="94"/>
        <v>2.0375000000000001</v>
      </c>
      <c r="V188" s="58" t="s">
        <v>386</v>
      </c>
      <c r="W188" s="77">
        <f t="shared" si="68"/>
        <v>1</v>
      </c>
      <c r="X188" s="1" t="e">
        <f>VLOOKUP(A188,Data_Echipe!A:R,18,0)</f>
        <v>#N/A</v>
      </c>
      <c r="Z188" s="115">
        <f t="shared" si="95"/>
        <v>1</v>
      </c>
    </row>
    <row r="189" spans="1:26" x14ac:dyDescent="0.3">
      <c r="A189" s="49" t="s">
        <v>137</v>
      </c>
      <c r="B189" s="1" t="str">
        <f>VLOOKUP(A189,Participanti!A:B,2,0)</f>
        <v>M</v>
      </c>
      <c r="C189" s="74">
        <v>3</v>
      </c>
      <c r="D189" s="50">
        <v>24.24</v>
      </c>
      <c r="E189" s="51">
        <v>9.2916666666666661E-2</v>
      </c>
      <c r="F189" s="51">
        <v>9.418981481481481E-2</v>
      </c>
      <c r="G189" s="69">
        <f t="shared" si="89"/>
        <v>9.3553240740740728E-2</v>
      </c>
      <c r="H189" s="52">
        <v>81</v>
      </c>
      <c r="I189" s="12">
        <f t="shared" si="90"/>
        <v>3.8594571262681823E-3</v>
      </c>
      <c r="J189" s="37">
        <f t="shared" si="91"/>
        <v>5</v>
      </c>
      <c r="K189" s="37">
        <f>IF(J189=0,0,IF(B189="F",VLOOKUP(I189,Barem!$G$2:$H$16,2,1),VLOOKUP(I189,Barem!$G$17:$H$31,2,1)))</f>
        <v>1.75</v>
      </c>
      <c r="L189" s="50">
        <v>2.75</v>
      </c>
      <c r="M189" s="124" t="s">
        <v>207</v>
      </c>
      <c r="N189" s="10">
        <f t="shared" si="96"/>
        <v>0.25</v>
      </c>
      <c r="O189" s="10">
        <f t="shared" si="96"/>
        <v>0.25</v>
      </c>
      <c r="P189" s="10">
        <f t="shared" si="96"/>
        <v>0.5</v>
      </c>
      <c r="Q189" s="40">
        <f t="shared" si="93"/>
        <v>5.3999999999999999E-2</v>
      </c>
      <c r="R189" s="21">
        <f>IF(D189&gt;21,VLOOKUP(D189,Barem!$T$1:$U$141,2,1),0)</f>
        <v>0.1</v>
      </c>
      <c r="S189" s="152">
        <f>IF(D189&lt;1.609,0,IF(B189="F",VLOOKUP(I189,Barem!$X$2:$Z$13,2,1),VLOOKUP(I189,Barem!$X$14:$Z$25,2,1)))</f>
        <v>0</v>
      </c>
      <c r="T189" s="21">
        <f>VLOOKUP(A189,Participanti!A:C,3,0)</f>
        <v>0</v>
      </c>
      <c r="U189" s="18">
        <f t="shared" si="94"/>
        <v>3.2164999999999999</v>
      </c>
      <c r="V189" s="58" t="s">
        <v>386</v>
      </c>
      <c r="W189" s="77">
        <f t="shared" si="68"/>
        <v>1</v>
      </c>
      <c r="X189" s="1" t="str">
        <f>VLOOKUP(A189,Data_Echipe!A:R,18,0)</f>
        <v>The GOATs</v>
      </c>
      <c r="Z189" s="115">
        <f t="shared" si="95"/>
        <v>1</v>
      </c>
    </row>
    <row r="190" spans="1:26" x14ac:dyDescent="0.3">
      <c r="A190" s="49" t="s">
        <v>355</v>
      </c>
      <c r="B190" s="1" t="str">
        <f>VLOOKUP(A190,Participanti!A:B,2,0)</f>
        <v>F</v>
      </c>
      <c r="C190" s="74">
        <v>3</v>
      </c>
      <c r="D190" s="50">
        <v>9.9600000000000009</v>
      </c>
      <c r="E190" s="51">
        <v>4.355324074074074E-2</v>
      </c>
      <c r="F190" s="51">
        <v>4.355324074074074E-2</v>
      </c>
      <c r="G190" s="69">
        <f t="shared" si="89"/>
        <v>4.355324074074074E-2</v>
      </c>
      <c r="H190" s="52"/>
      <c r="I190" s="12">
        <f t="shared" si="90"/>
        <v>4.3728153354157364E-3</v>
      </c>
      <c r="J190" s="37">
        <f t="shared" si="91"/>
        <v>2.4900000000000002</v>
      </c>
      <c r="K190" s="37">
        <f>IF(J190=0,0,IF(B190="F",VLOOKUP(I190,Barem!$G$2:$H$16,2,1),VLOOKUP(I190,Barem!$G$17:$H$31,2,1)))</f>
        <v>1.5</v>
      </c>
      <c r="L190" s="50">
        <v>3.25</v>
      </c>
      <c r="M190" s="124" t="s">
        <v>207</v>
      </c>
      <c r="N190" s="10">
        <f t="shared" si="96"/>
        <v>0.25</v>
      </c>
      <c r="O190" s="10">
        <f t="shared" si="96"/>
        <v>0.25</v>
      </c>
      <c r="P190" s="10">
        <f t="shared" si="96"/>
        <v>0.5</v>
      </c>
      <c r="Q190" s="40">
        <f t="shared" si="93"/>
        <v>0</v>
      </c>
      <c r="R190" s="21">
        <f>IF(D190&gt;21,VLOOKUP(D190,Barem!$T$1:$U$141,2,1),0)</f>
        <v>0</v>
      </c>
      <c r="S190" s="152">
        <f>IF(D190&lt;1.609,0,IF(B190="F",VLOOKUP(I190,Barem!$X$2:$Z$13,2,1),VLOOKUP(I190,Barem!$X$14:$Z$25,2,1)))</f>
        <v>0</v>
      </c>
      <c r="T190" s="21">
        <f>VLOOKUP(A190,Participanti!A:C,3,0)</f>
        <v>0</v>
      </c>
      <c r="U190" s="18">
        <f t="shared" si="94"/>
        <v>2.6225000000000001</v>
      </c>
      <c r="V190" s="58" t="s">
        <v>386</v>
      </c>
      <c r="W190" s="77">
        <f t="shared" si="68"/>
        <v>1</v>
      </c>
      <c r="X190" s="1" t="str">
        <f>VLOOKUP(A190,Data_Echipe!A:R,18,0)</f>
        <v>#notSYRious</v>
      </c>
      <c r="Z190" s="115">
        <f t="shared" si="95"/>
        <v>1</v>
      </c>
    </row>
    <row r="191" spans="1:26" x14ac:dyDescent="0.3">
      <c r="A191" s="49" t="s">
        <v>48</v>
      </c>
      <c r="B191" s="1" t="str">
        <f>VLOOKUP(A191,Participanti!A:B,2,0)</f>
        <v>M</v>
      </c>
      <c r="C191" s="74">
        <v>3</v>
      </c>
      <c r="D191" s="50">
        <v>7.69</v>
      </c>
      <c r="E191" s="51">
        <v>3.2696759259259259E-2</v>
      </c>
      <c r="F191" s="51">
        <v>3.6840277777777777E-2</v>
      </c>
      <c r="G191" s="69">
        <f t="shared" si="89"/>
        <v>3.4768518518518518E-2</v>
      </c>
      <c r="H191" s="52">
        <v>137</v>
      </c>
      <c r="I191" s="12">
        <f t="shared" si="90"/>
        <v>4.5212637865433706E-3</v>
      </c>
      <c r="J191" s="37">
        <f t="shared" si="91"/>
        <v>1.8309523809523809</v>
      </c>
      <c r="K191" s="37">
        <f>IF(J191=0,0,IF(B191="F",VLOOKUP(I191,Barem!$G$2:$H$16,2,1),VLOOKUP(I191,Barem!$G$17:$H$31,2,1)))</f>
        <v>1</v>
      </c>
      <c r="L191" s="50">
        <v>3</v>
      </c>
      <c r="M191" s="124" t="s">
        <v>107</v>
      </c>
      <c r="N191" s="10">
        <f t="shared" si="96"/>
        <v>0.25</v>
      </c>
      <c r="O191" s="10">
        <f t="shared" si="96"/>
        <v>0.5</v>
      </c>
      <c r="P191" s="10">
        <f t="shared" si="96"/>
        <v>0.25</v>
      </c>
      <c r="Q191" s="40">
        <f t="shared" si="93"/>
        <v>9.1333333333333336E-2</v>
      </c>
      <c r="R191" s="21">
        <f>IF(D191&gt;21,VLOOKUP(D191,Barem!$T$1:$U$141,2,1),0)</f>
        <v>0</v>
      </c>
      <c r="S191" s="152">
        <f>IF(D191&lt;1.609,0,IF(B191="F",VLOOKUP(I191,Barem!$X$2:$Z$13,2,1),VLOOKUP(I191,Barem!$X$14:$Z$25,2,1)))</f>
        <v>0</v>
      </c>
      <c r="T191" s="21">
        <f>VLOOKUP(A191,Participanti!A:C,3,0)</f>
        <v>0.4</v>
      </c>
      <c r="U191" s="18">
        <f t="shared" si="94"/>
        <v>2.1990714285714286</v>
      </c>
      <c r="V191" s="58" t="s">
        <v>389</v>
      </c>
      <c r="W191" s="77">
        <f t="shared" si="68"/>
        <v>1</v>
      </c>
      <c r="X191" s="1" t="str">
        <f>VLOOKUP(A191,Data_Echipe!A:R,18,0)</f>
        <v>#notSYRious</v>
      </c>
      <c r="Z191" s="115">
        <f t="shared" si="95"/>
        <v>1</v>
      </c>
    </row>
    <row r="192" spans="1:26" x14ac:dyDescent="0.3">
      <c r="A192" s="49" t="s">
        <v>291</v>
      </c>
      <c r="B192" s="1" t="str">
        <f>VLOOKUP(A192,Participanti!A:B,2,0)</f>
        <v>F</v>
      </c>
      <c r="C192" s="74">
        <v>3</v>
      </c>
      <c r="D192" s="50">
        <v>21.4</v>
      </c>
      <c r="E192" s="51">
        <v>8.2013888888888886E-2</v>
      </c>
      <c r="F192" s="51">
        <v>8.2835648148148144E-2</v>
      </c>
      <c r="G192" s="69">
        <f t="shared" si="89"/>
        <v>8.2424768518518515E-2</v>
      </c>
      <c r="H192" s="52">
        <v>100</v>
      </c>
      <c r="I192" s="12">
        <f t="shared" si="90"/>
        <v>3.8516246971270337E-3</v>
      </c>
      <c r="J192" s="37">
        <f t="shared" si="91"/>
        <v>5</v>
      </c>
      <c r="K192" s="37">
        <f>IF(J192=0,0,IF(B192="F",VLOOKUP(I192,Barem!$G$2:$H$16,2,1),VLOOKUP(I192,Barem!$G$17:$H$31,2,1)))</f>
        <v>2.5</v>
      </c>
      <c r="L192" s="50">
        <v>3</v>
      </c>
      <c r="M192" s="124" t="s">
        <v>207</v>
      </c>
      <c r="N192" s="10">
        <f t="shared" si="96"/>
        <v>0.25</v>
      </c>
      <c r="O192" s="10">
        <f t="shared" si="96"/>
        <v>0.25</v>
      </c>
      <c r="P192" s="10">
        <f t="shared" si="96"/>
        <v>0.5</v>
      </c>
      <c r="Q192" s="40">
        <f t="shared" si="93"/>
        <v>6.6666666666666666E-2</v>
      </c>
      <c r="R192" s="21">
        <f>IF(D192&gt;21,VLOOKUP(D192,Barem!$T$1:$U$141,2,1),0)</f>
        <v>0</v>
      </c>
      <c r="S192" s="152">
        <f>IF(D192&lt;1.609,0,IF(B192="F",VLOOKUP(I192,Barem!$X$2:$Z$13,2,1),VLOOKUP(I192,Barem!$X$14:$Z$25,2,1)))</f>
        <v>0</v>
      </c>
      <c r="T192" s="21">
        <f>VLOOKUP(A192,Participanti!A:C,3,0)</f>
        <v>0</v>
      </c>
      <c r="U192" s="18">
        <f t="shared" si="94"/>
        <v>3.4416666666666669</v>
      </c>
      <c r="V192" s="58" t="s">
        <v>389</v>
      </c>
      <c r="W192" s="77">
        <f t="shared" si="68"/>
        <v>1</v>
      </c>
      <c r="X192" s="1" t="str">
        <f>VLOOKUP(A192,Data_Echipe!A:R,18,0)</f>
        <v>#notSYRious</v>
      </c>
      <c r="Z192" s="115">
        <f t="shared" si="95"/>
        <v>1</v>
      </c>
    </row>
    <row r="193" spans="1:26" x14ac:dyDescent="0.3">
      <c r="A193" s="49" t="s">
        <v>136</v>
      </c>
      <c r="B193" s="1" t="str">
        <f>VLOOKUP(A193,Participanti!A:B,2,0)</f>
        <v>F</v>
      </c>
      <c r="C193" s="74">
        <v>3</v>
      </c>
      <c r="D193" s="50">
        <v>13.02</v>
      </c>
      <c r="E193" s="51">
        <v>8.2523148148148151E-2</v>
      </c>
      <c r="F193" s="51">
        <v>8.3993055555555543E-2</v>
      </c>
      <c r="G193" s="69">
        <f t="shared" ref="G193:G230" si="97">AVERAGE(E193:F193)</f>
        <v>8.325810185185184E-2</v>
      </c>
      <c r="H193" s="52">
        <v>412</v>
      </c>
      <c r="I193" s="12">
        <f t="shared" ref="I193:I230" si="98">G193/D193</f>
        <v>6.3946314786368546E-3</v>
      </c>
      <c r="J193" s="37">
        <f t="shared" ref="J193:J230" si="99">IF(B193="F",IF(D193&lt;2.5,0,IF(D193&gt;19.99,5,D193/4)),IF(D193&lt;3,0, IF(D193&gt;20.99,5,D193/4.2)))</f>
        <v>3.2549999999999999</v>
      </c>
      <c r="K193" s="37">
        <f>IF(J193=0,0,IF(B193="F",VLOOKUP(I193,Barem!$G$2:$H$16,2,1),VLOOKUP(I193,Barem!$G$17:$H$31,2,1)))</f>
        <v>0</v>
      </c>
      <c r="L193" s="50">
        <v>2.75</v>
      </c>
      <c r="M193" s="124" t="s">
        <v>207</v>
      </c>
      <c r="N193" s="10">
        <f t="shared" si="96"/>
        <v>0.25</v>
      </c>
      <c r="O193" s="10">
        <f t="shared" si="96"/>
        <v>0.25</v>
      </c>
      <c r="P193" s="10">
        <f t="shared" si="96"/>
        <v>0.5</v>
      </c>
      <c r="Q193" s="40">
        <f t="shared" ref="Q193:Q230" si="100">IF(H193&gt;49,H193/1500,0)</f>
        <v>0.27466666666666667</v>
      </c>
      <c r="R193" s="21">
        <f>IF(D193&gt;21,VLOOKUP(D193,Barem!$T$1:$U$141,2,1),0)</f>
        <v>0</v>
      </c>
      <c r="S193" s="152">
        <f>IF(D193&lt;1.609,0,IF(B193="F",VLOOKUP(I193,Barem!$X$2:$Z$13,2,1),VLOOKUP(I193,Barem!$X$14:$Z$25,2,1)))</f>
        <v>0</v>
      </c>
      <c r="T193" s="21">
        <f>VLOOKUP(A193,Participanti!A:C,3,0)</f>
        <v>0</v>
      </c>
      <c r="U193" s="18">
        <f t="shared" ref="U193:U230" si="101">IF(H193&lt;0,0,J193*N193+K193*O193+L193*P193+Q193+R193+S193+T193)</f>
        <v>2.4634166666666664</v>
      </c>
      <c r="V193" s="58" t="s">
        <v>389</v>
      </c>
      <c r="W193" s="77">
        <f t="shared" si="68"/>
        <v>1</v>
      </c>
      <c r="X193" s="1" t="e">
        <f>VLOOKUP(A193,Data_Echipe!A:R,18,0)</f>
        <v>#N/A</v>
      </c>
      <c r="Z193" s="115">
        <f t="shared" ref="Z193:Z230" si="102">IF(K193&gt;0,1,0)</f>
        <v>0</v>
      </c>
    </row>
    <row r="194" spans="1:26" x14ac:dyDescent="0.3">
      <c r="A194" s="49" t="s">
        <v>124</v>
      </c>
      <c r="B194" s="1" t="str">
        <f>VLOOKUP(A194,Participanti!A:B,2,0)</f>
        <v>M</v>
      </c>
      <c r="C194" s="74">
        <v>3</v>
      </c>
      <c r="D194" s="50">
        <v>38.049999999999997</v>
      </c>
      <c r="E194" s="51">
        <v>0.10415509259259259</v>
      </c>
      <c r="F194" s="51">
        <v>0.10454861111111112</v>
      </c>
      <c r="G194" s="69">
        <f t="shared" si="97"/>
        <v>0.10435185185185186</v>
      </c>
      <c r="H194" s="52">
        <v>247</v>
      </c>
      <c r="I194" s="12">
        <f t="shared" si="98"/>
        <v>2.7424928213364485E-3</v>
      </c>
      <c r="J194" s="37">
        <f t="shared" si="99"/>
        <v>5</v>
      </c>
      <c r="K194" s="37">
        <f>IF(J194=0,0,IF(B194="F",VLOOKUP(I194,Barem!$G$2:$H$16,2,1),VLOOKUP(I194,Barem!$G$17:$H$31,2,1)))</f>
        <v>5</v>
      </c>
      <c r="L194" s="50">
        <v>4</v>
      </c>
      <c r="M194" s="124" t="s">
        <v>106</v>
      </c>
      <c r="N194" s="10">
        <f t="shared" si="96"/>
        <v>0.5</v>
      </c>
      <c r="O194" s="10">
        <f t="shared" si="96"/>
        <v>0.25</v>
      </c>
      <c r="P194" s="10">
        <f t="shared" si="96"/>
        <v>0.25</v>
      </c>
      <c r="Q194" s="40">
        <f t="shared" si="100"/>
        <v>0.16466666666666666</v>
      </c>
      <c r="R194" s="21">
        <f>IF(D194&gt;21,VLOOKUP(D194,Barem!$T$1:$U$141,2,1),0)</f>
        <v>0.8</v>
      </c>
      <c r="S194" s="152">
        <f>IF(D194&lt;1.609,0,IF(B194="F",VLOOKUP(I194,Barem!$X$2:$Z$13,2,1),VLOOKUP(I194,Barem!$X$14:$Z$25,2,1)))</f>
        <v>0.15000000000000002</v>
      </c>
      <c r="T194" s="21">
        <f>VLOOKUP(A194,Participanti!A:C,3,0)</f>
        <v>0</v>
      </c>
      <c r="U194" s="18">
        <f t="shared" si="101"/>
        <v>5.8646666666666665</v>
      </c>
      <c r="V194" s="58" t="s">
        <v>389</v>
      </c>
      <c r="W194" s="77">
        <f t="shared" ref="W194:W257" si="103">COUNTIFS(A:A,A194,C:C,C194)</f>
        <v>1</v>
      </c>
      <c r="X194" s="1" t="str">
        <f>VLOOKUP(A194,Data_Echipe!A:R,18,0)</f>
        <v>#notSYRious</v>
      </c>
      <c r="Z194" s="115">
        <f t="shared" si="102"/>
        <v>1</v>
      </c>
    </row>
    <row r="195" spans="1:26" x14ac:dyDescent="0.3">
      <c r="A195" s="49" t="s">
        <v>59</v>
      </c>
      <c r="B195" s="1" t="str">
        <f>VLOOKUP(A195,Participanti!A:B,2,0)</f>
        <v>M</v>
      </c>
      <c r="C195" s="74">
        <v>3</v>
      </c>
      <c r="D195" s="50">
        <v>9.17</v>
      </c>
      <c r="E195" s="51">
        <v>3.125E-2</v>
      </c>
      <c r="F195" s="51">
        <v>3.1284722222222221E-2</v>
      </c>
      <c r="G195" s="69">
        <f t="shared" si="97"/>
        <v>3.1267361111111114E-2</v>
      </c>
      <c r="H195" s="52">
        <v>19</v>
      </c>
      <c r="I195" s="12">
        <f t="shared" si="98"/>
        <v>3.409744941233491E-3</v>
      </c>
      <c r="J195" s="37">
        <f t="shared" si="99"/>
        <v>2.1833333333333331</v>
      </c>
      <c r="K195" s="37">
        <f>IF(J195=0,0,IF(B195="F",VLOOKUP(I195,Barem!$G$2:$H$16,2,1),VLOOKUP(I195,Barem!$G$17:$H$31,2,1)))</f>
        <v>3</v>
      </c>
      <c r="L195" s="50">
        <v>1.25</v>
      </c>
      <c r="M195" s="124" t="s">
        <v>106</v>
      </c>
      <c r="N195" s="10">
        <f t="shared" si="96"/>
        <v>0.5</v>
      </c>
      <c r="O195" s="10">
        <f t="shared" si="96"/>
        <v>0.25</v>
      </c>
      <c r="P195" s="10">
        <f t="shared" si="96"/>
        <v>0.25</v>
      </c>
      <c r="Q195" s="40">
        <f t="shared" si="100"/>
        <v>0</v>
      </c>
      <c r="R195" s="21">
        <f>IF(D195&gt;21,VLOOKUP(D195,Barem!$T$1:$U$141,2,1),0)</f>
        <v>0</v>
      </c>
      <c r="S195" s="152">
        <f>IF(D195&lt;1.609,0,IF(B195="F",VLOOKUP(I195,Barem!$X$2:$Z$13,2,1),VLOOKUP(I195,Barem!$X$14:$Z$25,2,1)))</f>
        <v>0</v>
      </c>
      <c r="T195" s="21">
        <f>VLOOKUP(A195,Participanti!A:C,3,0)</f>
        <v>0</v>
      </c>
      <c r="U195" s="18">
        <f t="shared" si="101"/>
        <v>2.1541666666666668</v>
      </c>
      <c r="V195" s="58" t="s">
        <v>389</v>
      </c>
      <c r="W195" s="77">
        <f t="shared" si="103"/>
        <v>1</v>
      </c>
      <c r="X195" s="1" t="str">
        <f>VLOOKUP(A195,Data_Echipe!A:R,18,0)</f>
        <v>Almost Kenyan Runners</v>
      </c>
      <c r="Z195" s="115">
        <f t="shared" si="102"/>
        <v>1</v>
      </c>
    </row>
    <row r="196" spans="1:26" x14ac:dyDescent="0.3">
      <c r="A196" s="49" t="s">
        <v>339</v>
      </c>
      <c r="B196" s="1" t="str">
        <f>VLOOKUP(A196,Participanti!A:B,2,0)</f>
        <v>M</v>
      </c>
      <c r="C196" s="74">
        <v>3</v>
      </c>
      <c r="D196" s="50">
        <v>10</v>
      </c>
      <c r="E196" s="51">
        <v>3.7164351851851851E-2</v>
      </c>
      <c r="F196" s="51">
        <v>3.7673611111111109E-2</v>
      </c>
      <c r="G196" s="69">
        <f t="shared" si="97"/>
        <v>3.7418981481481484E-2</v>
      </c>
      <c r="H196" s="52">
        <v>85</v>
      </c>
      <c r="I196" s="12">
        <f t="shared" si="98"/>
        <v>3.7418981481481483E-3</v>
      </c>
      <c r="J196" s="37">
        <f t="shared" si="99"/>
        <v>2.3809523809523809</v>
      </c>
      <c r="K196" s="37">
        <f>IF(J196=0,0,IF(B196="F",VLOOKUP(I196,Barem!$G$2:$H$16,2,1),VLOOKUP(I196,Barem!$G$17:$H$31,2,1)))</f>
        <v>2</v>
      </c>
      <c r="L196" s="50">
        <v>1.5</v>
      </c>
      <c r="M196" s="124" t="s">
        <v>107</v>
      </c>
      <c r="N196" s="10">
        <f t="shared" si="96"/>
        <v>0.25</v>
      </c>
      <c r="O196" s="10">
        <f t="shared" si="96"/>
        <v>0.5</v>
      </c>
      <c r="P196" s="10">
        <f t="shared" si="96"/>
        <v>0.25</v>
      </c>
      <c r="Q196" s="40">
        <f t="shared" si="100"/>
        <v>5.6666666666666664E-2</v>
      </c>
      <c r="R196" s="21">
        <f>IF(D196&gt;21,VLOOKUP(D196,Barem!$T$1:$U$141,2,1),0)</f>
        <v>0</v>
      </c>
      <c r="S196" s="152">
        <f>IF(D196&lt;1.609,0,IF(B196="F",VLOOKUP(I196,Barem!$X$2:$Z$13,2,1),VLOOKUP(I196,Barem!$X$14:$Z$25,2,1)))</f>
        <v>0</v>
      </c>
      <c r="T196" s="21">
        <f>VLOOKUP(A196,Participanti!A:C,3,0)</f>
        <v>0</v>
      </c>
      <c r="U196" s="18">
        <f t="shared" si="101"/>
        <v>2.026904761904762</v>
      </c>
      <c r="V196" s="58" t="s">
        <v>389</v>
      </c>
      <c r="W196" s="77">
        <f t="shared" si="103"/>
        <v>1</v>
      </c>
      <c r="X196" s="1" t="str">
        <f>VLOOKUP(A196,Data_Echipe!A:R,18,0)</f>
        <v>MedgidiaRunning</v>
      </c>
      <c r="Z196" s="115">
        <f t="shared" si="102"/>
        <v>1</v>
      </c>
    </row>
    <row r="197" spans="1:26" x14ac:dyDescent="0.3">
      <c r="A197" s="49" t="s">
        <v>204</v>
      </c>
      <c r="B197" s="1" t="str">
        <f>VLOOKUP(A197,Participanti!A:B,2,0)</f>
        <v>M</v>
      </c>
      <c r="C197" s="74">
        <v>3</v>
      </c>
      <c r="D197" s="50">
        <v>7.18</v>
      </c>
      <c r="E197" s="51">
        <v>2.3935185185185184E-2</v>
      </c>
      <c r="F197" s="51">
        <v>2.4513888888888887E-2</v>
      </c>
      <c r="G197" s="69">
        <f t="shared" si="97"/>
        <v>2.4224537037037037E-2</v>
      </c>
      <c r="H197" s="52"/>
      <c r="I197" s="12">
        <f t="shared" si="98"/>
        <v>3.3738909522335707E-3</v>
      </c>
      <c r="J197" s="37">
        <f t="shared" si="99"/>
        <v>1.7095238095238094</v>
      </c>
      <c r="K197" s="37">
        <f>IF(J197=0,0,IF(B197="F",VLOOKUP(I197,Barem!$G$2:$H$16,2,1),VLOOKUP(I197,Barem!$G$17:$H$31,2,1)))</f>
        <v>3</v>
      </c>
      <c r="L197" s="50">
        <v>2</v>
      </c>
      <c r="M197" s="124" t="s">
        <v>107</v>
      </c>
      <c r="N197" s="10">
        <f t="shared" si="96"/>
        <v>0.25</v>
      </c>
      <c r="O197" s="10">
        <f t="shared" si="96"/>
        <v>0.5</v>
      </c>
      <c r="P197" s="10">
        <f t="shared" si="96"/>
        <v>0.25</v>
      </c>
      <c r="Q197" s="40">
        <f t="shared" si="100"/>
        <v>0</v>
      </c>
      <c r="R197" s="21">
        <f>IF(D197&gt;21,VLOOKUP(D197,Barem!$T$1:$U$141,2,1),0)</f>
        <v>0</v>
      </c>
      <c r="S197" s="152">
        <f>IF(D197&lt;1.609,0,IF(B197="F",VLOOKUP(I197,Barem!$X$2:$Z$13,2,1),VLOOKUP(I197,Barem!$X$14:$Z$25,2,1)))</f>
        <v>0</v>
      </c>
      <c r="T197" s="21">
        <f>VLOOKUP(A197,Participanti!A:C,3,0)</f>
        <v>0</v>
      </c>
      <c r="U197" s="18">
        <f t="shared" si="101"/>
        <v>2.4273809523809522</v>
      </c>
      <c r="V197" s="58" t="s">
        <v>389</v>
      </c>
      <c r="W197" s="77">
        <f t="shared" si="103"/>
        <v>1</v>
      </c>
      <c r="X197" s="1" t="e">
        <f>VLOOKUP(A197,Data_Echipe!A:R,18,0)</f>
        <v>#N/A</v>
      </c>
      <c r="Z197" s="115">
        <f t="shared" si="102"/>
        <v>1</v>
      </c>
    </row>
    <row r="198" spans="1:26" x14ac:dyDescent="0.3">
      <c r="A198" s="49" t="s">
        <v>356</v>
      </c>
      <c r="B198" s="1" t="str">
        <f>VLOOKUP(A198,Participanti!A:B,2,0)</f>
        <v>M</v>
      </c>
      <c r="C198" s="74">
        <v>3</v>
      </c>
      <c r="D198" s="50">
        <v>12.02</v>
      </c>
      <c r="E198" s="51">
        <v>4.7650462962962964E-2</v>
      </c>
      <c r="F198" s="51">
        <v>4.9363425925925929E-2</v>
      </c>
      <c r="G198" s="69">
        <f t="shared" si="97"/>
        <v>4.850694444444445E-2</v>
      </c>
      <c r="H198" s="52">
        <v>88</v>
      </c>
      <c r="I198" s="12">
        <f t="shared" si="98"/>
        <v>4.0355195045294881E-3</v>
      </c>
      <c r="J198" s="37">
        <f t="shared" si="99"/>
        <v>2.8619047619047615</v>
      </c>
      <c r="K198" s="37">
        <f>IF(J198=0,0,IF(B198="F",VLOOKUP(I198,Barem!$G$2:$H$16,2,1),VLOOKUP(I198,Barem!$G$17:$H$31,2,1)))</f>
        <v>1.5</v>
      </c>
      <c r="L198" s="50">
        <v>3.75</v>
      </c>
      <c r="M198" s="124" t="s">
        <v>207</v>
      </c>
      <c r="N198" s="10">
        <f t="shared" ref="N198:P231" si="104">IF($M198=N$1,50%,25%)</f>
        <v>0.25</v>
      </c>
      <c r="O198" s="10">
        <f t="shared" si="104"/>
        <v>0.25</v>
      </c>
      <c r="P198" s="10">
        <f t="shared" si="104"/>
        <v>0.5</v>
      </c>
      <c r="Q198" s="40">
        <f t="shared" si="100"/>
        <v>5.8666666666666666E-2</v>
      </c>
      <c r="R198" s="21">
        <f>IF(D198&gt;21,VLOOKUP(D198,Barem!$T$1:$U$141,2,1),0)</f>
        <v>0</v>
      </c>
      <c r="S198" s="152">
        <f>IF(D198&lt;1.609,0,IF(B198="F",VLOOKUP(I198,Barem!$X$2:$Z$13,2,1),VLOOKUP(I198,Barem!$X$14:$Z$25,2,1)))</f>
        <v>0</v>
      </c>
      <c r="T198" s="21">
        <f>VLOOKUP(A198,Participanti!A:C,3,0)</f>
        <v>0</v>
      </c>
      <c r="U198" s="18">
        <f t="shared" si="101"/>
        <v>3.024142857142857</v>
      </c>
      <c r="V198" s="58" t="s">
        <v>389</v>
      </c>
      <c r="W198" s="77">
        <f t="shared" si="103"/>
        <v>1</v>
      </c>
      <c r="X198" s="1" t="str">
        <f>VLOOKUP(A198,Data_Echipe!A:R,18,0)</f>
        <v>MedgidiaRunning</v>
      </c>
      <c r="Z198" s="115">
        <f t="shared" si="102"/>
        <v>1</v>
      </c>
    </row>
    <row r="199" spans="1:26" x14ac:dyDescent="0.3">
      <c r="A199" s="49" t="s">
        <v>252</v>
      </c>
      <c r="B199" s="1" t="str">
        <f>VLOOKUP(A199,Participanti!A:B,2,0)</f>
        <v>M</v>
      </c>
      <c r="C199" s="74">
        <v>3</v>
      </c>
      <c r="D199" s="50">
        <v>26.1</v>
      </c>
      <c r="E199" s="51">
        <v>9.9502314814814821E-2</v>
      </c>
      <c r="F199" s="51">
        <v>0.10008101851851851</v>
      </c>
      <c r="G199" s="69">
        <f t="shared" si="97"/>
        <v>9.9791666666666667E-2</v>
      </c>
      <c r="H199" s="52">
        <v>239</v>
      </c>
      <c r="I199" s="12">
        <f t="shared" si="98"/>
        <v>3.8234355044699871E-3</v>
      </c>
      <c r="J199" s="37">
        <f t="shared" si="99"/>
        <v>5</v>
      </c>
      <c r="K199" s="37">
        <f>IF(J199=0,0,IF(B199="F",VLOOKUP(I199,Barem!$G$2:$H$16,2,1),VLOOKUP(I199,Barem!$G$17:$H$31,2,1)))</f>
        <v>2</v>
      </c>
      <c r="L199" s="50">
        <v>2.25</v>
      </c>
      <c r="M199" s="124" t="s">
        <v>106</v>
      </c>
      <c r="N199" s="10">
        <f t="shared" si="104"/>
        <v>0.5</v>
      </c>
      <c r="O199" s="10">
        <f t="shared" si="104"/>
        <v>0.25</v>
      </c>
      <c r="P199" s="10">
        <f t="shared" si="104"/>
        <v>0.25</v>
      </c>
      <c r="Q199" s="40">
        <f t="shared" si="100"/>
        <v>0.15933333333333333</v>
      </c>
      <c r="R199" s="21">
        <f>IF(D199&gt;21,VLOOKUP(D199,Barem!$T$1:$U$141,2,1),0)</f>
        <v>0.2</v>
      </c>
      <c r="S199" s="152">
        <f>IF(D199&lt;1.609,0,IF(B199="F",VLOOKUP(I199,Barem!$X$2:$Z$13,2,1),VLOOKUP(I199,Barem!$X$14:$Z$25,2,1)))</f>
        <v>0</v>
      </c>
      <c r="T199" s="21">
        <f>VLOOKUP(A199,Participanti!A:C,3,0)</f>
        <v>0</v>
      </c>
      <c r="U199" s="18">
        <f t="shared" si="101"/>
        <v>3.9218333333333337</v>
      </c>
      <c r="V199" s="58" t="s">
        <v>389</v>
      </c>
      <c r="W199" s="77">
        <f t="shared" si="103"/>
        <v>1</v>
      </c>
      <c r="X199" s="1" t="str">
        <f>VLOOKUP(A199,Data_Echipe!A:R,18,0)</f>
        <v>UltraHaita lu' Borcan</v>
      </c>
      <c r="Z199" s="115">
        <f t="shared" si="102"/>
        <v>1</v>
      </c>
    </row>
    <row r="200" spans="1:26" x14ac:dyDescent="0.3">
      <c r="A200" s="49" t="s">
        <v>390</v>
      </c>
      <c r="B200" s="1" t="str">
        <f>VLOOKUP(A200,Participanti!A:B,2,0)</f>
        <v>F</v>
      </c>
      <c r="C200" s="74">
        <v>3</v>
      </c>
      <c r="D200" s="50">
        <v>10.28</v>
      </c>
      <c r="E200" s="51">
        <v>6.1122685185185183E-2</v>
      </c>
      <c r="F200" s="51">
        <v>6.9999999999999993E-2</v>
      </c>
      <c r="G200" s="69">
        <f t="shared" si="97"/>
        <v>6.5561342592592581E-2</v>
      </c>
      <c r="H200" s="52">
        <v>371</v>
      </c>
      <c r="I200" s="12">
        <f t="shared" si="98"/>
        <v>6.3775625090070611E-3</v>
      </c>
      <c r="J200" s="37">
        <f t="shared" si="99"/>
        <v>2.57</v>
      </c>
      <c r="K200" s="37">
        <f>IF(J200=0,0,IF(B200="F",VLOOKUP(I200,Barem!$G$2:$H$16,2,1),VLOOKUP(I200,Barem!$G$17:$H$31,2,1)))</f>
        <v>0</v>
      </c>
      <c r="L200" s="50">
        <v>3.5</v>
      </c>
      <c r="M200" s="124" t="s">
        <v>207</v>
      </c>
      <c r="N200" s="10">
        <f t="shared" si="104"/>
        <v>0.25</v>
      </c>
      <c r="O200" s="10">
        <f t="shared" si="104"/>
        <v>0.25</v>
      </c>
      <c r="P200" s="10">
        <f t="shared" si="104"/>
        <v>0.5</v>
      </c>
      <c r="Q200" s="40">
        <f t="shared" si="100"/>
        <v>0.24733333333333332</v>
      </c>
      <c r="R200" s="21">
        <f>IF(D200&gt;21,VLOOKUP(D200,Barem!$T$1:$U$141,2,1),0)</f>
        <v>0</v>
      </c>
      <c r="S200" s="152">
        <f>IF(D200&lt;1.609,0,IF(B200="F",VLOOKUP(I200,Barem!$X$2:$Z$13,2,1),VLOOKUP(I200,Barem!$X$14:$Z$25,2,1)))</f>
        <v>0</v>
      </c>
      <c r="T200" s="21">
        <f>VLOOKUP(A200,Participanti!A:C,3,0)</f>
        <v>0</v>
      </c>
      <c r="U200" s="18">
        <f t="shared" si="101"/>
        <v>2.6398333333333333</v>
      </c>
      <c r="V200" s="58" t="s">
        <v>389</v>
      </c>
      <c r="W200" s="77">
        <f t="shared" si="103"/>
        <v>1</v>
      </c>
      <c r="X200" s="1" t="str">
        <f>VLOOKUP(A200,Data_Echipe!A:R,18,0)</f>
        <v>#notSYRious</v>
      </c>
      <c r="Z200" s="115">
        <f t="shared" si="102"/>
        <v>0</v>
      </c>
    </row>
    <row r="201" spans="1:26" x14ac:dyDescent="0.3">
      <c r="A201" s="49" t="s">
        <v>345</v>
      </c>
      <c r="B201" s="1" t="str">
        <f>VLOOKUP(A201,Participanti!A:B,2,0)</f>
        <v>F</v>
      </c>
      <c r="C201" s="74">
        <v>3</v>
      </c>
      <c r="D201" s="50">
        <v>10.75</v>
      </c>
      <c r="E201" s="51">
        <v>3.8900462962962963E-2</v>
      </c>
      <c r="F201" s="51">
        <v>3.8900462962962963E-2</v>
      </c>
      <c r="G201" s="69">
        <f t="shared" si="97"/>
        <v>3.8900462962962963E-2</v>
      </c>
      <c r="H201" s="52">
        <v>43</v>
      </c>
      <c r="I201" s="12">
        <f t="shared" si="98"/>
        <v>3.6186477174849269E-3</v>
      </c>
      <c r="J201" s="37">
        <f t="shared" si="99"/>
        <v>2.6875</v>
      </c>
      <c r="K201" s="37">
        <f>IF(J201=0,0,IF(B201="F",VLOOKUP(I201,Barem!$G$2:$H$16,2,1),VLOOKUP(I201,Barem!$G$17:$H$31,2,1)))</f>
        <v>3.5</v>
      </c>
      <c r="L201" s="50">
        <v>3</v>
      </c>
      <c r="M201" s="124" t="s">
        <v>207</v>
      </c>
      <c r="N201" s="10">
        <f t="shared" si="104"/>
        <v>0.25</v>
      </c>
      <c r="O201" s="10">
        <f t="shared" si="104"/>
        <v>0.25</v>
      </c>
      <c r="P201" s="10">
        <f t="shared" si="104"/>
        <v>0.5</v>
      </c>
      <c r="Q201" s="40">
        <f t="shared" si="100"/>
        <v>0</v>
      </c>
      <c r="R201" s="21">
        <f>IF(D201&gt;21,VLOOKUP(D201,Barem!$T$1:$U$141,2,1),0)</f>
        <v>0</v>
      </c>
      <c r="S201" s="152">
        <f>IF(D201&lt;1.609,0,IF(B201="F",VLOOKUP(I201,Barem!$X$2:$Z$13,2,1),VLOOKUP(I201,Barem!$X$14:$Z$25,2,1)))</f>
        <v>0</v>
      </c>
      <c r="T201" s="21">
        <f>VLOOKUP(A201,Participanti!A:C,3,0)</f>
        <v>0</v>
      </c>
      <c r="U201" s="18">
        <f t="shared" si="101"/>
        <v>3.046875</v>
      </c>
      <c r="V201" s="58" t="s">
        <v>389</v>
      </c>
      <c r="W201" s="77">
        <f t="shared" si="103"/>
        <v>1</v>
      </c>
      <c r="X201" s="1" t="str">
        <f>VLOOKUP(A201,Data_Echipe!A:R,18,0)</f>
        <v>MedgidiaRunning</v>
      </c>
      <c r="Z201" s="115">
        <f t="shared" si="102"/>
        <v>1</v>
      </c>
    </row>
    <row r="202" spans="1:26" x14ac:dyDescent="0.3">
      <c r="A202" s="49" t="s">
        <v>358</v>
      </c>
      <c r="B202" s="1" t="str">
        <f>VLOOKUP(A202,Participanti!A:B,2,0)</f>
        <v>F</v>
      </c>
      <c r="C202" s="74">
        <v>3</v>
      </c>
      <c r="D202" s="50">
        <v>19.32</v>
      </c>
      <c r="E202" s="51">
        <v>0.13670138888888889</v>
      </c>
      <c r="F202" s="51">
        <v>0.14216435185185186</v>
      </c>
      <c r="G202" s="69">
        <f t="shared" si="97"/>
        <v>0.13943287037037039</v>
      </c>
      <c r="H202" s="52">
        <v>521</v>
      </c>
      <c r="I202" s="12">
        <f t="shared" si="98"/>
        <v>7.2170222758990883E-3</v>
      </c>
      <c r="J202" s="37">
        <f t="shared" si="99"/>
        <v>4.83</v>
      </c>
      <c r="K202" s="37">
        <f>IF(J202=0,0,IF(B202="F",VLOOKUP(I202,Barem!$G$2:$H$16,2,1),VLOOKUP(I202,Barem!$G$17:$H$31,2,1)))</f>
        <v>0</v>
      </c>
      <c r="L202" s="50">
        <v>1.75</v>
      </c>
      <c r="M202" s="124" t="s">
        <v>106</v>
      </c>
      <c r="N202" s="10">
        <f t="shared" si="104"/>
        <v>0.5</v>
      </c>
      <c r="O202" s="10">
        <f t="shared" si="104"/>
        <v>0.25</v>
      </c>
      <c r="P202" s="10">
        <f t="shared" si="104"/>
        <v>0.25</v>
      </c>
      <c r="Q202" s="40">
        <f t="shared" si="100"/>
        <v>0.34733333333333333</v>
      </c>
      <c r="R202" s="21">
        <f>IF(D202&gt;21,VLOOKUP(D202,Barem!$T$1:$U$141,2,1),0)</f>
        <v>0</v>
      </c>
      <c r="S202" s="152">
        <f>IF(D202&lt;1.609,0,IF(B202="F",VLOOKUP(I202,Barem!$X$2:$Z$13,2,1),VLOOKUP(I202,Barem!$X$14:$Z$25,2,1)))</f>
        <v>0</v>
      </c>
      <c r="T202" s="21">
        <f>VLOOKUP(A202,Participanti!A:C,3,0)</f>
        <v>0</v>
      </c>
      <c r="U202" s="18">
        <f t="shared" si="101"/>
        <v>3.1998333333333333</v>
      </c>
      <c r="V202" s="58" t="s">
        <v>389</v>
      </c>
      <c r="W202" s="77">
        <f t="shared" si="103"/>
        <v>1</v>
      </c>
      <c r="X202" s="1" t="str">
        <f>VLOOKUP(A202,Data_Echipe!A:R,18,0)</f>
        <v>#notSYRious</v>
      </c>
      <c r="Z202" s="115">
        <f t="shared" si="102"/>
        <v>0</v>
      </c>
    </row>
    <row r="203" spans="1:26" x14ac:dyDescent="0.3">
      <c r="A203" s="49" t="s">
        <v>331</v>
      </c>
      <c r="B203" s="1" t="str">
        <f>VLOOKUP(A203,Participanti!A:B,2,0)</f>
        <v>F</v>
      </c>
      <c r="C203" s="74">
        <v>3</v>
      </c>
      <c r="D203" s="50">
        <v>10.74</v>
      </c>
      <c r="E203" s="51">
        <v>4.5659722222222227E-2</v>
      </c>
      <c r="F203" s="51">
        <v>4.5694444444444447E-2</v>
      </c>
      <c r="G203" s="69">
        <f t="shared" si="97"/>
        <v>4.567708333333334E-2</v>
      </c>
      <c r="H203" s="52">
        <v>47</v>
      </c>
      <c r="I203" s="12">
        <f t="shared" si="98"/>
        <v>4.252987274984482E-3</v>
      </c>
      <c r="J203" s="37">
        <f t="shared" si="99"/>
        <v>2.6850000000000001</v>
      </c>
      <c r="K203" s="37">
        <f>IF(J203=0,0,IF(B203="F",VLOOKUP(I203,Barem!$G$2:$H$16,2,1),VLOOKUP(I203,Barem!$G$17:$H$31,2,1)))</f>
        <v>1.75</v>
      </c>
      <c r="L203" s="50">
        <v>3.75</v>
      </c>
      <c r="M203" s="124" t="s">
        <v>207</v>
      </c>
      <c r="N203" s="10">
        <f t="shared" si="104"/>
        <v>0.25</v>
      </c>
      <c r="O203" s="10">
        <f t="shared" si="104"/>
        <v>0.25</v>
      </c>
      <c r="P203" s="10">
        <f t="shared" si="104"/>
        <v>0.5</v>
      </c>
      <c r="Q203" s="40">
        <f t="shared" si="100"/>
        <v>0</v>
      </c>
      <c r="R203" s="21">
        <f>IF(D203&gt;21,VLOOKUP(D203,Barem!$T$1:$U$141,2,1),0)</f>
        <v>0</v>
      </c>
      <c r="S203" s="152">
        <f>IF(D203&lt;1.609,0,IF(B203="F",VLOOKUP(I203,Barem!$X$2:$Z$13,2,1),VLOOKUP(I203,Barem!$X$14:$Z$25,2,1)))</f>
        <v>0</v>
      </c>
      <c r="T203" s="21">
        <f>VLOOKUP(A203,Participanti!A:C,3,0)</f>
        <v>0</v>
      </c>
      <c r="U203" s="18">
        <f t="shared" si="101"/>
        <v>2.9837500000000001</v>
      </c>
      <c r="V203" s="58" t="s">
        <v>389</v>
      </c>
      <c r="W203" s="77">
        <f t="shared" si="103"/>
        <v>1</v>
      </c>
      <c r="X203" s="1" t="str">
        <f>VLOOKUP(A203,Data_Echipe!A:R,18,0)</f>
        <v>MedgidiaRunning</v>
      </c>
      <c r="Z203" s="115">
        <f t="shared" si="102"/>
        <v>1</v>
      </c>
    </row>
    <row r="204" spans="1:26" x14ac:dyDescent="0.3">
      <c r="A204" s="49" t="s">
        <v>303</v>
      </c>
      <c r="B204" s="1" t="str">
        <f>VLOOKUP(A204,Participanti!A:B,2,0)</f>
        <v>F</v>
      </c>
      <c r="C204" s="74">
        <v>3</v>
      </c>
      <c r="D204" s="50">
        <v>9.7799999999999994</v>
      </c>
      <c r="E204" s="51">
        <v>5.4293981481481485E-2</v>
      </c>
      <c r="F204" s="51">
        <v>5.6423611111111112E-2</v>
      </c>
      <c r="G204" s="69">
        <f t="shared" si="97"/>
        <v>5.5358796296296295E-2</v>
      </c>
      <c r="H204" s="52">
        <v>369</v>
      </c>
      <c r="I204" s="12">
        <f t="shared" si="98"/>
        <v>5.6604086192532004E-3</v>
      </c>
      <c r="J204" s="37">
        <f t="shared" si="99"/>
        <v>2.4449999999999998</v>
      </c>
      <c r="K204" s="37">
        <f>IF(J204=0,0,IF(B204="F",VLOOKUP(I204,Barem!$G$2:$H$16,2,1),VLOOKUP(I204,Barem!$G$17:$H$31,2,1)))</f>
        <v>0.25</v>
      </c>
      <c r="L204" s="50">
        <v>2</v>
      </c>
      <c r="M204" s="124" t="s">
        <v>207</v>
      </c>
      <c r="N204" s="10">
        <f t="shared" si="104"/>
        <v>0.25</v>
      </c>
      <c r="O204" s="10">
        <f t="shared" si="104"/>
        <v>0.25</v>
      </c>
      <c r="P204" s="10">
        <f t="shared" si="104"/>
        <v>0.5</v>
      </c>
      <c r="Q204" s="40">
        <f t="shared" si="100"/>
        <v>0.246</v>
      </c>
      <c r="R204" s="21">
        <f>IF(D204&gt;21,VLOOKUP(D204,Barem!$T$1:$U$141,2,1),0)</f>
        <v>0</v>
      </c>
      <c r="S204" s="152">
        <f>IF(D204&lt;1.609,0,IF(B204="F",VLOOKUP(I204,Barem!$X$2:$Z$13,2,1),VLOOKUP(I204,Barem!$X$14:$Z$25,2,1)))</f>
        <v>0</v>
      </c>
      <c r="T204" s="21">
        <f>VLOOKUP(A204,Participanti!A:C,3,0)</f>
        <v>0</v>
      </c>
      <c r="U204" s="18">
        <f t="shared" si="101"/>
        <v>1.9197500000000001</v>
      </c>
      <c r="V204" s="58" t="s">
        <v>389</v>
      </c>
      <c r="W204" s="77">
        <f t="shared" si="103"/>
        <v>1</v>
      </c>
      <c r="X204" s="1" t="e">
        <f>VLOOKUP(A204,Data_Echipe!A:R,18,0)</f>
        <v>#N/A</v>
      </c>
      <c r="Z204" s="115">
        <f t="shared" si="102"/>
        <v>1</v>
      </c>
    </row>
    <row r="205" spans="1:26" x14ac:dyDescent="0.3">
      <c r="A205" s="49" t="s">
        <v>346</v>
      </c>
      <c r="B205" s="1" t="str">
        <f>VLOOKUP(A205,Participanti!A:B,2,0)</f>
        <v>M</v>
      </c>
      <c r="C205" s="74">
        <v>3</v>
      </c>
      <c r="D205" s="50">
        <v>42.31</v>
      </c>
      <c r="E205" s="51">
        <v>0.1545138888888889</v>
      </c>
      <c r="F205" s="51">
        <v>0.16105324074074073</v>
      </c>
      <c r="G205" s="69">
        <f t="shared" si="97"/>
        <v>0.15778356481481481</v>
      </c>
      <c r="H205" s="52">
        <v>104</v>
      </c>
      <c r="I205" s="12">
        <f t="shared" si="98"/>
        <v>3.7292263014609976E-3</v>
      </c>
      <c r="J205" s="37">
        <f t="shared" si="99"/>
        <v>5</v>
      </c>
      <c r="K205" s="37">
        <f>IF(J205=0,0,IF(B205="F",VLOOKUP(I205,Barem!$G$2:$H$16,2,1),VLOOKUP(I205,Barem!$G$17:$H$31,2,1)))</f>
        <v>2</v>
      </c>
      <c r="L205" s="50">
        <v>1.5</v>
      </c>
      <c r="M205" s="124" t="s">
        <v>106</v>
      </c>
      <c r="N205" s="10">
        <f t="shared" si="104"/>
        <v>0.5</v>
      </c>
      <c r="O205" s="10">
        <f t="shared" si="104"/>
        <v>0.25</v>
      </c>
      <c r="P205" s="10">
        <f t="shared" si="104"/>
        <v>0.25</v>
      </c>
      <c r="Q205" s="40">
        <f t="shared" si="100"/>
        <v>6.933333333333333E-2</v>
      </c>
      <c r="R205" s="21">
        <f>IF(D205&gt;21,VLOOKUP(D205,Barem!$T$1:$U$141,2,1),0)</f>
        <v>1</v>
      </c>
      <c r="S205" s="152">
        <f>IF(D205&lt;1.609,0,IF(B205="F",VLOOKUP(I205,Barem!$X$2:$Z$13,2,1),VLOOKUP(I205,Barem!$X$14:$Z$25,2,1)))</f>
        <v>0</v>
      </c>
      <c r="T205" s="21">
        <f>VLOOKUP(A205,Participanti!A:C,3,0)</f>
        <v>0</v>
      </c>
      <c r="U205" s="18">
        <f t="shared" si="101"/>
        <v>4.4443333333333328</v>
      </c>
      <c r="V205" s="58" t="s">
        <v>389</v>
      </c>
      <c r="W205" s="77">
        <f t="shared" si="103"/>
        <v>1</v>
      </c>
      <c r="X205" s="1" t="str">
        <f>VLOOKUP(A205,Data_Echipe!A:R,18,0)</f>
        <v>UltraHaita lu' Borcan</v>
      </c>
      <c r="Z205" s="115">
        <f t="shared" si="102"/>
        <v>1</v>
      </c>
    </row>
    <row r="206" spans="1:26" x14ac:dyDescent="0.3">
      <c r="A206" s="49" t="s">
        <v>288</v>
      </c>
      <c r="B206" s="1" t="str">
        <f>VLOOKUP(A206,Participanti!A:B,2,0)</f>
        <v>M</v>
      </c>
      <c r="C206" s="74">
        <v>3</v>
      </c>
      <c r="D206" s="50">
        <v>10.89</v>
      </c>
      <c r="E206" s="51">
        <v>3.6388888888888887E-2</v>
      </c>
      <c r="F206" s="51">
        <v>3.6770833333333336E-2</v>
      </c>
      <c r="G206" s="69">
        <f t="shared" si="97"/>
        <v>3.6579861111111112E-2</v>
      </c>
      <c r="H206" s="52">
        <v>47</v>
      </c>
      <c r="I206" s="12">
        <f t="shared" si="98"/>
        <v>3.3590322416079989E-3</v>
      </c>
      <c r="J206" s="37">
        <f t="shared" si="99"/>
        <v>2.592857142857143</v>
      </c>
      <c r="K206" s="37">
        <f>IF(J206=0,0,IF(B206="F",VLOOKUP(I206,Barem!$G$2:$H$16,2,1),VLOOKUP(I206,Barem!$G$17:$H$31,2,1)))</f>
        <v>3</v>
      </c>
      <c r="L206" s="50">
        <v>1.5</v>
      </c>
      <c r="M206" s="124" t="s">
        <v>207</v>
      </c>
      <c r="N206" s="10">
        <f t="shared" si="104"/>
        <v>0.25</v>
      </c>
      <c r="O206" s="10">
        <f t="shared" si="104"/>
        <v>0.25</v>
      </c>
      <c r="P206" s="10">
        <f t="shared" si="104"/>
        <v>0.5</v>
      </c>
      <c r="Q206" s="40">
        <f t="shared" si="100"/>
        <v>0</v>
      </c>
      <c r="R206" s="21">
        <f>IF(D206&gt;21,VLOOKUP(D206,Barem!$T$1:$U$141,2,1),0)</f>
        <v>0</v>
      </c>
      <c r="S206" s="152">
        <f>IF(D206&lt;1.609,0,IF(B206="F",VLOOKUP(I206,Barem!$X$2:$Z$13,2,1),VLOOKUP(I206,Barem!$X$14:$Z$25,2,1)))</f>
        <v>0</v>
      </c>
      <c r="T206" s="21">
        <f>VLOOKUP(A206,Participanti!A:C,3,0)</f>
        <v>0</v>
      </c>
      <c r="U206" s="18">
        <f t="shared" si="101"/>
        <v>2.1482142857142859</v>
      </c>
      <c r="V206" s="58" t="s">
        <v>391</v>
      </c>
      <c r="W206" s="77">
        <f t="shared" si="103"/>
        <v>1</v>
      </c>
      <c r="X206" s="1" t="e">
        <f>VLOOKUP(A206,Data_Echipe!A:R,18,0)</f>
        <v>#N/A</v>
      </c>
      <c r="Z206" s="115">
        <f t="shared" si="102"/>
        <v>1</v>
      </c>
    </row>
    <row r="207" spans="1:26" x14ac:dyDescent="0.3">
      <c r="A207" s="49" t="s">
        <v>108</v>
      </c>
      <c r="B207" s="1" t="str">
        <f>VLOOKUP(A207,Participanti!A:B,2,0)</f>
        <v>M</v>
      </c>
      <c r="C207" s="74">
        <v>3</v>
      </c>
      <c r="D207" s="50">
        <v>19.89</v>
      </c>
      <c r="E207" s="51">
        <v>0.10674768518518518</v>
      </c>
      <c r="F207" s="51">
        <v>0.10870370370370371</v>
      </c>
      <c r="G207" s="69">
        <f t="shared" si="97"/>
        <v>0.10772569444444444</v>
      </c>
      <c r="H207" s="52">
        <v>774</v>
      </c>
      <c r="I207" s="12">
        <f t="shared" si="98"/>
        <v>5.4160731244064569E-3</v>
      </c>
      <c r="J207" s="37">
        <f t="shared" si="99"/>
        <v>4.7357142857142858</v>
      </c>
      <c r="K207" s="37">
        <f>IF(J207=0,0,IF(B207="F",VLOOKUP(I207,Barem!$G$2:$H$16,2,1),VLOOKUP(I207,Barem!$G$17:$H$31,2,1)))</f>
        <v>0.25</v>
      </c>
      <c r="L207" s="50">
        <v>4.25</v>
      </c>
      <c r="M207" s="124" t="s">
        <v>207</v>
      </c>
      <c r="N207" s="10">
        <f t="shared" si="104"/>
        <v>0.25</v>
      </c>
      <c r="O207" s="10">
        <f t="shared" si="104"/>
        <v>0.25</v>
      </c>
      <c r="P207" s="10">
        <f t="shared" si="104"/>
        <v>0.5</v>
      </c>
      <c r="Q207" s="40">
        <f t="shared" si="100"/>
        <v>0.51600000000000001</v>
      </c>
      <c r="R207" s="21">
        <f>IF(D207&gt;21,VLOOKUP(D207,Barem!$T$1:$U$141,2,1),0)</f>
        <v>0</v>
      </c>
      <c r="S207" s="152">
        <f>IF(D207&lt;1.609,0,IF(B207="F",VLOOKUP(I207,Barem!$X$2:$Z$13,2,1),VLOOKUP(I207,Barem!$X$14:$Z$25,2,1)))</f>
        <v>0</v>
      </c>
      <c r="T207" s="21">
        <f>VLOOKUP(A207,Participanti!A:C,3,0)</f>
        <v>0</v>
      </c>
      <c r="U207" s="18">
        <f t="shared" si="101"/>
        <v>3.8874285714285715</v>
      </c>
      <c r="V207" s="58" t="s">
        <v>391</v>
      </c>
      <c r="W207" s="77">
        <f t="shared" si="103"/>
        <v>1</v>
      </c>
      <c r="X207" s="1" t="str">
        <f>VLOOKUP(A207,Data_Echipe!A:R,18,0)</f>
        <v>UltraHaita lu' Borcan</v>
      </c>
      <c r="Z207" s="115">
        <f t="shared" si="102"/>
        <v>1</v>
      </c>
    </row>
    <row r="208" spans="1:26" x14ac:dyDescent="0.3">
      <c r="A208" s="49" t="s">
        <v>275</v>
      </c>
      <c r="B208" s="1" t="str">
        <f>VLOOKUP(A208,Participanti!A:B,2,0)</f>
        <v>M</v>
      </c>
      <c r="C208" s="74">
        <v>3</v>
      </c>
      <c r="D208" s="50">
        <v>19.920000000000002</v>
      </c>
      <c r="E208" s="51">
        <v>0.10366898148148147</v>
      </c>
      <c r="F208" s="51">
        <v>0.10662037037037037</v>
      </c>
      <c r="G208" s="69">
        <f t="shared" si="97"/>
        <v>0.10514467592592591</v>
      </c>
      <c r="H208" s="52">
        <v>767</v>
      </c>
      <c r="I208" s="12">
        <f t="shared" si="98"/>
        <v>5.2783471850364411E-3</v>
      </c>
      <c r="J208" s="37">
        <f t="shared" si="99"/>
        <v>4.7428571428571429</v>
      </c>
      <c r="K208" s="37">
        <f>IF(J208=0,0,IF(B208="F",VLOOKUP(I208,Barem!$G$2:$H$16,2,1),VLOOKUP(I208,Barem!$G$17:$H$31,2,1)))</f>
        <v>0.25</v>
      </c>
      <c r="L208" s="50">
        <v>1.5</v>
      </c>
      <c r="M208" s="124" t="s">
        <v>106</v>
      </c>
      <c r="N208" s="10">
        <f t="shared" si="104"/>
        <v>0.5</v>
      </c>
      <c r="O208" s="10">
        <f t="shared" si="104"/>
        <v>0.25</v>
      </c>
      <c r="P208" s="10">
        <f t="shared" si="104"/>
        <v>0.25</v>
      </c>
      <c r="Q208" s="40">
        <f t="shared" si="100"/>
        <v>0.51133333333333331</v>
      </c>
      <c r="R208" s="21">
        <f>IF(D208&gt;21,VLOOKUP(D208,Barem!$T$1:$U$141,2,1),0)</f>
        <v>0</v>
      </c>
      <c r="S208" s="152">
        <f>IF(D208&lt;1.609,0,IF(B208="F",VLOOKUP(I208,Barem!$X$2:$Z$13,2,1),VLOOKUP(I208,Barem!$X$14:$Z$25,2,1)))</f>
        <v>0</v>
      </c>
      <c r="T208" s="21">
        <f>VLOOKUP(A208,Participanti!A:C,3,0)</f>
        <v>0</v>
      </c>
      <c r="U208" s="18">
        <f t="shared" si="101"/>
        <v>3.3202619047619049</v>
      </c>
      <c r="V208" s="58" t="s">
        <v>391</v>
      </c>
      <c r="W208" s="77">
        <f t="shared" si="103"/>
        <v>1</v>
      </c>
      <c r="X208" s="1" t="e">
        <f>VLOOKUP(A208,Data_Echipe!A:R,18,0)</f>
        <v>#N/A</v>
      </c>
      <c r="Z208" s="115">
        <f t="shared" si="102"/>
        <v>1</v>
      </c>
    </row>
    <row r="209" spans="1:26" x14ac:dyDescent="0.3">
      <c r="A209" s="49" t="s">
        <v>301</v>
      </c>
      <c r="B209" s="1" t="str">
        <f>VLOOKUP(A209,Participanti!A:B,2,0)</f>
        <v>M</v>
      </c>
      <c r="C209" s="74">
        <v>3</v>
      </c>
      <c r="D209" s="50">
        <v>14.12</v>
      </c>
      <c r="E209" s="51">
        <v>5.2997685185185182E-2</v>
      </c>
      <c r="F209" s="51">
        <v>5.8298611111111114E-2</v>
      </c>
      <c r="G209" s="69">
        <f t="shared" si="97"/>
        <v>5.5648148148148148E-2</v>
      </c>
      <c r="H209" s="52"/>
      <c r="I209" s="12">
        <f t="shared" si="98"/>
        <v>3.9410869793306052E-3</v>
      </c>
      <c r="J209" s="37">
        <f t="shared" si="99"/>
        <v>3.3619047619047615</v>
      </c>
      <c r="K209" s="37">
        <f>IF(J209=0,0,IF(B209="F",VLOOKUP(I209,Barem!$G$2:$H$16,2,1),VLOOKUP(I209,Barem!$G$17:$H$31,2,1)))</f>
        <v>1.75</v>
      </c>
      <c r="L209" s="50">
        <v>2</v>
      </c>
      <c r="M209" s="124" t="s">
        <v>106</v>
      </c>
      <c r="N209" s="10">
        <f t="shared" si="104"/>
        <v>0.5</v>
      </c>
      <c r="O209" s="10">
        <f t="shared" si="104"/>
        <v>0.25</v>
      </c>
      <c r="P209" s="10">
        <f t="shared" si="104"/>
        <v>0.25</v>
      </c>
      <c r="Q209" s="40">
        <f t="shared" si="100"/>
        <v>0</v>
      </c>
      <c r="R209" s="21">
        <f>IF(D209&gt;21,VLOOKUP(D209,Barem!$T$1:$U$141,2,1),0)</f>
        <v>0</v>
      </c>
      <c r="S209" s="152">
        <f>IF(D209&lt;1.609,0,IF(B209="F",VLOOKUP(I209,Barem!$X$2:$Z$13,2,1),VLOOKUP(I209,Barem!$X$14:$Z$25,2,1)))</f>
        <v>0</v>
      </c>
      <c r="T209" s="21">
        <f>VLOOKUP(A209,Participanti!A:C,3,0)</f>
        <v>0</v>
      </c>
      <c r="U209" s="18">
        <f t="shared" si="101"/>
        <v>2.6184523809523808</v>
      </c>
      <c r="V209" s="58" t="s">
        <v>391</v>
      </c>
      <c r="W209" s="77">
        <f t="shared" si="103"/>
        <v>1</v>
      </c>
      <c r="X209" s="1" t="e">
        <f>VLOOKUP(A209,Data_Echipe!A:R,18,0)</f>
        <v>#N/A</v>
      </c>
      <c r="Z209" s="115">
        <f t="shared" si="102"/>
        <v>1</v>
      </c>
    </row>
    <row r="210" spans="1:26" x14ac:dyDescent="0.3">
      <c r="A210" s="49" t="s">
        <v>392</v>
      </c>
      <c r="B210" s="1" t="str">
        <f>VLOOKUP(A210,Participanti!A:B,2,0)</f>
        <v>M</v>
      </c>
      <c r="C210" s="74">
        <v>3</v>
      </c>
      <c r="D210" s="50">
        <v>14.69</v>
      </c>
      <c r="E210" s="51">
        <v>6.7210648148148144E-2</v>
      </c>
      <c r="F210" s="51">
        <v>6.9201388888888882E-2</v>
      </c>
      <c r="G210" s="69">
        <f t="shared" si="97"/>
        <v>6.8206018518518513E-2</v>
      </c>
      <c r="H210" s="52"/>
      <c r="I210" s="12">
        <f t="shared" si="98"/>
        <v>4.6430237248821313E-3</v>
      </c>
      <c r="J210" s="37">
        <f t="shared" si="99"/>
        <v>3.4976190476190472</v>
      </c>
      <c r="K210" s="37">
        <f>IF(J210=0,0,IF(B210="F",VLOOKUP(I210,Barem!$G$2:$H$16,2,1),VLOOKUP(I210,Barem!$G$17:$H$31,2,1)))</f>
        <v>0.75</v>
      </c>
      <c r="L210" s="50">
        <v>1.5</v>
      </c>
      <c r="M210" s="124" t="s">
        <v>207</v>
      </c>
      <c r="N210" s="10">
        <f t="shared" si="104"/>
        <v>0.25</v>
      </c>
      <c r="O210" s="10">
        <f t="shared" si="104"/>
        <v>0.25</v>
      </c>
      <c r="P210" s="10">
        <f t="shared" si="104"/>
        <v>0.5</v>
      </c>
      <c r="Q210" s="40">
        <f t="shared" si="100"/>
        <v>0</v>
      </c>
      <c r="R210" s="21">
        <f>IF(D210&gt;21,VLOOKUP(D210,Barem!$T$1:$U$141,2,1),0)</f>
        <v>0</v>
      </c>
      <c r="S210" s="152">
        <f>IF(D210&lt;1.609,0,IF(B210="F",VLOOKUP(I210,Barem!$X$2:$Z$13,2,1),VLOOKUP(I210,Barem!$X$14:$Z$25,2,1)))</f>
        <v>0</v>
      </c>
      <c r="T210" s="21">
        <f>VLOOKUP(A210,Participanti!A:C,3,0)</f>
        <v>0</v>
      </c>
      <c r="U210" s="18">
        <f t="shared" si="101"/>
        <v>1.8119047619047617</v>
      </c>
      <c r="V210" s="58" t="s">
        <v>391</v>
      </c>
      <c r="W210" s="77">
        <f t="shared" si="103"/>
        <v>1</v>
      </c>
      <c r="X210" s="1" t="e">
        <f>VLOOKUP(A210,Data_Echipe!A:R,18,0)</f>
        <v>#N/A</v>
      </c>
      <c r="Z210" s="115">
        <f t="shared" si="102"/>
        <v>1</v>
      </c>
    </row>
    <row r="211" spans="1:26" x14ac:dyDescent="0.3">
      <c r="A211" s="49" t="s">
        <v>353</v>
      </c>
      <c r="B211" s="1" t="str">
        <f>VLOOKUP(A211,Participanti!A:B,2,0)</f>
        <v>M</v>
      </c>
      <c r="C211" s="74">
        <v>3</v>
      </c>
      <c r="D211" s="50">
        <v>24.19</v>
      </c>
      <c r="E211" s="51">
        <v>0.10200231481481481</v>
      </c>
      <c r="F211" s="51">
        <v>0.10207175925925926</v>
      </c>
      <c r="G211" s="69">
        <f t="shared" si="97"/>
        <v>0.10203703703703704</v>
      </c>
      <c r="H211" s="52"/>
      <c r="I211" s="12">
        <f t="shared" si="98"/>
        <v>4.2181495261280292E-3</v>
      </c>
      <c r="J211" s="37">
        <f t="shared" si="99"/>
        <v>5</v>
      </c>
      <c r="K211" s="37">
        <f>IF(J211=0,0,IF(B211="F",VLOOKUP(I211,Barem!$G$2:$H$16,2,1),VLOOKUP(I211,Barem!$G$17:$H$31,2,1)))</f>
        <v>1.25</v>
      </c>
      <c r="L211" s="50">
        <v>1.5</v>
      </c>
      <c r="M211" s="124" t="s">
        <v>207</v>
      </c>
      <c r="N211" s="10">
        <f t="shared" si="104"/>
        <v>0.25</v>
      </c>
      <c r="O211" s="10">
        <f t="shared" si="104"/>
        <v>0.25</v>
      </c>
      <c r="P211" s="10">
        <f t="shared" si="104"/>
        <v>0.5</v>
      </c>
      <c r="Q211" s="40">
        <f t="shared" si="100"/>
        <v>0</v>
      </c>
      <c r="R211" s="21">
        <f>IF(D211&gt;21,VLOOKUP(D211,Barem!$T$1:$U$141,2,1),0)</f>
        <v>0.1</v>
      </c>
      <c r="S211" s="152">
        <f>IF(D211&lt;1.609,0,IF(B211="F",VLOOKUP(I211,Barem!$X$2:$Z$13,2,1),VLOOKUP(I211,Barem!$X$14:$Z$25,2,1)))</f>
        <v>0</v>
      </c>
      <c r="T211" s="21">
        <f>VLOOKUP(A211,Participanti!A:C,3,0)</f>
        <v>0</v>
      </c>
      <c r="U211" s="18">
        <f t="shared" si="101"/>
        <v>2.4125000000000001</v>
      </c>
      <c r="V211" s="58" t="s">
        <v>391</v>
      </c>
      <c r="W211" s="77">
        <f t="shared" si="103"/>
        <v>1</v>
      </c>
      <c r="X211" s="1" t="e">
        <f>VLOOKUP(A211,Data_Echipe!A:R,18,0)</f>
        <v>#N/A</v>
      </c>
      <c r="Z211" s="115">
        <f t="shared" si="102"/>
        <v>1</v>
      </c>
    </row>
    <row r="212" spans="1:26" x14ac:dyDescent="0.3">
      <c r="A212" s="49" t="s">
        <v>120</v>
      </c>
      <c r="B212" s="1" t="str">
        <f>VLOOKUP(A212,Participanti!A:B,2,0)</f>
        <v>M</v>
      </c>
      <c r="C212" s="74">
        <v>3</v>
      </c>
      <c r="D212" s="50">
        <v>18.2</v>
      </c>
      <c r="E212" s="51">
        <v>6.8761574074074072E-2</v>
      </c>
      <c r="F212" s="51">
        <v>7.0231481481481492E-2</v>
      </c>
      <c r="G212" s="69">
        <f t="shared" si="97"/>
        <v>6.9496527777777789E-2</v>
      </c>
      <c r="H212" s="52">
        <v>110</v>
      </c>
      <c r="I212" s="12">
        <f t="shared" si="98"/>
        <v>3.818490537240538E-3</v>
      </c>
      <c r="J212" s="37">
        <f t="shared" si="99"/>
        <v>4.333333333333333</v>
      </c>
      <c r="K212" s="37">
        <f>IF(J212=0,0,IF(B212="F",VLOOKUP(I212,Barem!$G$2:$H$16,2,1),VLOOKUP(I212,Barem!$G$17:$H$31,2,1)))</f>
        <v>2</v>
      </c>
      <c r="L212" s="50">
        <v>1.75</v>
      </c>
      <c r="M212" s="124" t="s">
        <v>106</v>
      </c>
      <c r="N212" s="10">
        <f t="shared" si="104"/>
        <v>0.5</v>
      </c>
      <c r="O212" s="10">
        <f t="shared" si="104"/>
        <v>0.25</v>
      </c>
      <c r="P212" s="10">
        <f t="shared" si="104"/>
        <v>0.25</v>
      </c>
      <c r="Q212" s="40">
        <f t="shared" si="100"/>
        <v>7.3333333333333334E-2</v>
      </c>
      <c r="R212" s="21">
        <f>IF(D212&gt;21,VLOOKUP(D212,Barem!$T$1:$U$141,2,1),0)</f>
        <v>0</v>
      </c>
      <c r="S212" s="152">
        <f>IF(D212&lt;1.609,0,IF(B212="F",VLOOKUP(I212,Barem!$X$2:$Z$13,2,1),VLOOKUP(I212,Barem!$X$14:$Z$25,2,1)))</f>
        <v>0</v>
      </c>
      <c r="T212" s="21">
        <f>VLOOKUP(A212,Participanti!A:C,3,0)</f>
        <v>0</v>
      </c>
      <c r="U212" s="18">
        <f t="shared" si="101"/>
        <v>3.1774999999999998</v>
      </c>
      <c r="V212" s="58" t="s">
        <v>391</v>
      </c>
      <c r="W212" s="77">
        <f t="shared" si="103"/>
        <v>1</v>
      </c>
      <c r="X212" s="1" t="str">
        <f>VLOOKUP(A212,Data_Echipe!A:R,18,0)</f>
        <v>Almost Kenyan Runners</v>
      </c>
      <c r="Z212" s="115">
        <f t="shared" si="102"/>
        <v>1</v>
      </c>
    </row>
    <row r="213" spans="1:26" x14ac:dyDescent="0.3">
      <c r="A213" s="49" t="s">
        <v>279</v>
      </c>
      <c r="B213" s="1" t="str">
        <f>VLOOKUP(A213,Participanti!A:B,2,0)</f>
        <v>M</v>
      </c>
      <c r="C213" s="74">
        <v>3</v>
      </c>
      <c r="D213" s="50">
        <v>12.91</v>
      </c>
      <c r="E213" s="51">
        <v>3.7013888888888888E-2</v>
      </c>
      <c r="F213" s="51">
        <v>3.7048611111111109E-2</v>
      </c>
      <c r="G213" s="69">
        <f t="shared" si="97"/>
        <v>3.7031250000000002E-2</v>
      </c>
      <c r="H213" s="52"/>
      <c r="I213" s="12">
        <f t="shared" si="98"/>
        <v>2.8684159566227732E-3</v>
      </c>
      <c r="J213" s="37">
        <f t="shared" si="99"/>
        <v>3.0738095238095235</v>
      </c>
      <c r="K213" s="37">
        <f>IF(J213=0,0,IF(B213="F",VLOOKUP(I213,Barem!$G$2:$H$16,2,1),VLOOKUP(I213,Barem!$G$17:$H$31,2,1)))</f>
        <v>4.5</v>
      </c>
      <c r="L213" s="50">
        <v>1.5</v>
      </c>
      <c r="M213" s="124" t="s">
        <v>107</v>
      </c>
      <c r="N213" s="10">
        <f t="shared" si="104"/>
        <v>0.25</v>
      </c>
      <c r="O213" s="10">
        <f t="shared" si="104"/>
        <v>0.5</v>
      </c>
      <c r="P213" s="10">
        <f t="shared" si="104"/>
        <v>0.25</v>
      </c>
      <c r="Q213" s="40">
        <f t="shared" si="100"/>
        <v>0</v>
      </c>
      <c r="R213" s="21">
        <f>IF(D213&gt;21,VLOOKUP(D213,Barem!$T$1:$U$141,2,1),0)</f>
        <v>0</v>
      </c>
      <c r="S213" s="152">
        <f>IF(D213&lt;1.609,0,IF(B213="F",VLOOKUP(I213,Barem!$X$2:$Z$13,2,1),VLOOKUP(I213,Barem!$X$14:$Z$25,2,1)))</f>
        <v>0</v>
      </c>
      <c r="T213" s="21">
        <f>VLOOKUP(A213,Participanti!A:C,3,0)</f>
        <v>0</v>
      </c>
      <c r="U213" s="18">
        <f t="shared" si="101"/>
        <v>3.3934523809523807</v>
      </c>
      <c r="V213" s="58" t="s">
        <v>391</v>
      </c>
      <c r="W213" s="77">
        <f t="shared" si="103"/>
        <v>1</v>
      </c>
      <c r="X213" s="1" t="str">
        <f>VLOOKUP(A213,Data_Echipe!A:R,18,0)</f>
        <v>Almost Kenyan Runners</v>
      </c>
      <c r="Z213" s="115">
        <f t="shared" si="102"/>
        <v>1</v>
      </c>
    </row>
    <row r="214" spans="1:26" ht="13" customHeight="1" x14ac:dyDescent="0.3">
      <c r="A214" s="49" t="s">
        <v>296</v>
      </c>
      <c r="B214" s="1" t="str">
        <f>VLOOKUP(A214,Participanti!A:B,2,0)</f>
        <v>M</v>
      </c>
      <c r="C214" s="74">
        <v>3</v>
      </c>
      <c r="D214" s="50">
        <v>5.08</v>
      </c>
      <c r="E214" s="51">
        <v>2.5312500000000002E-2</v>
      </c>
      <c r="F214" s="51">
        <v>2.5567129629629634E-2</v>
      </c>
      <c r="G214" s="69">
        <f t="shared" si="97"/>
        <v>2.5439814814814818E-2</v>
      </c>
      <c r="H214" s="52">
        <v>54</v>
      </c>
      <c r="I214" s="12">
        <f t="shared" si="98"/>
        <v>5.007837561971421E-3</v>
      </c>
      <c r="J214" s="37">
        <f t="shared" si="99"/>
        <v>1.2095238095238094</v>
      </c>
      <c r="K214" s="37">
        <f>IF(J214=0,0,IF(B214="F",VLOOKUP(I214,Barem!$G$2:$H$16,2,1),VLOOKUP(I214,Barem!$G$17:$H$31,2,1)))</f>
        <v>0.25</v>
      </c>
      <c r="L214" s="50">
        <v>3.5</v>
      </c>
      <c r="M214" s="124" t="s">
        <v>207</v>
      </c>
      <c r="N214" s="10">
        <f t="shared" si="104"/>
        <v>0.25</v>
      </c>
      <c r="O214" s="10">
        <f t="shared" si="104"/>
        <v>0.25</v>
      </c>
      <c r="P214" s="10">
        <f t="shared" si="104"/>
        <v>0.5</v>
      </c>
      <c r="Q214" s="40">
        <f t="shared" si="100"/>
        <v>3.5999999999999997E-2</v>
      </c>
      <c r="R214" s="21">
        <f>IF(D214&gt;21,VLOOKUP(D214,Barem!$T$1:$U$141,2,1),0)</f>
        <v>0</v>
      </c>
      <c r="S214" s="152">
        <f>IF(D214&lt;1.609,0,IF(B214="F",VLOOKUP(I214,Barem!$X$2:$Z$13,2,1),VLOOKUP(I214,Barem!$X$14:$Z$25,2,1)))</f>
        <v>0</v>
      </c>
      <c r="T214" s="21">
        <f>VLOOKUP(A214,Participanti!A:C,3,0)</f>
        <v>0</v>
      </c>
      <c r="U214" s="18">
        <f t="shared" si="101"/>
        <v>2.1508809523809522</v>
      </c>
      <c r="V214" s="58" t="s">
        <v>391</v>
      </c>
      <c r="W214" s="77">
        <f t="shared" si="103"/>
        <v>1</v>
      </c>
      <c r="X214" s="1" t="str">
        <f>VLOOKUP(A214,Data_Echipe!A:R,18,0)</f>
        <v>MedgidiaRunning</v>
      </c>
      <c r="Z214" s="115">
        <f t="shared" si="102"/>
        <v>1</v>
      </c>
    </row>
    <row r="215" spans="1:26" ht="11.15" customHeight="1" x14ac:dyDescent="0.3">
      <c r="A215" s="49" t="s">
        <v>341</v>
      </c>
      <c r="B215" s="1" t="str">
        <f>VLOOKUP(A215,Participanti!A:B,2,0)</f>
        <v>M</v>
      </c>
      <c r="C215" s="74">
        <v>3</v>
      </c>
      <c r="D215" s="50">
        <v>19.88</v>
      </c>
      <c r="E215" s="51">
        <v>8.7060185185185171E-2</v>
      </c>
      <c r="F215" s="51">
        <v>8.8125000000000009E-2</v>
      </c>
      <c r="G215" s="69">
        <f t="shared" si="97"/>
        <v>8.7592592592592583E-2</v>
      </c>
      <c r="H215" s="52">
        <v>745</v>
      </c>
      <c r="I215" s="12">
        <f t="shared" si="98"/>
        <v>4.4060660257843358E-3</v>
      </c>
      <c r="J215" s="37">
        <f t="shared" si="99"/>
        <v>4.7333333333333325</v>
      </c>
      <c r="K215" s="37">
        <f>IF(J215=0,0,IF(B215="F",VLOOKUP(I215,Barem!$G$2:$H$16,2,1),VLOOKUP(I215,Barem!$G$17:$H$31,2,1)))</f>
        <v>1</v>
      </c>
      <c r="L215" s="50">
        <v>2.75</v>
      </c>
      <c r="M215" s="124" t="s">
        <v>207</v>
      </c>
      <c r="N215" s="10">
        <f t="shared" si="104"/>
        <v>0.25</v>
      </c>
      <c r="O215" s="10">
        <f t="shared" si="104"/>
        <v>0.25</v>
      </c>
      <c r="P215" s="10">
        <f t="shared" si="104"/>
        <v>0.5</v>
      </c>
      <c r="Q215" s="40">
        <f t="shared" si="100"/>
        <v>0.49666666666666665</v>
      </c>
      <c r="R215" s="21">
        <f>IF(D215&gt;21,VLOOKUP(D215,Barem!$T$1:$U$141,2,1),0)</f>
        <v>0</v>
      </c>
      <c r="S215" s="152">
        <f>IF(D215&lt;1.609,0,IF(B215="F",VLOOKUP(I215,Barem!$X$2:$Z$13,2,1),VLOOKUP(I215,Barem!$X$14:$Z$25,2,1)))</f>
        <v>0</v>
      </c>
      <c r="T215" s="21">
        <f>VLOOKUP(A215,Participanti!A:C,3,0)</f>
        <v>0</v>
      </c>
      <c r="U215" s="18">
        <f t="shared" si="101"/>
        <v>3.3049999999999997</v>
      </c>
      <c r="V215" s="58" t="s">
        <v>391</v>
      </c>
      <c r="W215" s="77">
        <f t="shared" si="103"/>
        <v>1</v>
      </c>
      <c r="X215" s="1" t="str">
        <f>VLOOKUP(A215,Data_Echipe!A:R,18,0)</f>
        <v>The GOATs</v>
      </c>
      <c r="Z215" s="115">
        <f t="shared" si="102"/>
        <v>1</v>
      </c>
    </row>
    <row r="216" spans="1:26" x14ac:dyDescent="0.3">
      <c r="A216" s="49" t="s">
        <v>227</v>
      </c>
      <c r="B216" s="1" t="str">
        <f>VLOOKUP(A216,Participanti!A:B,2,0)</f>
        <v>M</v>
      </c>
      <c r="C216" s="74">
        <v>3</v>
      </c>
      <c r="D216" s="50">
        <v>54.08</v>
      </c>
      <c r="E216" s="51">
        <v>0.20144675925925926</v>
      </c>
      <c r="F216" s="51">
        <v>0.20461805555555557</v>
      </c>
      <c r="G216" s="69">
        <f t="shared" si="97"/>
        <v>0.20303240740740741</v>
      </c>
      <c r="H216" s="52">
        <v>520</v>
      </c>
      <c r="I216" s="12">
        <f t="shared" si="98"/>
        <v>3.7542974742493973E-3</v>
      </c>
      <c r="J216" s="37">
        <f t="shared" si="99"/>
        <v>5</v>
      </c>
      <c r="K216" s="37">
        <f>IF(J216=0,0,IF(B216="F",VLOOKUP(I216,Barem!$G$2:$H$16,2,1),VLOOKUP(I216,Barem!$G$17:$H$31,2,1)))</f>
        <v>2</v>
      </c>
      <c r="L216" s="50">
        <v>3.5</v>
      </c>
      <c r="M216" s="124" t="s">
        <v>106</v>
      </c>
      <c r="N216" s="10">
        <f t="shared" si="104"/>
        <v>0.5</v>
      </c>
      <c r="O216" s="10">
        <f t="shared" si="104"/>
        <v>0.25</v>
      </c>
      <c r="P216" s="10">
        <f t="shared" si="104"/>
        <v>0.25</v>
      </c>
      <c r="Q216" s="40">
        <f t="shared" si="100"/>
        <v>0.34666666666666668</v>
      </c>
      <c r="R216" s="21">
        <f>IF(D216&gt;21,VLOOKUP(D216,Barem!$T$1:$U$141,2,1),0)</f>
        <v>1.6</v>
      </c>
      <c r="S216" s="152">
        <f>IF(D216&lt;1.609,0,IF(B216="F",VLOOKUP(I216,Barem!$X$2:$Z$13,2,1),VLOOKUP(I216,Barem!$X$14:$Z$25,2,1)))</f>
        <v>0</v>
      </c>
      <c r="T216" s="21">
        <f>VLOOKUP(A216,Participanti!A:C,3,0)</f>
        <v>0</v>
      </c>
      <c r="U216" s="18">
        <f t="shared" si="101"/>
        <v>5.8216666666666672</v>
      </c>
      <c r="V216" s="58" t="s">
        <v>391</v>
      </c>
      <c r="W216" s="77">
        <f t="shared" si="103"/>
        <v>1</v>
      </c>
      <c r="X216" s="1" t="str">
        <f>VLOOKUP(A216,Data_Echipe!A:R,18,0)</f>
        <v>UltraHaita lu' Borcan</v>
      </c>
      <c r="Z216" s="115">
        <f t="shared" si="102"/>
        <v>1</v>
      </c>
    </row>
    <row r="217" spans="1:26" x14ac:dyDescent="0.3">
      <c r="A217" s="49" t="s">
        <v>347</v>
      </c>
      <c r="B217" s="1" t="str">
        <f>VLOOKUP(A217,Participanti!A:B,2,0)</f>
        <v>F</v>
      </c>
      <c r="C217" s="74">
        <v>3</v>
      </c>
      <c r="D217" s="50">
        <v>10.15</v>
      </c>
      <c r="E217" s="51">
        <v>4.0937500000000002E-2</v>
      </c>
      <c r="F217" s="51">
        <v>4.1932870370370377E-2</v>
      </c>
      <c r="G217" s="69">
        <f t="shared" si="97"/>
        <v>4.1435185185185186E-2</v>
      </c>
      <c r="H217" s="52">
        <v>91</v>
      </c>
      <c r="I217" s="12">
        <f t="shared" si="98"/>
        <v>4.0822842546980476E-3</v>
      </c>
      <c r="J217" s="37">
        <f t="shared" si="99"/>
        <v>2.5375000000000001</v>
      </c>
      <c r="K217" s="37">
        <f>IF(J217=0,0,IF(B217="F",VLOOKUP(I217,Barem!$G$2:$H$16,2,1),VLOOKUP(I217,Barem!$G$17:$H$31,2,1)))</f>
        <v>2</v>
      </c>
      <c r="L217" s="50">
        <v>2.5</v>
      </c>
      <c r="M217" s="124" t="s">
        <v>207</v>
      </c>
      <c r="N217" s="10">
        <f t="shared" si="104"/>
        <v>0.25</v>
      </c>
      <c r="O217" s="10">
        <f t="shared" si="104"/>
        <v>0.25</v>
      </c>
      <c r="P217" s="10">
        <f t="shared" si="104"/>
        <v>0.5</v>
      </c>
      <c r="Q217" s="40">
        <f t="shared" si="100"/>
        <v>6.0666666666666667E-2</v>
      </c>
      <c r="R217" s="21">
        <f>IF(D217&gt;21,VLOOKUP(D217,Barem!$T$1:$U$141,2,1),0)</f>
        <v>0</v>
      </c>
      <c r="S217" s="152">
        <f>IF(D217&lt;1.609,0,IF(B217="F",VLOOKUP(I217,Barem!$X$2:$Z$13,2,1),VLOOKUP(I217,Barem!$X$14:$Z$25,2,1)))</f>
        <v>0</v>
      </c>
      <c r="T217" s="21">
        <f>VLOOKUP(A217,Participanti!A:C,3,0)</f>
        <v>0</v>
      </c>
      <c r="U217" s="18">
        <f t="shared" si="101"/>
        <v>2.4450416666666666</v>
      </c>
      <c r="V217" s="58" t="s">
        <v>391</v>
      </c>
      <c r="W217" s="77">
        <f t="shared" si="103"/>
        <v>1</v>
      </c>
      <c r="X217" s="1" t="str">
        <f>VLOOKUP(A217,Data_Echipe!A:R,18,0)</f>
        <v>MedgidiaRunning</v>
      </c>
      <c r="Z217" s="115">
        <f t="shared" si="102"/>
        <v>1</v>
      </c>
    </row>
    <row r="218" spans="1:26" x14ac:dyDescent="0.3">
      <c r="A218" s="49" t="s">
        <v>340</v>
      </c>
      <c r="B218" s="1" t="str">
        <f>VLOOKUP(A218,Participanti!A:B,2,0)</f>
        <v>M</v>
      </c>
      <c r="C218" s="74">
        <v>3</v>
      </c>
      <c r="D218" s="50">
        <v>10.83</v>
      </c>
      <c r="E218" s="51">
        <v>3.8194444444444441E-2</v>
      </c>
      <c r="F218" s="51">
        <v>3.8229166666666668E-2</v>
      </c>
      <c r="G218" s="69">
        <f t="shared" si="97"/>
        <v>3.8211805555555554E-2</v>
      </c>
      <c r="H218" s="52">
        <v>43</v>
      </c>
      <c r="I218" s="12">
        <f t="shared" si="98"/>
        <v>3.5283292295065147E-3</v>
      </c>
      <c r="J218" s="37">
        <f t="shared" si="99"/>
        <v>2.5785714285714283</v>
      </c>
      <c r="K218" s="37">
        <f>IF(J218=0,0,IF(B218="F",VLOOKUP(I218,Barem!$G$2:$H$16,2,1),VLOOKUP(I218,Barem!$G$17:$H$31,2,1)))</f>
        <v>2.5</v>
      </c>
      <c r="L218" s="50">
        <v>1.25</v>
      </c>
      <c r="M218" s="124" t="s">
        <v>207</v>
      </c>
      <c r="N218" s="10">
        <f t="shared" si="104"/>
        <v>0.25</v>
      </c>
      <c r="O218" s="10">
        <f t="shared" si="104"/>
        <v>0.25</v>
      </c>
      <c r="P218" s="10">
        <f t="shared" si="104"/>
        <v>0.5</v>
      </c>
      <c r="Q218" s="40">
        <f t="shared" si="100"/>
        <v>0</v>
      </c>
      <c r="R218" s="21">
        <f>IF(D218&gt;21,VLOOKUP(D218,Barem!$T$1:$U$141,2,1),0)</f>
        <v>0</v>
      </c>
      <c r="S218" s="152">
        <f>IF(D218&lt;1.609,0,IF(B218="F",VLOOKUP(I218,Barem!$X$2:$Z$13,2,1),VLOOKUP(I218,Barem!$X$14:$Z$25,2,1)))</f>
        <v>0</v>
      </c>
      <c r="T218" s="21">
        <f>VLOOKUP(A218,Participanti!A:C,3,0)</f>
        <v>0</v>
      </c>
      <c r="U218" s="18">
        <f t="shared" si="101"/>
        <v>1.8946428571428571</v>
      </c>
      <c r="V218" s="58" t="s">
        <v>391</v>
      </c>
      <c r="W218" s="77">
        <f t="shared" si="103"/>
        <v>1</v>
      </c>
      <c r="X218" s="1" t="e">
        <f>VLOOKUP(A218,Data_Echipe!A:R,18,0)</f>
        <v>#N/A</v>
      </c>
      <c r="Z218" s="115">
        <f t="shared" si="102"/>
        <v>1</v>
      </c>
    </row>
    <row r="219" spans="1:26" x14ac:dyDescent="0.3">
      <c r="A219" s="49" t="s">
        <v>41</v>
      </c>
      <c r="B219" s="1" t="str">
        <f>VLOOKUP(A219,Participanti!A:B,2,0)</f>
        <v>M</v>
      </c>
      <c r="C219" s="74">
        <v>3</v>
      </c>
      <c r="D219" s="50">
        <v>10.63</v>
      </c>
      <c r="E219" s="51">
        <v>3.5787037037037034E-2</v>
      </c>
      <c r="F219" s="51">
        <v>3.5879629629629629E-2</v>
      </c>
      <c r="G219" s="69">
        <f t="shared" si="97"/>
        <v>3.5833333333333328E-2</v>
      </c>
      <c r="H219" s="52">
        <v>51</v>
      </c>
      <c r="I219" s="12">
        <f t="shared" si="98"/>
        <v>3.3709626842270296E-3</v>
      </c>
      <c r="J219" s="37">
        <f t="shared" si="99"/>
        <v>2.5309523809523808</v>
      </c>
      <c r="K219" s="37">
        <f>IF(J219=0,0,IF(B219="F",VLOOKUP(I219,Barem!$G$2:$H$16,2,1),VLOOKUP(I219,Barem!$G$17:$H$31,2,1)))</f>
        <v>3</v>
      </c>
      <c r="L219" s="50">
        <v>1.5</v>
      </c>
      <c r="M219" s="124" t="s">
        <v>207</v>
      </c>
      <c r="N219" s="10">
        <f t="shared" si="104"/>
        <v>0.25</v>
      </c>
      <c r="O219" s="10">
        <f t="shared" si="104"/>
        <v>0.25</v>
      </c>
      <c r="P219" s="10">
        <f t="shared" si="104"/>
        <v>0.5</v>
      </c>
      <c r="Q219" s="40">
        <f t="shared" si="100"/>
        <v>3.4000000000000002E-2</v>
      </c>
      <c r="R219" s="21">
        <f>IF(D219&gt;21,VLOOKUP(D219,Barem!$T$1:$U$141,2,1),0)</f>
        <v>0</v>
      </c>
      <c r="S219" s="152">
        <f>IF(D219&lt;1.609,0,IF(B219="F",VLOOKUP(I219,Barem!$X$2:$Z$13,2,1),VLOOKUP(I219,Barem!$X$14:$Z$25,2,1)))</f>
        <v>0</v>
      </c>
      <c r="T219" s="21">
        <f>VLOOKUP(A219,Participanti!A:C,3,0)</f>
        <v>0</v>
      </c>
      <c r="U219" s="18">
        <f t="shared" si="101"/>
        <v>2.1667380952380952</v>
      </c>
      <c r="V219" s="58" t="s">
        <v>391</v>
      </c>
      <c r="W219" s="77">
        <f t="shared" si="103"/>
        <v>1</v>
      </c>
      <c r="X219" s="1" t="str">
        <f>VLOOKUP(A219,Data_Echipe!A:R,18,0)</f>
        <v>Almost Kenyan Runners</v>
      </c>
      <c r="Z219" s="115">
        <f t="shared" si="102"/>
        <v>1</v>
      </c>
    </row>
    <row r="220" spans="1:26" x14ac:dyDescent="0.3">
      <c r="A220" s="49" t="s">
        <v>357</v>
      </c>
      <c r="B220" s="1" t="str">
        <f>VLOOKUP(A220,Participanti!A:B,2,0)</f>
        <v>M</v>
      </c>
      <c r="C220" s="74">
        <v>3</v>
      </c>
      <c r="D220" s="50">
        <v>14</v>
      </c>
      <c r="E220" s="51">
        <v>9.1249999999999998E-2</v>
      </c>
      <c r="F220" s="51">
        <v>9.2754629629629617E-2</v>
      </c>
      <c r="G220" s="69">
        <f t="shared" si="97"/>
        <v>9.2002314814814801E-2</v>
      </c>
      <c r="H220" s="52">
        <v>683</v>
      </c>
      <c r="I220" s="12">
        <f t="shared" si="98"/>
        <v>6.5715939153439141E-3</v>
      </c>
      <c r="J220" s="37">
        <f t="shared" si="99"/>
        <v>3.333333333333333</v>
      </c>
      <c r="K220" s="37">
        <f>IF(J220=0,0,IF(B220="F",VLOOKUP(I220,Barem!$G$2:$H$16,2,1),VLOOKUP(I220,Barem!$G$17:$H$31,2,1)))</f>
        <v>0</v>
      </c>
      <c r="L220" s="50">
        <v>3.5</v>
      </c>
      <c r="M220" s="124" t="s">
        <v>207</v>
      </c>
      <c r="N220" s="10">
        <f t="shared" si="104"/>
        <v>0.25</v>
      </c>
      <c r="O220" s="10">
        <f t="shared" si="104"/>
        <v>0.25</v>
      </c>
      <c r="P220" s="10">
        <f t="shared" si="104"/>
        <v>0.5</v>
      </c>
      <c r="Q220" s="40">
        <f t="shared" si="100"/>
        <v>0.45533333333333331</v>
      </c>
      <c r="R220" s="21">
        <f>IF(D220&gt;21,VLOOKUP(D220,Barem!$T$1:$U$141,2,1),0)</f>
        <v>0</v>
      </c>
      <c r="S220" s="152">
        <f>IF(D220&lt;1.609,0,IF(B220="F",VLOOKUP(I220,Barem!$X$2:$Z$13,2,1),VLOOKUP(I220,Barem!$X$14:$Z$25,2,1)))</f>
        <v>0</v>
      </c>
      <c r="T220" s="21">
        <f>VLOOKUP(A220,Participanti!A:C,3,0)</f>
        <v>0</v>
      </c>
      <c r="U220" s="18">
        <f t="shared" si="101"/>
        <v>3.0386666666666664</v>
      </c>
      <c r="V220" s="58" t="s">
        <v>391</v>
      </c>
      <c r="W220" s="77">
        <f t="shared" si="103"/>
        <v>1</v>
      </c>
      <c r="X220" s="1" t="e">
        <f>VLOOKUP(A220,Data_Echipe!A:R,18,0)</f>
        <v>#N/A</v>
      </c>
      <c r="Z220" s="115">
        <f t="shared" si="102"/>
        <v>0</v>
      </c>
    </row>
    <row r="221" spans="1:26" x14ac:dyDescent="0.3">
      <c r="A221" s="49" t="s">
        <v>375</v>
      </c>
      <c r="B221" s="1" t="str">
        <f>VLOOKUP(A221,Participanti!A:B,2,0)</f>
        <v>M</v>
      </c>
      <c r="C221" s="74">
        <v>3</v>
      </c>
      <c r="D221" s="50">
        <v>21.34</v>
      </c>
      <c r="E221" s="51">
        <v>8.2905092592592586E-2</v>
      </c>
      <c r="F221" s="51">
        <v>8.3310185185185182E-2</v>
      </c>
      <c r="G221" s="69">
        <f t="shared" si="97"/>
        <v>8.3107638888888891E-2</v>
      </c>
      <c r="H221" s="52">
        <v>87</v>
      </c>
      <c r="I221" s="12">
        <f t="shared" si="98"/>
        <v>3.8944535561803604E-3</v>
      </c>
      <c r="J221" s="37">
        <f t="shared" si="99"/>
        <v>5</v>
      </c>
      <c r="K221" s="37">
        <f>IF(J221=0,0,IF(B221="F",VLOOKUP(I221,Barem!$G$2:$H$16,2,1),VLOOKUP(I221,Barem!$G$17:$H$31,2,1)))</f>
        <v>1.75</v>
      </c>
      <c r="L221" s="50">
        <v>1.5</v>
      </c>
      <c r="M221" s="124" t="s">
        <v>106</v>
      </c>
      <c r="N221" s="10">
        <f t="shared" si="104"/>
        <v>0.5</v>
      </c>
      <c r="O221" s="10">
        <f t="shared" si="104"/>
        <v>0.25</v>
      </c>
      <c r="P221" s="10">
        <f t="shared" si="104"/>
        <v>0.25</v>
      </c>
      <c r="Q221" s="40">
        <f t="shared" si="100"/>
        <v>5.8000000000000003E-2</v>
      </c>
      <c r="R221" s="21">
        <f>IF(D221&gt;21,VLOOKUP(D221,Barem!$T$1:$U$141,2,1),0)</f>
        <v>0</v>
      </c>
      <c r="S221" s="152">
        <f>IF(D221&lt;1.609,0,IF(B221="F",VLOOKUP(I221,Barem!$X$2:$Z$13,2,1),VLOOKUP(I221,Barem!$X$14:$Z$25,2,1)))</f>
        <v>0</v>
      </c>
      <c r="T221" s="21">
        <f>VLOOKUP(A221,Participanti!A:C,3,0)</f>
        <v>0</v>
      </c>
      <c r="U221" s="18">
        <f t="shared" si="101"/>
        <v>3.3704999999999998</v>
      </c>
      <c r="V221" s="58" t="s">
        <v>391</v>
      </c>
      <c r="W221" s="77">
        <f t="shared" si="103"/>
        <v>1</v>
      </c>
      <c r="X221" s="1" t="e">
        <f>VLOOKUP(A221,Data_Echipe!A:R,18,0)</f>
        <v>#N/A</v>
      </c>
      <c r="Z221" s="115">
        <f t="shared" si="102"/>
        <v>1</v>
      </c>
    </row>
    <row r="222" spans="1:26" x14ac:dyDescent="0.3">
      <c r="A222" s="49" t="s">
        <v>293</v>
      </c>
      <c r="B222" s="1" t="str">
        <f>VLOOKUP(A222,Participanti!A:B,2,0)</f>
        <v>M</v>
      </c>
      <c r="C222" s="74">
        <v>3</v>
      </c>
      <c r="D222" s="50">
        <v>30.08</v>
      </c>
      <c r="E222" s="51">
        <v>0.11745370370370371</v>
      </c>
      <c r="F222" s="51">
        <v>0.11745370370370371</v>
      </c>
      <c r="G222" s="69">
        <f t="shared" si="97"/>
        <v>0.11745370370370371</v>
      </c>
      <c r="H222" s="52">
        <v>127</v>
      </c>
      <c r="I222" s="12">
        <f t="shared" si="98"/>
        <v>3.904710894405044E-3</v>
      </c>
      <c r="J222" s="37">
        <f t="shared" si="99"/>
        <v>5</v>
      </c>
      <c r="K222" s="37">
        <f>IF(J222=0,0,IF(B222="F",VLOOKUP(I222,Barem!$G$2:$H$16,2,1),VLOOKUP(I222,Barem!$G$17:$H$31,2,1)))</f>
        <v>1.75</v>
      </c>
      <c r="L222" s="50">
        <v>1.75</v>
      </c>
      <c r="M222" s="124" t="s">
        <v>106</v>
      </c>
      <c r="N222" s="10">
        <f t="shared" si="104"/>
        <v>0.5</v>
      </c>
      <c r="O222" s="10">
        <f t="shared" si="104"/>
        <v>0.25</v>
      </c>
      <c r="P222" s="10">
        <f t="shared" si="104"/>
        <v>0.25</v>
      </c>
      <c r="Q222" s="40">
        <f t="shared" si="100"/>
        <v>8.4666666666666668E-2</v>
      </c>
      <c r="R222" s="21">
        <f>IF(D222&gt;21,VLOOKUP(D222,Barem!$T$1:$U$141,2,1),0)</f>
        <v>0.4</v>
      </c>
      <c r="S222" s="152">
        <f>IF(D222&lt;1.609,0,IF(B222="F",VLOOKUP(I222,Barem!$X$2:$Z$13,2,1),VLOOKUP(I222,Barem!$X$14:$Z$25,2,1)))</f>
        <v>0</v>
      </c>
      <c r="T222" s="21">
        <f>VLOOKUP(A222,Participanti!A:C,3,0)</f>
        <v>0</v>
      </c>
      <c r="U222" s="18">
        <f t="shared" si="101"/>
        <v>3.8596666666666666</v>
      </c>
      <c r="V222" s="58" t="s">
        <v>391</v>
      </c>
      <c r="W222" s="77">
        <f t="shared" si="103"/>
        <v>1</v>
      </c>
      <c r="X222" s="1" t="str">
        <f>VLOOKUP(A222,Data_Echipe!A:R,18,0)</f>
        <v>UltraHaita lu' Borcan</v>
      </c>
      <c r="Z222" s="115">
        <f t="shared" si="102"/>
        <v>1</v>
      </c>
    </row>
    <row r="223" spans="1:26" x14ac:dyDescent="0.3">
      <c r="A223" s="49" t="s">
        <v>292</v>
      </c>
      <c r="B223" s="1" t="str">
        <f>VLOOKUP(A223,Participanti!A:B,2,0)</f>
        <v>F</v>
      </c>
      <c r="C223" s="74">
        <v>3</v>
      </c>
      <c r="D223" s="50">
        <v>11.49</v>
      </c>
      <c r="E223" s="51">
        <v>6.7418981481481483E-2</v>
      </c>
      <c r="F223" s="51">
        <v>7.7546296296296294E-2</v>
      </c>
      <c r="G223" s="69">
        <f t="shared" si="97"/>
        <v>7.2482638888888895E-2</v>
      </c>
      <c r="H223" s="52">
        <v>426</v>
      </c>
      <c r="I223" s="12">
        <f t="shared" si="98"/>
        <v>6.3083236630886762E-3</v>
      </c>
      <c r="J223" s="37">
        <f t="shared" si="99"/>
        <v>2.8725000000000001</v>
      </c>
      <c r="K223" s="37">
        <f>IF(J223=0,0,IF(B223="F",VLOOKUP(I223,Barem!$G$2:$H$16,2,1),VLOOKUP(I223,Barem!$G$17:$H$31,2,1)))</f>
        <v>0</v>
      </c>
      <c r="L223" s="50">
        <v>0.5</v>
      </c>
      <c r="M223" s="124" t="s">
        <v>207</v>
      </c>
      <c r="N223" s="10">
        <f t="shared" si="104"/>
        <v>0.25</v>
      </c>
      <c r="O223" s="10">
        <f t="shared" si="104"/>
        <v>0.25</v>
      </c>
      <c r="P223" s="10">
        <f t="shared" si="104"/>
        <v>0.5</v>
      </c>
      <c r="Q223" s="40">
        <f t="shared" si="100"/>
        <v>0.28399999999999997</v>
      </c>
      <c r="R223" s="21">
        <f>IF(D223&gt;21,VLOOKUP(D223,Barem!$T$1:$U$141,2,1),0)</f>
        <v>0</v>
      </c>
      <c r="S223" s="152">
        <f>IF(D223&lt;1.609,0,IF(B223="F",VLOOKUP(I223,Barem!$X$2:$Z$13,2,1),VLOOKUP(I223,Barem!$X$14:$Z$25,2,1)))</f>
        <v>0</v>
      </c>
      <c r="T223" s="21">
        <f>VLOOKUP(A223,Participanti!A:C,3,0)</f>
        <v>0</v>
      </c>
      <c r="U223" s="18">
        <f t="shared" si="101"/>
        <v>1.2521249999999999</v>
      </c>
      <c r="V223" s="58" t="s">
        <v>391</v>
      </c>
      <c r="W223" s="77">
        <f t="shared" si="103"/>
        <v>1</v>
      </c>
      <c r="X223" s="1" t="e">
        <f>VLOOKUP(A223,Data_Echipe!A:R,18,0)</f>
        <v>#N/A</v>
      </c>
      <c r="Z223" s="115">
        <f t="shared" si="102"/>
        <v>0</v>
      </c>
    </row>
    <row r="224" spans="1:26" x14ac:dyDescent="0.3">
      <c r="A224" s="49" t="s">
        <v>364</v>
      </c>
      <c r="B224" s="1" t="str">
        <f>VLOOKUP(A224,Participanti!A:B,2,0)</f>
        <v>M</v>
      </c>
      <c r="C224" s="74">
        <v>3</v>
      </c>
      <c r="D224" s="50">
        <v>7.88</v>
      </c>
      <c r="E224" s="51">
        <v>2.7743055555555559E-2</v>
      </c>
      <c r="F224" s="51">
        <v>2.7800925925925923E-2</v>
      </c>
      <c r="G224" s="69">
        <f t="shared" si="97"/>
        <v>2.7771990740740743E-2</v>
      </c>
      <c r="H224" s="52"/>
      <c r="I224" s="12">
        <f t="shared" si="98"/>
        <v>3.5243643072006021E-3</v>
      </c>
      <c r="J224" s="37">
        <f t="shared" si="99"/>
        <v>1.8761904761904762</v>
      </c>
      <c r="K224" s="37">
        <f>IF(J224=0,0,IF(B224="F",VLOOKUP(I224,Barem!$G$2:$H$16,2,1),VLOOKUP(I224,Barem!$G$17:$H$31,2,1)))</f>
        <v>2.5</v>
      </c>
      <c r="L224" s="50">
        <v>0.75</v>
      </c>
      <c r="M224" s="124" t="s">
        <v>107</v>
      </c>
      <c r="N224" s="10">
        <f t="shared" si="104"/>
        <v>0.25</v>
      </c>
      <c r="O224" s="10">
        <f t="shared" si="104"/>
        <v>0.5</v>
      </c>
      <c r="P224" s="10">
        <f t="shared" si="104"/>
        <v>0.25</v>
      </c>
      <c r="Q224" s="40">
        <f t="shared" si="100"/>
        <v>0</v>
      </c>
      <c r="R224" s="21">
        <f>IF(D224&gt;21,VLOOKUP(D224,Barem!$T$1:$U$141,2,1),0)</f>
        <v>0</v>
      </c>
      <c r="S224" s="152">
        <f>IF(D224&lt;1.609,0,IF(B224="F",VLOOKUP(I224,Barem!$X$2:$Z$13,2,1),VLOOKUP(I224,Barem!$X$14:$Z$25,2,1)))</f>
        <v>0</v>
      </c>
      <c r="T224" s="21">
        <f>VLOOKUP(A224,Participanti!A:C,3,0)</f>
        <v>0</v>
      </c>
      <c r="U224" s="18">
        <f t="shared" si="101"/>
        <v>1.9065476190476192</v>
      </c>
      <c r="V224" s="58" t="s">
        <v>391</v>
      </c>
      <c r="W224" s="77">
        <f t="shared" si="103"/>
        <v>1</v>
      </c>
      <c r="X224" s="1" t="e">
        <f>VLOOKUP(A224,Data_Echipe!A:R,18,0)</f>
        <v>#N/A</v>
      </c>
      <c r="Z224" s="115">
        <f t="shared" si="102"/>
        <v>1</v>
      </c>
    </row>
    <row r="225" spans="1:26" x14ac:dyDescent="0.3">
      <c r="A225" s="49" t="s">
        <v>354</v>
      </c>
      <c r="B225" s="1" t="str">
        <f>VLOOKUP(A225,Participanti!A:B,2,0)</f>
        <v>M</v>
      </c>
      <c r="C225" s="74">
        <v>3</v>
      </c>
      <c r="D225" s="50">
        <v>13.01</v>
      </c>
      <c r="E225" s="51">
        <v>6.3958333333333339E-2</v>
      </c>
      <c r="F225" s="51">
        <v>6.8472222222222226E-2</v>
      </c>
      <c r="G225" s="69">
        <f t="shared" si="97"/>
        <v>6.6215277777777776E-2</v>
      </c>
      <c r="H225" s="52">
        <v>376</v>
      </c>
      <c r="I225" s="12">
        <f t="shared" si="98"/>
        <v>5.0895678537876844E-3</v>
      </c>
      <c r="J225" s="37">
        <f t="shared" si="99"/>
        <v>3.0976190476190473</v>
      </c>
      <c r="K225" s="37">
        <f>IF(J225=0,0,IF(B225="F",VLOOKUP(I225,Barem!$G$2:$H$16,2,1),VLOOKUP(I225,Barem!$G$17:$H$31,2,1)))</f>
        <v>0.25</v>
      </c>
      <c r="L225" s="50">
        <v>2.25</v>
      </c>
      <c r="M225" s="124" t="s">
        <v>207</v>
      </c>
      <c r="N225" s="10">
        <f t="shared" si="104"/>
        <v>0.25</v>
      </c>
      <c r="O225" s="10">
        <f t="shared" si="104"/>
        <v>0.25</v>
      </c>
      <c r="P225" s="10">
        <f t="shared" si="104"/>
        <v>0.5</v>
      </c>
      <c r="Q225" s="40">
        <f t="shared" si="100"/>
        <v>0.25066666666666665</v>
      </c>
      <c r="R225" s="21">
        <f>IF(D225&gt;21,VLOOKUP(D225,Barem!$T$1:$U$141,2,1),0)</f>
        <v>0</v>
      </c>
      <c r="S225" s="152">
        <f>IF(D225&lt;1.609,0,IF(B225="F",VLOOKUP(I225,Barem!$X$2:$Z$13,2,1),VLOOKUP(I225,Barem!$X$14:$Z$25,2,1)))</f>
        <v>0</v>
      </c>
      <c r="T225" s="21">
        <f>VLOOKUP(A225,Participanti!A:C,3,0)</f>
        <v>0</v>
      </c>
      <c r="U225" s="18">
        <f t="shared" si="101"/>
        <v>2.2125714285714286</v>
      </c>
      <c r="V225" s="58" t="s">
        <v>391</v>
      </c>
      <c r="W225" s="77">
        <f t="shared" si="103"/>
        <v>1</v>
      </c>
      <c r="X225" s="1" t="e">
        <f>VLOOKUP(A225,Data_Echipe!A:R,18,0)</f>
        <v>#N/A</v>
      </c>
      <c r="Z225" s="115">
        <f t="shared" si="102"/>
        <v>1</v>
      </c>
    </row>
    <row r="226" spans="1:26" x14ac:dyDescent="0.3">
      <c r="A226" s="49" t="s">
        <v>368</v>
      </c>
      <c r="B226" s="1" t="str">
        <f>VLOOKUP(A226,Participanti!A:B,2,0)</f>
        <v>M</v>
      </c>
      <c r="C226" s="74">
        <v>3</v>
      </c>
      <c r="D226" s="50">
        <v>10.5</v>
      </c>
      <c r="E226" s="51">
        <v>3.4166666666666672E-2</v>
      </c>
      <c r="F226" s="51">
        <v>3.4571759259259253E-2</v>
      </c>
      <c r="G226" s="69">
        <f t="shared" si="97"/>
        <v>3.4369212962962963E-2</v>
      </c>
      <c r="H226" s="52"/>
      <c r="I226" s="12">
        <f t="shared" si="98"/>
        <v>3.2732583774250442E-3</v>
      </c>
      <c r="J226" s="37">
        <f t="shared" si="99"/>
        <v>2.5</v>
      </c>
      <c r="K226" s="37">
        <f>IF(J226=0,0,IF(B226="F",VLOOKUP(I226,Barem!$G$2:$H$16,2,1),VLOOKUP(I226,Barem!$G$17:$H$31,2,1)))</f>
        <v>3.5</v>
      </c>
      <c r="L226" s="50">
        <v>0.25</v>
      </c>
      <c r="M226" s="124" t="s">
        <v>106</v>
      </c>
      <c r="N226" s="10">
        <f t="shared" si="104"/>
        <v>0.5</v>
      </c>
      <c r="O226" s="10">
        <f t="shared" si="104"/>
        <v>0.25</v>
      </c>
      <c r="P226" s="10">
        <f t="shared" si="104"/>
        <v>0.25</v>
      </c>
      <c r="Q226" s="40">
        <f t="shared" si="100"/>
        <v>0</v>
      </c>
      <c r="R226" s="21">
        <f>IF(D226&gt;21,VLOOKUP(D226,Barem!$T$1:$U$141,2,1),0)</f>
        <v>0</v>
      </c>
      <c r="S226" s="152">
        <f>IF(D226&lt;1.609,0,IF(B226="F",VLOOKUP(I226,Barem!$X$2:$Z$13,2,1),VLOOKUP(I226,Barem!$X$14:$Z$25,2,1)))</f>
        <v>0</v>
      </c>
      <c r="T226" s="21">
        <f>VLOOKUP(A226,Participanti!A:C,3,0)</f>
        <v>0</v>
      </c>
      <c r="U226" s="18">
        <f t="shared" si="101"/>
        <v>2.1875</v>
      </c>
      <c r="V226" s="58" t="s">
        <v>391</v>
      </c>
      <c r="W226" s="77">
        <f t="shared" si="103"/>
        <v>1</v>
      </c>
      <c r="X226" s="1" t="str">
        <f>VLOOKUP(A226,Data_Echipe!A:R,18,0)</f>
        <v>Almost Kenyan Runners</v>
      </c>
      <c r="Z226" s="115">
        <f t="shared" si="102"/>
        <v>1</v>
      </c>
    </row>
    <row r="227" spans="1:26" x14ac:dyDescent="0.3">
      <c r="A227" s="49" t="s">
        <v>132</v>
      </c>
      <c r="B227" s="1" t="str">
        <f>VLOOKUP(A227,Participanti!A:B,2,0)</f>
        <v>F</v>
      </c>
      <c r="C227" s="74">
        <v>3</v>
      </c>
      <c r="D227" s="50">
        <v>10.039999999999999</v>
      </c>
      <c r="E227" s="51">
        <v>5.0277777777777775E-2</v>
      </c>
      <c r="F227" s="51">
        <v>5.2361111111111108E-2</v>
      </c>
      <c r="G227" s="69">
        <f t="shared" si="97"/>
        <v>5.1319444444444445E-2</v>
      </c>
      <c r="H227" s="52">
        <v>90</v>
      </c>
      <c r="I227" s="12">
        <f t="shared" si="98"/>
        <v>5.1114984506418779E-3</v>
      </c>
      <c r="J227" s="37">
        <f t="shared" si="99"/>
        <v>2.5099999999999998</v>
      </c>
      <c r="K227" s="37">
        <f>IF(J227=0,0,IF(B227="F",VLOOKUP(I227,Barem!$G$2:$H$16,2,1),VLOOKUP(I227,Barem!$G$17:$H$31,2,1)))</f>
        <v>0.5</v>
      </c>
      <c r="L227" s="50">
        <v>3.25</v>
      </c>
      <c r="M227" s="124" t="s">
        <v>207</v>
      </c>
      <c r="N227" s="10">
        <f t="shared" si="104"/>
        <v>0.25</v>
      </c>
      <c r="O227" s="10">
        <f t="shared" si="104"/>
        <v>0.25</v>
      </c>
      <c r="P227" s="10">
        <f t="shared" si="104"/>
        <v>0.5</v>
      </c>
      <c r="Q227" s="40">
        <f t="shared" si="100"/>
        <v>0.06</v>
      </c>
      <c r="R227" s="21">
        <f>IF(D227&gt;21,VLOOKUP(D227,Barem!$T$1:$U$141,2,1),0)</f>
        <v>0</v>
      </c>
      <c r="S227" s="152">
        <f>IF(D227&lt;1.609,0,IF(B227="F",VLOOKUP(I227,Barem!$X$2:$Z$13,2,1),VLOOKUP(I227,Barem!$X$14:$Z$25,2,1)))</f>
        <v>0</v>
      </c>
      <c r="T227" s="21">
        <f>VLOOKUP(A227,Participanti!A:C,3,0)</f>
        <v>0</v>
      </c>
      <c r="U227" s="18">
        <f t="shared" si="101"/>
        <v>2.4375</v>
      </c>
      <c r="V227" s="58" t="s">
        <v>391</v>
      </c>
      <c r="W227" s="77">
        <f t="shared" si="103"/>
        <v>1</v>
      </c>
      <c r="X227" s="1" t="str">
        <f>VLOOKUP(A227,Data_Echipe!A:R,18,0)</f>
        <v>MedgidiaRunning</v>
      </c>
      <c r="Z227" s="115">
        <f t="shared" si="102"/>
        <v>1</v>
      </c>
    </row>
    <row r="228" spans="1:26" x14ac:dyDescent="0.3">
      <c r="A228" s="49" t="s">
        <v>393</v>
      </c>
      <c r="B228" s="1" t="str">
        <f>VLOOKUP(A228,Participanti!A:B,2,0)</f>
        <v>M</v>
      </c>
      <c r="C228" s="74">
        <v>3</v>
      </c>
      <c r="D228" s="50">
        <v>13.34</v>
      </c>
      <c r="E228" s="51">
        <v>8.0127314814814818E-2</v>
      </c>
      <c r="F228" s="51">
        <v>9.52662037037037E-2</v>
      </c>
      <c r="G228" s="69">
        <f t="shared" si="97"/>
        <v>8.7696759259259266E-2</v>
      </c>
      <c r="H228" s="52">
        <v>457</v>
      </c>
      <c r="I228" s="12">
        <f t="shared" si="98"/>
        <v>6.5739699594647124E-3</v>
      </c>
      <c r="J228" s="37">
        <f t="shared" si="99"/>
        <v>3.176190476190476</v>
      </c>
      <c r="K228" s="37">
        <f>IF(J228=0,0,IF(B228="F",VLOOKUP(I228,Barem!$G$2:$H$16,2,1),VLOOKUP(I228,Barem!$G$17:$H$31,2,1)))</f>
        <v>0</v>
      </c>
      <c r="L228" s="50">
        <v>2.5</v>
      </c>
      <c r="M228" s="124" t="s">
        <v>207</v>
      </c>
      <c r="N228" s="10">
        <f t="shared" si="104"/>
        <v>0.25</v>
      </c>
      <c r="O228" s="10">
        <f t="shared" si="104"/>
        <v>0.25</v>
      </c>
      <c r="P228" s="10">
        <f t="shared" si="104"/>
        <v>0.5</v>
      </c>
      <c r="Q228" s="40">
        <f t="shared" si="100"/>
        <v>0.30466666666666664</v>
      </c>
      <c r="R228" s="21">
        <f>IF(D228&gt;21,VLOOKUP(D228,Barem!$T$1:$U$141,2,1),0)</f>
        <v>0</v>
      </c>
      <c r="S228" s="152">
        <f>IF(D228&lt;1.609,0,IF(B228="F",VLOOKUP(I228,Barem!$X$2:$Z$13,2,1),VLOOKUP(I228,Barem!$X$14:$Z$25,2,1)))</f>
        <v>0</v>
      </c>
      <c r="T228" s="21">
        <f>VLOOKUP(A228,Participanti!A:C,3,0)</f>
        <v>0</v>
      </c>
      <c r="U228" s="18">
        <f t="shared" si="101"/>
        <v>2.3487142857142853</v>
      </c>
      <c r="V228" s="58" t="s">
        <v>391</v>
      </c>
      <c r="W228" s="77">
        <f t="shared" si="103"/>
        <v>1</v>
      </c>
      <c r="X228" s="1" t="e">
        <f>VLOOKUP(A228,Data_Echipe!A:R,18,0)</f>
        <v>#N/A</v>
      </c>
      <c r="Z228" s="115">
        <f t="shared" si="102"/>
        <v>0</v>
      </c>
    </row>
    <row r="229" spans="1:26" x14ac:dyDescent="0.3">
      <c r="A229" s="49" t="s">
        <v>133</v>
      </c>
      <c r="B229" s="1" t="str">
        <f>VLOOKUP(A229,Participanti!A:B,2,0)</f>
        <v>M</v>
      </c>
      <c r="C229" s="74">
        <v>3</v>
      </c>
      <c r="D229" s="50">
        <v>35.01</v>
      </c>
      <c r="E229" s="51">
        <v>0.10542824074074074</v>
      </c>
      <c r="F229" s="51">
        <v>0.10549768518518519</v>
      </c>
      <c r="G229" s="69">
        <f t="shared" si="97"/>
        <v>0.10546296296296297</v>
      </c>
      <c r="H229" s="52">
        <v>205</v>
      </c>
      <c r="I229" s="12">
        <f t="shared" si="98"/>
        <v>3.0123668369883738E-3</v>
      </c>
      <c r="J229" s="37">
        <f t="shared" si="99"/>
        <v>5</v>
      </c>
      <c r="K229" s="37">
        <f>IF(J229=0,0,IF(B229="F",VLOOKUP(I229,Barem!$G$2:$H$16,2,1),VLOOKUP(I229,Barem!$G$17:$H$31,2,1)))</f>
        <v>4</v>
      </c>
      <c r="L229" s="50">
        <v>3.5</v>
      </c>
      <c r="M229" s="124" t="s">
        <v>106</v>
      </c>
      <c r="N229" s="10">
        <f t="shared" si="104"/>
        <v>0.5</v>
      </c>
      <c r="O229" s="10">
        <f t="shared" si="104"/>
        <v>0.25</v>
      </c>
      <c r="P229" s="10">
        <f t="shared" si="104"/>
        <v>0.25</v>
      </c>
      <c r="Q229" s="40">
        <f t="shared" si="100"/>
        <v>0.13666666666666666</v>
      </c>
      <c r="R229" s="21">
        <f>IF(D229&gt;21,VLOOKUP(D229,Barem!$T$1:$U$141,2,1),0)</f>
        <v>0.7</v>
      </c>
      <c r="S229" s="152">
        <f>IF(D229&lt;1.609,0,IF(B229="F",VLOOKUP(I229,Barem!$X$2:$Z$13,2,1),VLOOKUP(I229,Barem!$X$14:$Z$25,2,1)))</f>
        <v>0</v>
      </c>
      <c r="T229" s="21">
        <f>VLOOKUP(A229,Participanti!A:C,3,0)</f>
        <v>0.4</v>
      </c>
      <c r="U229" s="18">
        <f t="shared" si="101"/>
        <v>5.6116666666666672</v>
      </c>
      <c r="V229" s="58" t="s">
        <v>382</v>
      </c>
      <c r="W229" s="77">
        <f t="shared" si="103"/>
        <v>1</v>
      </c>
      <c r="X229" s="1" t="str">
        <f>VLOOKUP(A229,Data_Echipe!A:R,18,0)</f>
        <v>UltraHaita lu' Borcan</v>
      </c>
      <c r="Z229" s="115">
        <f t="shared" si="102"/>
        <v>1</v>
      </c>
    </row>
    <row r="230" spans="1:26" x14ac:dyDescent="0.3">
      <c r="A230" s="49" t="s">
        <v>383</v>
      </c>
      <c r="B230" s="1" t="str">
        <f>VLOOKUP(A230,Participanti!A:B,2,0)</f>
        <v>F</v>
      </c>
      <c r="C230" s="74">
        <v>3</v>
      </c>
      <c r="D230" s="50">
        <v>10.58</v>
      </c>
      <c r="E230" s="51">
        <v>4.3680555555555556E-2</v>
      </c>
      <c r="F230" s="51">
        <v>4.3680555555555556E-2</v>
      </c>
      <c r="G230" s="69">
        <f t="shared" si="97"/>
        <v>4.3680555555555556E-2</v>
      </c>
      <c r="H230" s="52"/>
      <c r="I230" s="12">
        <f t="shared" si="98"/>
        <v>4.1285969334173495E-3</v>
      </c>
      <c r="J230" s="37">
        <f t="shared" si="99"/>
        <v>2.645</v>
      </c>
      <c r="K230" s="37">
        <f>IF(J230=0,0,IF(B230="F",VLOOKUP(I230,Barem!$G$2:$H$16,2,1),VLOOKUP(I230,Barem!$G$17:$H$31,2,1)))</f>
        <v>2</v>
      </c>
      <c r="L230" s="50">
        <v>2.75</v>
      </c>
      <c r="M230" s="124" t="s">
        <v>207</v>
      </c>
      <c r="N230" s="10">
        <f t="shared" si="104"/>
        <v>0.25</v>
      </c>
      <c r="O230" s="10">
        <f t="shared" si="104"/>
        <v>0.25</v>
      </c>
      <c r="P230" s="10">
        <f t="shared" si="104"/>
        <v>0.5</v>
      </c>
      <c r="Q230" s="40">
        <f t="shared" si="100"/>
        <v>0</v>
      </c>
      <c r="R230" s="21">
        <f>IF(D230&gt;21,VLOOKUP(D230,Barem!$T$1:$U$141,2,1),0)</f>
        <v>0</v>
      </c>
      <c r="S230" s="152">
        <f>IF(D230&lt;1.609,0,IF(B230="F",VLOOKUP(I230,Barem!$X$2:$Z$13,2,1),VLOOKUP(I230,Barem!$X$14:$Z$25,2,1)))</f>
        <v>0</v>
      </c>
      <c r="T230" s="21">
        <f>VLOOKUP(A230,Participanti!A:C,3,0)</f>
        <v>0</v>
      </c>
      <c r="U230" s="18">
        <f t="shared" si="101"/>
        <v>2.5362499999999999</v>
      </c>
      <c r="V230" s="58" t="s">
        <v>391</v>
      </c>
      <c r="W230" s="77">
        <f t="shared" si="103"/>
        <v>1</v>
      </c>
      <c r="X230" s="1" t="str">
        <f>VLOOKUP(A230,Data_Echipe!A:R,18,0)</f>
        <v>The GOATs</v>
      </c>
      <c r="Z230" s="115">
        <f t="shared" si="102"/>
        <v>1</v>
      </c>
    </row>
    <row r="231" spans="1:26" x14ac:dyDescent="0.3">
      <c r="A231" s="49" t="s">
        <v>225</v>
      </c>
      <c r="B231" s="1" t="str">
        <f>VLOOKUP(A231,Participanti!A:B,2,0)</f>
        <v>F</v>
      </c>
      <c r="C231" s="74">
        <v>3</v>
      </c>
      <c r="D231" s="50">
        <v>21.45</v>
      </c>
      <c r="E231" s="51">
        <v>7.3113425925925915E-2</v>
      </c>
      <c r="F231" s="51">
        <v>7.3229166666666665E-2</v>
      </c>
      <c r="G231" s="69">
        <f t="shared" ref="G231:G257" si="105">AVERAGE(E231:F231)</f>
        <v>7.317129629629629E-2</v>
      </c>
      <c r="H231" s="52">
        <v>108</v>
      </c>
      <c r="I231" s="12">
        <f t="shared" ref="I231:I257" si="106">G231/D231</f>
        <v>3.4112492445825776E-3</v>
      </c>
      <c r="J231" s="37">
        <f t="shared" ref="J231:J257" si="107">IF(B231="F",IF(D231&lt;2.5,0,IF(D231&gt;19.99,5,D231/4)),IF(D231&lt;3,0, IF(D231&gt;20.99,5,D231/4.2)))</f>
        <v>5</v>
      </c>
      <c r="K231" s="37">
        <f>IF(J231=0,0,IF(B231="F",VLOOKUP(I231,Barem!$G$2:$H$16,2,1),VLOOKUP(I231,Barem!$G$17:$H$31,2,1)))</f>
        <v>4</v>
      </c>
      <c r="L231" s="50">
        <v>4</v>
      </c>
      <c r="M231" s="124" t="s">
        <v>207</v>
      </c>
      <c r="N231" s="10">
        <f t="shared" si="104"/>
        <v>0.25</v>
      </c>
      <c r="O231" s="10">
        <f t="shared" si="104"/>
        <v>0.25</v>
      </c>
      <c r="P231" s="10">
        <f t="shared" si="104"/>
        <v>0.5</v>
      </c>
      <c r="Q231" s="40">
        <f t="shared" ref="Q231:Q257" si="108">IF(H231&gt;49,H231/1500,0)</f>
        <v>7.1999999999999995E-2</v>
      </c>
      <c r="R231" s="21">
        <f>IF(D231&gt;21,VLOOKUP(D231,Barem!$T$1:$U$141,2,1),0)</f>
        <v>0</v>
      </c>
      <c r="S231" s="152">
        <f>IF(D231&lt;1.609,0,IF(B231="F",VLOOKUP(I231,Barem!$X$2:$Z$13,2,1),VLOOKUP(I231,Barem!$X$14:$Z$25,2,1)))</f>
        <v>0</v>
      </c>
      <c r="T231" s="21">
        <f>VLOOKUP(A231,Participanti!A:C,3,0)</f>
        <v>0</v>
      </c>
      <c r="U231" s="18">
        <f t="shared" ref="U231:U257" si="109">IF(H231&lt;0,0,J231*N231+K231*O231+L231*P231+Q231+R231+S231+T231)</f>
        <v>4.3220000000000001</v>
      </c>
      <c r="V231" s="58" t="s">
        <v>391</v>
      </c>
      <c r="W231" s="77">
        <f t="shared" si="103"/>
        <v>1</v>
      </c>
      <c r="X231" s="1" t="str">
        <f>VLOOKUP(A231,Data_Echipe!A:R,18,0)</f>
        <v>The GOATs</v>
      </c>
      <c r="Z231" s="115">
        <f t="shared" ref="Z231:Z257" si="110">IF(K231&gt;0,1,0)</f>
        <v>1</v>
      </c>
    </row>
    <row r="232" spans="1:26" x14ac:dyDescent="0.3">
      <c r="A232" s="49" t="s">
        <v>332</v>
      </c>
      <c r="B232" s="1" t="str">
        <f>VLOOKUP(A232,Participanti!A:B,2,0)</f>
        <v>M</v>
      </c>
      <c r="C232" s="74">
        <v>3</v>
      </c>
      <c r="D232" s="50">
        <v>10.01</v>
      </c>
      <c r="E232" s="51">
        <v>3.5520833333333328E-2</v>
      </c>
      <c r="F232" s="51">
        <v>3.5520833333333328E-2</v>
      </c>
      <c r="G232" s="69">
        <f t="shared" si="105"/>
        <v>3.5520833333333328E-2</v>
      </c>
      <c r="H232" s="52"/>
      <c r="I232" s="12">
        <f t="shared" si="106"/>
        <v>3.5485347985347981E-3</v>
      </c>
      <c r="J232" s="37">
        <f t="shared" si="107"/>
        <v>2.3833333333333333</v>
      </c>
      <c r="K232" s="37">
        <f>IF(J232=0,0,IF(B232="F",VLOOKUP(I232,Barem!$G$2:$H$16,2,1),VLOOKUP(I232,Barem!$G$17:$H$31,2,1)))</f>
        <v>2.5</v>
      </c>
      <c r="L232" s="50">
        <v>2.75</v>
      </c>
      <c r="M232" s="124" t="s">
        <v>207</v>
      </c>
      <c r="N232" s="10">
        <f t="shared" ref="N232:P258" si="111">IF($M232=N$1,50%,25%)</f>
        <v>0.25</v>
      </c>
      <c r="O232" s="10">
        <f t="shared" si="111"/>
        <v>0.25</v>
      </c>
      <c r="P232" s="10">
        <f t="shared" si="111"/>
        <v>0.5</v>
      </c>
      <c r="Q232" s="40">
        <f t="shared" si="108"/>
        <v>0</v>
      </c>
      <c r="R232" s="21">
        <f>IF(D232&gt;21,VLOOKUP(D232,Barem!$T$1:$U$141,2,1),0)</f>
        <v>0</v>
      </c>
      <c r="S232" s="152">
        <f>IF(D232&lt;1.609,0,IF(B232="F",VLOOKUP(I232,Barem!$X$2:$Z$13,2,1),VLOOKUP(I232,Barem!$X$14:$Z$25,2,1)))</f>
        <v>0</v>
      </c>
      <c r="T232" s="21">
        <f>VLOOKUP(A232,Participanti!A:C,3,0)</f>
        <v>0.4</v>
      </c>
      <c r="U232" s="18">
        <f t="shared" si="109"/>
        <v>2.9958333333333331</v>
      </c>
      <c r="V232" s="58" t="s">
        <v>391</v>
      </c>
      <c r="W232" s="77">
        <f t="shared" si="103"/>
        <v>1</v>
      </c>
      <c r="X232" s="1" t="str">
        <f>VLOOKUP(A232,Data_Echipe!A:R,18,0)</f>
        <v>MedgidiaRunning</v>
      </c>
      <c r="Z232" s="115">
        <f t="shared" si="110"/>
        <v>1</v>
      </c>
    </row>
    <row r="233" spans="1:26" x14ac:dyDescent="0.3">
      <c r="A233" s="49" t="s">
        <v>351</v>
      </c>
      <c r="B233" s="1" t="str">
        <f>VLOOKUP(A233,Participanti!A:B,2,0)</f>
        <v>F</v>
      </c>
      <c r="C233" s="74">
        <v>3</v>
      </c>
      <c r="D233" s="50">
        <v>10.76</v>
      </c>
      <c r="E233" s="51">
        <v>3.7314814814814815E-2</v>
      </c>
      <c r="F233" s="51">
        <v>3.7314814814814815E-2</v>
      </c>
      <c r="G233" s="69">
        <f t="shared" si="105"/>
        <v>3.7314814814814815E-2</v>
      </c>
      <c r="H233" s="52"/>
      <c r="I233" s="12">
        <f t="shared" si="106"/>
        <v>3.4679195924549083E-3</v>
      </c>
      <c r="J233" s="37">
        <f t="shared" si="107"/>
        <v>2.69</v>
      </c>
      <c r="K233" s="37">
        <f>IF(J233=0,0,IF(B233="F",VLOOKUP(I233,Barem!$G$2:$H$16,2,1),VLOOKUP(I233,Barem!$G$17:$H$31,2,1)))</f>
        <v>4</v>
      </c>
      <c r="L233" s="50">
        <v>1.25</v>
      </c>
      <c r="M233" s="124" t="s">
        <v>107</v>
      </c>
      <c r="N233" s="10">
        <f t="shared" si="111"/>
        <v>0.25</v>
      </c>
      <c r="O233" s="10">
        <f t="shared" si="111"/>
        <v>0.5</v>
      </c>
      <c r="P233" s="10">
        <f t="shared" si="111"/>
        <v>0.25</v>
      </c>
      <c r="Q233" s="40">
        <f t="shared" si="108"/>
        <v>0</v>
      </c>
      <c r="R233" s="21">
        <f>IF(D233&gt;21,VLOOKUP(D233,Barem!$T$1:$U$141,2,1),0)</f>
        <v>0</v>
      </c>
      <c r="S233" s="152">
        <f>IF(D233&lt;1.609,0,IF(B233="F",VLOOKUP(I233,Barem!$X$2:$Z$13,2,1),VLOOKUP(I233,Barem!$X$14:$Z$25,2,1)))</f>
        <v>0</v>
      </c>
      <c r="T233" s="21">
        <f>VLOOKUP(A233,Participanti!A:C,3,0)</f>
        <v>0</v>
      </c>
      <c r="U233" s="18">
        <f t="shared" si="109"/>
        <v>2.9849999999999999</v>
      </c>
      <c r="V233" s="58" t="s">
        <v>391</v>
      </c>
      <c r="W233" s="77">
        <f t="shared" si="103"/>
        <v>1</v>
      </c>
      <c r="X233" s="1" t="e">
        <f>VLOOKUP(A233,Data_Echipe!A:R,18,0)</f>
        <v>#N/A</v>
      </c>
      <c r="Z233" s="115">
        <f t="shared" si="110"/>
        <v>1</v>
      </c>
    </row>
    <row r="234" spans="1:26" x14ac:dyDescent="0.3">
      <c r="A234" s="49" t="s">
        <v>394</v>
      </c>
      <c r="B234" s="1" t="str">
        <f>VLOOKUP(A234,Participanti!A:B,2,0)</f>
        <v>M</v>
      </c>
      <c r="C234" s="74">
        <v>3</v>
      </c>
      <c r="D234" s="50">
        <v>10.8</v>
      </c>
      <c r="E234" s="51">
        <v>3.2511574074074075E-2</v>
      </c>
      <c r="F234" s="51">
        <v>3.2546296296296295E-2</v>
      </c>
      <c r="G234" s="69">
        <f t="shared" si="105"/>
        <v>3.2528935185185182E-2</v>
      </c>
      <c r="H234" s="52"/>
      <c r="I234" s="12">
        <f t="shared" si="106"/>
        <v>3.0119384430727018E-3</v>
      </c>
      <c r="J234" s="37">
        <f t="shared" si="107"/>
        <v>2.5714285714285716</v>
      </c>
      <c r="K234" s="37">
        <f>IF(J234=0,0,IF(B234="F",VLOOKUP(I234,Barem!$G$2:$H$16,2,1),VLOOKUP(I234,Barem!$G$17:$H$31,2,1)))</f>
        <v>4</v>
      </c>
      <c r="L234" s="50">
        <v>1</v>
      </c>
      <c r="M234" s="124" t="s">
        <v>207</v>
      </c>
      <c r="N234" s="10">
        <f t="shared" si="111"/>
        <v>0.25</v>
      </c>
      <c r="O234" s="10">
        <f t="shared" si="111"/>
        <v>0.25</v>
      </c>
      <c r="P234" s="10">
        <f t="shared" si="111"/>
        <v>0.5</v>
      </c>
      <c r="Q234" s="40">
        <f t="shared" si="108"/>
        <v>0</v>
      </c>
      <c r="R234" s="21">
        <f>IF(D234&gt;21,VLOOKUP(D234,Barem!$T$1:$U$141,2,1),0)</f>
        <v>0</v>
      </c>
      <c r="S234" s="152">
        <f>IF(D234&lt;1.609,0,IF(B234="F",VLOOKUP(I234,Barem!$X$2:$Z$13,2,1),VLOOKUP(I234,Barem!$X$14:$Z$25,2,1)))</f>
        <v>0</v>
      </c>
      <c r="T234" s="21">
        <f>VLOOKUP(A234,Participanti!A:C,3,0)</f>
        <v>0</v>
      </c>
      <c r="U234" s="18">
        <f t="shared" si="109"/>
        <v>2.1428571428571428</v>
      </c>
      <c r="V234" s="58" t="s">
        <v>391</v>
      </c>
      <c r="W234" s="77">
        <f t="shared" si="103"/>
        <v>1</v>
      </c>
      <c r="X234" s="1" t="e">
        <f>VLOOKUP(A234,Data_Echipe!A:R,18,0)</f>
        <v>#N/A</v>
      </c>
      <c r="Z234" s="115">
        <f t="shared" si="110"/>
        <v>1</v>
      </c>
    </row>
    <row r="235" spans="1:26" x14ac:dyDescent="0.3">
      <c r="A235" s="49" t="s">
        <v>300</v>
      </c>
      <c r="B235" s="1" t="str">
        <f>VLOOKUP(A235,Participanti!A:B,2,0)</f>
        <v>M</v>
      </c>
      <c r="C235" s="74">
        <v>3</v>
      </c>
      <c r="D235" s="50">
        <v>11.57</v>
      </c>
      <c r="E235" s="51">
        <v>4.1261574074074069E-2</v>
      </c>
      <c r="F235" s="51">
        <v>4.1666666666666664E-2</v>
      </c>
      <c r="G235" s="69">
        <f t="shared" si="105"/>
        <v>4.1464120370370366E-2</v>
      </c>
      <c r="H235" s="52"/>
      <c r="I235" s="12">
        <f t="shared" si="106"/>
        <v>3.5837614840423825E-3</v>
      </c>
      <c r="J235" s="37">
        <f t="shared" si="107"/>
        <v>2.7547619047619047</v>
      </c>
      <c r="K235" s="37">
        <f>IF(J235=0,0,IF(B235="F",VLOOKUP(I235,Barem!$G$2:$H$16,2,1),VLOOKUP(I235,Barem!$G$17:$H$31,2,1)))</f>
        <v>2.5</v>
      </c>
      <c r="L235" s="50">
        <v>2</v>
      </c>
      <c r="M235" s="124" t="s">
        <v>207</v>
      </c>
      <c r="N235" s="10">
        <f t="shared" si="111"/>
        <v>0.25</v>
      </c>
      <c r="O235" s="10">
        <f t="shared" si="111"/>
        <v>0.25</v>
      </c>
      <c r="P235" s="10">
        <f t="shared" si="111"/>
        <v>0.5</v>
      </c>
      <c r="Q235" s="40">
        <f t="shared" si="108"/>
        <v>0</v>
      </c>
      <c r="R235" s="21">
        <f>IF(D235&gt;21,VLOOKUP(D235,Barem!$T$1:$U$141,2,1),0)</f>
        <v>0</v>
      </c>
      <c r="S235" s="152">
        <f>IF(D235&lt;1.609,0,IF(B235="F",VLOOKUP(I235,Barem!$X$2:$Z$13,2,1),VLOOKUP(I235,Barem!$X$14:$Z$25,2,1)))</f>
        <v>0</v>
      </c>
      <c r="T235" s="21">
        <f>VLOOKUP(A235,Participanti!A:C,3,0)</f>
        <v>0</v>
      </c>
      <c r="U235" s="18">
        <f t="shared" si="109"/>
        <v>2.3136904761904762</v>
      </c>
      <c r="V235" s="58" t="s">
        <v>391</v>
      </c>
      <c r="W235" s="77">
        <f t="shared" si="103"/>
        <v>1</v>
      </c>
      <c r="X235" s="1" t="str">
        <f>VLOOKUP(A235,Data_Echipe!A:R,18,0)</f>
        <v>#notSYRious</v>
      </c>
      <c r="Z235" s="115">
        <f t="shared" si="110"/>
        <v>1</v>
      </c>
    </row>
    <row r="236" spans="1:26" x14ac:dyDescent="0.3">
      <c r="A236" s="49" t="s">
        <v>100</v>
      </c>
      <c r="B236" s="1" t="str">
        <f>VLOOKUP(A236,Participanti!A:B,2,0)</f>
        <v>F</v>
      </c>
      <c r="C236" s="74">
        <v>3</v>
      </c>
      <c r="D236" s="50">
        <v>10.039999999999999</v>
      </c>
      <c r="E236" s="51">
        <v>3.712962962962963E-2</v>
      </c>
      <c r="F236" s="51">
        <v>3.8310185185185183E-2</v>
      </c>
      <c r="G236" s="69">
        <f t="shared" si="105"/>
        <v>3.771990740740741E-2</v>
      </c>
      <c r="H236" s="52"/>
      <c r="I236" s="12">
        <f t="shared" si="106"/>
        <v>3.7569628891840055E-3</v>
      </c>
      <c r="J236" s="37">
        <f t="shared" si="107"/>
        <v>2.5099999999999998</v>
      </c>
      <c r="K236" s="37">
        <f>IF(J236=0,0,IF(B236="F",VLOOKUP(I236,Barem!$G$2:$H$16,2,1),VLOOKUP(I236,Barem!$G$17:$H$31,2,1)))</f>
        <v>3</v>
      </c>
      <c r="L236" s="50">
        <v>0.5</v>
      </c>
      <c r="M236" s="124" t="s">
        <v>107</v>
      </c>
      <c r="N236" s="10">
        <f t="shared" si="111"/>
        <v>0.25</v>
      </c>
      <c r="O236" s="10">
        <f t="shared" si="111"/>
        <v>0.5</v>
      </c>
      <c r="P236" s="10">
        <f t="shared" si="111"/>
        <v>0.25</v>
      </c>
      <c r="Q236" s="40">
        <f t="shared" si="108"/>
        <v>0</v>
      </c>
      <c r="R236" s="21">
        <f>IF(D236&gt;21,VLOOKUP(D236,Barem!$T$1:$U$141,2,1),0)</f>
        <v>0</v>
      </c>
      <c r="S236" s="152">
        <f>IF(D236&lt;1.609,0,IF(B236="F",VLOOKUP(I236,Barem!$X$2:$Z$13,2,1),VLOOKUP(I236,Barem!$X$14:$Z$25,2,1)))</f>
        <v>0</v>
      </c>
      <c r="T236" s="21">
        <f>VLOOKUP(A236,Participanti!A:C,3,0)</f>
        <v>0</v>
      </c>
      <c r="U236" s="18">
        <f t="shared" si="109"/>
        <v>2.2524999999999999</v>
      </c>
      <c r="V236" s="58" t="s">
        <v>391</v>
      </c>
      <c r="W236" s="77">
        <f t="shared" si="103"/>
        <v>1</v>
      </c>
      <c r="X236" s="1" t="e">
        <f>VLOOKUP(A236,Data_Echipe!A:R,18,0)</f>
        <v>#N/A</v>
      </c>
      <c r="Z236" s="115">
        <f t="shared" si="110"/>
        <v>1</v>
      </c>
    </row>
    <row r="237" spans="1:26" x14ac:dyDescent="0.3">
      <c r="A237" s="49" t="s">
        <v>369</v>
      </c>
      <c r="B237" s="1" t="str">
        <f>VLOOKUP(A237,Participanti!A:B,2,0)</f>
        <v>M</v>
      </c>
      <c r="C237" s="74">
        <v>3</v>
      </c>
      <c r="D237" s="50">
        <v>20.38</v>
      </c>
      <c r="E237" s="51">
        <v>0.13729166666666667</v>
      </c>
      <c r="F237" s="51">
        <v>0.13731481481481481</v>
      </c>
      <c r="G237" s="69">
        <f t="shared" si="105"/>
        <v>0.13730324074074074</v>
      </c>
      <c r="H237" s="52">
        <v>744</v>
      </c>
      <c r="I237" s="12">
        <f t="shared" si="106"/>
        <v>6.7371560716752085E-3</v>
      </c>
      <c r="J237" s="37">
        <f t="shared" si="107"/>
        <v>4.852380952380952</v>
      </c>
      <c r="K237" s="37">
        <f>IF(J237=0,0,IF(B237="F",VLOOKUP(I237,Barem!$G$2:$H$16,2,1),VLOOKUP(I237,Barem!$G$17:$H$31,2,1)))</f>
        <v>0</v>
      </c>
      <c r="L237" s="50">
        <v>3</v>
      </c>
      <c r="M237" s="124" t="s">
        <v>207</v>
      </c>
      <c r="N237" s="10">
        <f t="shared" si="111"/>
        <v>0.25</v>
      </c>
      <c r="O237" s="10">
        <f t="shared" si="111"/>
        <v>0.25</v>
      </c>
      <c r="P237" s="10">
        <f t="shared" si="111"/>
        <v>0.5</v>
      </c>
      <c r="Q237" s="40">
        <f t="shared" si="108"/>
        <v>0.496</v>
      </c>
      <c r="R237" s="21">
        <f>IF(D237&gt;21,VLOOKUP(D237,Barem!$T$1:$U$141,2,1),0)</f>
        <v>0</v>
      </c>
      <c r="S237" s="152">
        <f>IF(D237&lt;1.609,0,IF(B237="F",VLOOKUP(I237,Barem!$X$2:$Z$13,2,1),VLOOKUP(I237,Barem!$X$14:$Z$25,2,1)))</f>
        <v>0</v>
      </c>
      <c r="T237" s="21">
        <f>VLOOKUP(A237,Participanti!A:C,3,0)</f>
        <v>0</v>
      </c>
      <c r="U237" s="18">
        <f t="shared" si="109"/>
        <v>3.2090952380952378</v>
      </c>
      <c r="V237" s="58" t="s">
        <v>391</v>
      </c>
      <c r="W237" s="77">
        <f t="shared" si="103"/>
        <v>1</v>
      </c>
      <c r="X237" s="1" t="str">
        <f>VLOOKUP(A237,Data_Echipe!A:R,18,0)</f>
        <v>MedgidiaRunning</v>
      </c>
      <c r="Z237" s="115">
        <f t="shared" si="110"/>
        <v>0</v>
      </c>
    </row>
    <row r="238" spans="1:26" x14ac:dyDescent="0.3">
      <c r="A238" s="49" t="s">
        <v>205</v>
      </c>
      <c r="B238" s="1" t="str">
        <f>VLOOKUP(A238,Participanti!A:B,2,0)</f>
        <v>M</v>
      </c>
      <c r="C238" s="74">
        <v>3</v>
      </c>
      <c r="D238" s="50">
        <v>22.01</v>
      </c>
      <c r="E238" s="51">
        <v>7.1956018518518516E-2</v>
      </c>
      <c r="F238" s="51">
        <v>7.2662037037037039E-2</v>
      </c>
      <c r="G238" s="69">
        <f t="shared" si="105"/>
        <v>7.2309027777777785E-2</v>
      </c>
      <c r="H238" s="52">
        <v>313</v>
      </c>
      <c r="I238" s="12">
        <f t="shared" si="106"/>
        <v>3.2852806804987635E-3</v>
      </c>
      <c r="J238" s="37">
        <f t="shared" si="107"/>
        <v>5</v>
      </c>
      <c r="K238" s="37">
        <f>IF(J238=0,0,IF(B238="F",VLOOKUP(I238,Barem!$G$2:$H$16,2,1),VLOOKUP(I238,Barem!$G$17:$H$31,2,1)))</f>
        <v>3.5</v>
      </c>
      <c r="L238" s="50">
        <v>3.25</v>
      </c>
      <c r="M238" s="124" t="s">
        <v>106</v>
      </c>
      <c r="N238" s="10">
        <f t="shared" si="111"/>
        <v>0.5</v>
      </c>
      <c r="O238" s="10">
        <f t="shared" si="111"/>
        <v>0.25</v>
      </c>
      <c r="P238" s="10">
        <f t="shared" si="111"/>
        <v>0.25</v>
      </c>
      <c r="Q238" s="40">
        <f t="shared" si="108"/>
        <v>0.20866666666666667</v>
      </c>
      <c r="R238" s="21">
        <f>IF(D238&gt;21,VLOOKUP(D238,Barem!$T$1:$U$141,2,1),0)</f>
        <v>0</v>
      </c>
      <c r="S238" s="152">
        <f>IF(D238&lt;1.609,0,IF(B238="F",VLOOKUP(I238,Barem!$X$2:$Z$13,2,1),VLOOKUP(I238,Barem!$X$14:$Z$25,2,1)))</f>
        <v>0</v>
      </c>
      <c r="T238" s="21">
        <f>VLOOKUP(A238,Participanti!A:C,3,0)</f>
        <v>0</v>
      </c>
      <c r="U238" s="18">
        <f t="shared" si="109"/>
        <v>4.3961666666666668</v>
      </c>
      <c r="V238" s="58" t="s">
        <v>391</v>
      </c>
      <c r="W238" s="77">
        <f t="shared" si="103"/>
        <v>1</v>
      </c>
      <c r="X238" s="1" t="str">
        <f>VLOOKUP(A238,Data_Echipe!A:R,18,0)</f>
        <v>Almost Kenyan Runners</v>
      </c>
      <c r="Z238" s="115">
        <f t="shared" si="110"/>
        <v>1</v>
      </c>
    </row>
    <row r="239" spans="1:26" x14ac:dyDescent="0.3">
      <c r="A239" s="49" t="s">
        <v>128</v>
      </c>
      <c r="B239" s="1" t="str">
        <f>VLOOKUP(A239,Participanti!A:B,2,0)</f>
        <v>M</v>
      </c>
      <c r="C239" s="74">
        <v>3</v>
      </c>
      <c r="D239" s="50">
        <v>25</v>
      </c>
      <c r="E239" s="51">
        <v>9.4166666666666662E-2</v>
      </c>
      <c r="F239" s="51">
        <v>9.4386574074074081E-2</v>
      </c>
      <c r="G239" s="69">
        <f t="shared" si="105"/>
        <v>9.4276620370370379E-2</v>
      </c>
      <c r="H239" s="52">
        <v>67</v>
      </c>
      <c r="I239" s="12">
        <f t="shared" si="106"/>
        <v>3.7710648148148152E-3</v>
      </c>
      <c r="J239" s="37">
        <f t="shared" si="107"/>
        <v>5</v>
      </c>
      <c r="K239" s="37">
        <f>IF(J239=0,0,IF(B239="F",VLOOKUP(I239,Barem!$G$2:$H$16,2,1),VLOOKUP(I239,Barem!$G$17:$H$31,2,1)))</f>
        <v>2</v>
      </c>
      <c r="L239" s="50">
        <v>1.5</v>
      </c>
      <c r="M239" s="124" t="s">
        <v>106</v>
      </c>
      <c r="N239" s="10">
        <f t="shared" si="111"/>
        <v>0.5</v>
      </c>
      <c r="O239" s="10">
        <f t="shared" si="111"/>
        <v>0.25</v>
      </c>
      <c r="P239" s="10">
        <f t="shared" si="111"/>
        <v>0.25</v>
      </c>
      <c r="Q239" s="40">
        <f t="shared" si="108"/>
        <v>4.4666666666666667E-2</v>
      </c>
      <c r="R239" s="21">
        <f>IF(D239&gt;21,VLOOKUP(D239,Barem!$T$1:$U$141,2,1),0)</f>
        <v>0.2</v>
      </c>
      <c r="S239" s="152">
        <f>IF(D239&lt;1.609,0,IF(B239="F",VLOOKUP(I239,Barem!$X$2:$Z$13,2,1),VLOOKUP(I239,Barem!$X$14:$Z$25,2,1)))</f>
        <v>0</v>
      </c>
      <c r="T239" s="21">
        <f>VLOOKUP(A239,Participanti!A:C,3,0)</f>
        <v>0</v>
      </c>
      <c r="U239" s="18">
        <f t="shared" si="109"/>
        <v>3.6196666666666668</v>
      </c>
      <c r="V239" s="58" t="s">
        <v>391</v>
      </c>
      <c r="W239" s="77">
        <f t="shared" si="103"/>
        <v>1</v>
      </c>
      <c r="X239" s="1" t="str">
        <f>VLOOKUP(A239,Data_Echipe!A:R,18,0)</f>
        <v>Almost Kenyan Runners</v>
      </c>
      <c r="Z239" s="115">
        <f t="shared" si="110"/>
        <v>1</v>
      </c>
    </row>
    <row r="240" spans="1:26" x14ac:dyDescent="0.3">
      <c r="A240" s="49" t="s">
        <v>208</v>
      </c>
      <c r="B240" s="1" t="str">
        <f>VLOOKUP(A240,Participanti!A:B,2,0)</f>
        <v>M</v>
      </c>
      <c r="C240" s="74">
        <v>3</v>
      </c>
      <c r="D240" s="50">
        <v>20.8</v>
      </c>
      <c r="E240" s="51">
        <v>7.4652777777777776E-2</v>
      </c>
      <c r="F240" s="51">
        <v>7.4687500000000004E-2</v>
      </c>
      <c r="G240" s="69">
        <f t="shared" si="105"/>
        <v>7.467013888888889E-2</v>
      </c>
      <c r="H240" s="52">
        <v>64</v>
      </c>
      <c r="I240" s="12">
        <f t="shared" si="106"/>
        <v>3.5899105235042733E-3</v>
      </c>
      <c r="J240" s="37">
        <f t="shared" si="107"/>
        <v>4.9523809523809526</v>
      </c>
      <c r="K240" s="37">
        <f>IF(J240=0,0,IF(B240="F",VLOOKUP(I240,Barem!$G$2:$H$16,2,1),VLOOKUP(I240,Barem!$G$17:$H$31,2,1)))</f>
        <v>2.5</v>
      </c>
      <c r="L240" s="50">
        <v>2.25</v>
      </c>
      <c r="M240" s="124" t="s">
        <v>207</v>
      </c>
      <c r="N240" s="10">
        <f t="shared" si="111"/>
        <v>0.25</v>
      </c>
      <c r="O240" s="10">
        <f t="shared" si="111"/>
        <v>0.25</v>
      </c>
      <c r="P240" s="10">
        <f t="shared" si="111"/>
        <v>0.5</v>
      </c>
      <c r="Q240" s="40">
        <f t="shared" si="108"/>
        <v>4.2666666666666665E-2</v>
      </c>
      <c r="R240" s="21">
        <f>IF(D240&gt;21,VLOOKUP(D240,Barem!$T$1:$U$141,2,1),0)</f>
        <v>0</v>
      </c>
      <c r="S240" s="152">
        <f>IF(D240&lt;1.609,0,IF(B240="F",VLOOKUP(I240,Barem!$X$2:$Z$13,2,1),VLOOKUP(I240,Barem!$X$14:$Z$25,2,1)))</f>
        <v>0</v>
      </c>
      <c r="T240" s="21">
        <f>VLOOKUP(A240,Participanti!A:C,3,0)</f>
        <v>0</v>
      </c>
      <c r="U240" s="18">
        <f t="shared" si="109"/>
        <v>3.030761904761905</v>
      </c>
      <c r="V240" s="58" t="s">
        <v>391</v>
      </c>
      <c r="W240" s="77">
        <f t="shared" si="103"/>
        <v>1</v>
      </c>
      <c r="X240" s="1" t="e">
        <f>VLOOKUP(A240,Data_Echipe!A:R,18,0)</f>
        <v>#N/A</v>
      </c>
      <c r="Z240" s="115">
        <f t="shared" si="110"/>
        <v>1</v>
      </c>
    </row>
    <row r="241" spans="1:26" x14ac:dyDescent="0.3">
      <c r="A241" s="49" t="s">
        <v>49</v>
      </c>
      <c r="B241" s="1" t="str">
        <f>VLOOKUP(A241,Participanti!A:B,2,0)</f>
        <v>M</v>
      </c>
      <c r="C241" s="74">
        <v>3</v>
      </c>
      <c r="D241" s="50">
        <v>43.48</v>
      </c>
      <c r="E241" s="51">
        <v>0.2177199074074074</v>
      </c>
      <c r="F241" s="51">
        <v>0.24861111111111112</v>
      </c>
      <c r="G241" s="69">
        <f t="shared" si="105"/>
        <v>0.23316550925925927</v>
      </c>
      <c r="H241" s="52">
        <v>788</v>
      </c>
      <c r="I241" s="12">
        <f t="shared" si="106"/>
        <v>5.3625922092745927E-3</v>
      </c>
      <c r="J241" s="37">
        <f t="shared" si="107"/>
        <v>5</v>
      </c>
      <c r="K241" s="37">
        <f>IF(J241=0,0,IF(B241="F",VLOOKUP(I241,Barem!$G$2:$H$16,2,1),VLOOKUP(I241,Barem!$G$17:$H$31,2,1)))</f>
        <v>0.25</v>
      </c>
      <c r="L241" s="50">
        <v>4</v>
      </c>
      <c r="M241" s="124" t="s">
        <v>106</v>
      </c>
      <c r="N241" s="10">
        <f t="shared" si="111"/>
        <v>0.5</v>
      </c>
      <c r="O241" s="10">
        <f t="shared" si="111"/>
        <v>0.25</v>
      </c>
      <c r="P241" s="10">
        <f t="shared" si="111"/>
        <v>0.25</v>
      </c>
      <c r="Q241" s="40">
        <f t="shared" si="108"/>
        <v>0.52533333333333332</v>
      </c>
      <c r="R241" s="21">
        <f>IF(D241&gt;21,VLOOKUP(D241,Barem!$T$1:$U$141,2,1),0)</f>
        <v>1.1000000000000001</v>
      </c>
      <c r="S241" s="152">
        <f>IF(D241&lt;1.609,0,IF(B241="F",VLOOKUP(I241,Barem!$X$2:$Z$13,2,1),VLOOKUP(I241,Barem!$X$14:$Z$25,2,1)))</f>
        <v>0</v>
      </c>
      <c r="T241" s="21">
        <f>VLOOKUP(A241,Participanti!A:C,3,0)</f>
        <v>0</v>
      </c>
      <c r="U241" s="18">
        <f t="shared" si="109"/>
        <v>5.1878333333333337</v>
      </c>
      <c r="V241" s="58" t="s">
        <v>391</v>
      </c>
      <c r="W241" s="77">
        <f t="shared" si="103"/>
        <v>1</v>
      </c>
      <c r="X241" s="1" t="str">
        <f>VLOOKUP(A241,Data_Echipe!A:R,18,0)</f>
        <v>The GOATs</v>
      </c>
      <c r="Z241" s="115">
        <f t="shared" si="110"/>
        <v>1</v>
      </c>
    </row>
    <row r="242" spans="1:26" x14ac:dyDescent="0.3">
      <c r="A242" s="49" t="s">
        <v>343</v>
      </c>
      <c r="B242" s="1" t="str">
        <f>VLOOKUP(A242,Participanti!A:B,2,0)</f>
        <v>M</v>
      </c>
      <c r="C242" s="74">
        <v>3</v>
      </c>
      <c r="D242" s="50">
        <v>21.21</v>
      </c>
      <c r="E242" s="51">
        <v>6.4074074074074075E-2</v>
      </c>
      <c r="F242" s="51">
        <v>6.4108796296296303E-2</v>
      </c>
      <c r="G242" s="69">
        <f t="shared" si="105"/>
        <v>6.4091435185185189E-2</v>
      </c>
      <c r="H242" s="52">
        <v>85</v>
      </c>
      <c r="I242" s="12">
        <f t="shared" si="106"/>
        <v>3.0217555485707302E-3</v>
      </c>
      <c r="J242" s="37">
        <f t="shared" si="107"/>
        <v>5</v>
      </c>
      <c r="K242" s="37">
        <f>IF(J242=0,0,IF(B242="F",VLOOKUP(I242,Barem!$G$2:$H$16,2,1),VLOOKUP(I242,Barem!$G$17:$H$31,2,1)))</f>
        <v>4</v>
      </c>
      <c r="L242" s="50">
        <v>3</v>
      </c>
      <c r="M242" s="124" t="s">
        <v>107</v>
      </c>
      <c r="N242" s="10">
        <f t="shared" si="111"/>
        <v>0.25</v>
      </c>
      <c r="O242" s="10">
        <f t="shared" si="111"/>
        <v>0.5</v>
      </c>
      <c r="P242" s="10">
        <f t="shared" si="111"/>
        <v>0.25</v>
      </c>
      <c r="Q242" s="40">
        <f t="shared" si="108"/>
        <v>5.6666666666666664E-2</v>
      </c>
      <c r="R242" s="21">
        <f>IF(D242&gt;21,VLOOKUP(D242,Barem!$T$1:$U$141,2,1),0)</f>
        <v>0</v>
      </c>
      <c r="S242" s="152">
        <f>IF(D242&lt;1.609,0,IF(B242="F",VLOOKUP(I242,Barem!$X$2:$Z$13,2,1),VLOOKUP(I242,Barem!$X$14:$Z$25,2,1)))</f>
        <v>0</v>
      </c>
      <c r="T242" s="21">
        <f>VLOOKUP(A242,Participanti!A:C,3,0)</f>
        <v>0</v>
      </c>
      <c r="U242" s="18">
        <f t="shared" si="109"/>
        <v>4.0566666666666666</v>
      </c>
      <c r="V242" s="58" t="s">
        <v>391</v>
      </c>
      <c r="W242" s="77">
        <f t="shared" si="103"/>
        <v>1</v>
      </c>
      <c r="X242" s="1" t="str">
        <f>VLOOKUP(A242,Data_Echipe!A:R,18,0)</f>
        <v>#notSYRious</v>
      </c>
      <c r="Z242" s="115">
        <f t="shared" si="110"/>
        <v>1</v>
      </c>
    </row>
    <row r="243" spans="1:26" x14ac:dyDescent="0.3">
      <c r="A243" s="49" t="s">
        <v>247</v>
      </c>
      <c r="B243" s="1" t="str">
        <f>VLOOKUP(A243,Participanti!A:B,2,0)</f>
        <v>M</v>
      </c>
      <c r="C243" s="74">
        <v>3</v>
      </c>
      <c r="D243" s="50">
        <v>14.05</v>
      </c>
      <c r="E243" s="51">
        <v>6.2523148148148147E-2</v>
      </c>
      <c r="F243" s="51">
        <v>6.6446759259259261E-2</v>
      </c>
      <c r="G243" s="69">
        <f t="shared" si="105"/>
        <v>6.4484953703703704E-2</v>
      </c>
      <c r="H243" s="52"/>
      <c r="I243" s="12">
        <f t="shared" si="106"/>
        <v>4.5896764201924338E-3</v>
      </c>
      <c r="J243" s="37">
        <f t="shared" si="107"/>
        <v>3.3452380952380953</v>
      </c>
      <c r="K243" s="37">
        <f>IF(J243=0,0,IF(B243="F",VLOOKUP(I243,Barem!$G$2:$H$16,2,1),VLOOKUP(I243,Barem!$G$17:$H$31,2,1)))</f>
        <v>0.75</v>
      </c>
      <c r="L243" s="50">
        <v>2.75</v>
      </c>
      <c r="M243" s="124" t="s">
        <v>207</v>
      </c>
      <c r="N243" s="10">
        <f t="shared" si="111"/>
        <v>0.25</v>
      </c>
      <c r="O243" s="10">
        <f t="shared" si="111"/>
        <v>0.25</v>
      </c>
      <c r="P243" s="10">
        <f t="shared" si="111"/>
        <v>0.5</v>
      </c>
      <c r="Q243" s="40">
        <f t="shared" si="108"/>
        <v>0</v>
      </c>
      <c r="R243" s="21">
        <f>IF(D243&gt;21,VLOOKUP(D243,Barem!$T$1:$U$141,2,1),0)</f>
        <v>0</v>
      </c>
      <c r="S243" s="152">
        <f>IF(D243&lt;1.609,0,IF(B243="F",VLOOKUP(I243,Barem!$X$2:$Z$13,2,1),VLOOKUP(I243,Barem!$X$14:$Z$25,2,1)))</f>
        <v>0</v>
      </c>
      <c r="T243" s="21">
        <f>VLOOKUP(A243,Participanti!A:C,3,0)</f>
        <v>0</v>
      </c>
      <c r="U243" s="18">
        <f t="shared" si="109"/>
        <v>2.3988095238095237</v>
      </c>
      <c r="V243" s="58" t="s">
        <v>391</v>
      </c>
      <c r="W243" s="77">
        <f t="shared" si="103"/>
        <v>1</v>
      </c>
      <c r="X243" s="1" t="str">
        <f>VLOOKUP(A243,Data_Echipe!A:R,18,0)</f>
        <v>UltraHaita lu' Borcan</v>
      </c>
      <c r="Z243" s="115">
        <f t="shared" si="110"/>
        <v>1</v>
      </c>
    </row>
    <row r="244" spans="1:26" x14ac:dyDescent="0.3">
      <c r="A244" s="49" t="s">
        <v>64</v>
      </c>
      <c r="B244" s="1" t="str">
        <f>VLOOKUP(A244,Participanti!A:B,2,0)</f>
        <v>F</v>
      </c>
      <c r="C244" s="74">
        <v>3</v>
      </c>
      <c r="D244" s="50">
        <v>8.11</v>
      </c>
      <c r="E244" s="51">
        <v>4.2268518518518518E-2</v>
      </c>
      <c r="F244" s="51">
        <v>6.9143518518518521E-2</v>
      </c>
      <c r="G244" s="69">
        <f t="shared" si="105"/>
        <v>5.5706018518518516E-2</v>
      </c>
      <c r="H244" s="52"/>
      <c r="I244" s="12">
        <f t="shared" si="106"/>
        <v>6.8688062291638128E-3</v>
      </c>
      <c r="J244" s="37">
        <f t="shared" si="107"/>
        <v>2.0274999999999999</v>
      </c>
      <c r="K244" s="37">
        <f>IF(J244=0,0,IF(B244="F",VLOOKUP(I244,Barem!$G$2:$H$16,2,1),VLOOKUP(I244,Barem!$G$17:$H$31,2,1)))</f>
        <v>0</v>
      </c>
      <c r="L244" s="50">
        <v>2</v>
      </c>
      <c r="M244" s="124" t="s">
        <v>207</v>
      </c>
      <c r="N244" s="10">
        <f t="shared" si="111"/>
        <v>0.25</v>
      </c>
      <c r="O244" s="10">
        <f t="shared" si="111"/>
        <v>0.25</v>
      </c>
      <c r="P244" s="10">
        <f t="shared" si="111"/>
        <v>0.5</v>
      </c>
      <c r="Q244" s="40">
        <f t="shared" si="108"/>
        <v>0</v>
      </c>
      <c r="R244" s="21">
        <f>IF(D244&gt;21,VLOOKUP(D244,Barem!$T$1:$U$141,2,1),0)</f>
        <v>0</v>
      </c>
      <c r="S244" s="152">
        <f>IF(D244&lt;1.609,0,IF(B244="F",VLOOKUP(I244,Barem!$X$2:$Z$13,2,1),VLOOKUP(I244,Barem!$X$14:$Z$25,2,1)))</f>
        <v>0</v>
      </c>
      <c r="T244" s="21">
        <f>VLOOKUP(A244,Participanti!A:C,3,0)</f>
        <v>0.7</v>
      </c>
      <c r="U244" s="18">
        <f t="shared" si="109"/>
        <v>2.2068750000000001</v>
      </c>
      <c r="V244" s="58" t="s">
        <v>391</v>
      </c>
      <c r="W244" s="77">
        <f t="shared" si="103"/>
        <v>1</v>
      </c>
      <c r="X244" s="1" t="str">
        <f>VLOOKUP(A244,Data_Echipe!A:R,18,0)</f>
        <v>UltraHaita lu' Borcan</v>
      </c>
      <c r="Z244" s="115">
        <f t="shared" si="110"/>
        <v>0</v>
      </c>
    </row>
    <row r="245" spans="1:26" x14ac:dyDescent="0.3">
      <c r="A245" s="49" t="s">
        <v>366</v>
      </c>
      <c r="B245" s="1" t="str">
        <f>VLOOKUP(A245,Participanti!A:B,2,0)</f>
        <v>M</v>
      </c>
      <c r="C245" s="74">
        <v>3</v>
      </c>
      <c r="D245" s="50">
        <v>10.82</v>
      </c>
      <c r="E245" s="51">
        <v>3.2280092592592589E-2</v>
      </c>
      <c r="F245" s="51">
        <v>3.2280092592592589E-2</v>
      </c>
      <c r="G245" s="69">
        <f t="shared" si="105"/>
        <v>3.2280092592592589E-2</v>
      </c>
      <c r="H245" s="52"/>
      <c r="I245" s="12">
        <f t="shared" si="106"/>
        <v>2.9833726980214963E-3</v>
      </c>
      <c r="J245" s="37">
        <f t="shared" si="107"/>
        <v>2.5761904761904764</v>
      </c>
      <c r="K245" s="37">
        <f>IF(J245=0,0,IF(B245="F",VLOOKUP(I245,Barem!$G$2:$H$16,2,1),VLOOKUP(I245,Barem!$G$17:$H$31,2,1)))</f>
        <v>4</v>
      </c>
      <c r="L245" s="50">
        <v>4</v>
      </c>
      <c r="M245" s="124" t="s">
        <v>107</v>
      </c>
      <c r="N245" s="10">
        <f t="shared" si="111"/>
        <v>0.25</v>
      </c>
      <c r="O245" s="10">
        <f t="shared" si="111"/>
        <v>0.5</v>
      </c>
      <c r="P245" s="10">
        <f t="shared" si="111"/>
        <v>0.25</v>
      </c>
      <c r="Q245" s="40">
        <f t="shared" si="108"/>
        <v>0</v>
      </c>
      <c r="R245" s="21">
        <f>IF(D245&gt;21,VLOOKUP(D245,Barem!$T$1:$U$141,2,1),0)</f>
        <v>0</v>
      </c>
      <c r="S245" s="152">
        <f>IF(D245&lt;1.609,0,IF(B245="F",VLOOKUP(I245,Barem!$X$2:$Z$13,2,1),VLOOKUP(I245,Barem!$X$14:$Z$25,2,1)))</f>
        <v>0</v>
      </c>
      <c r="T245" s="21">
        <f>VLOOKUP(A245,Participanti!A:C,3,0)</f>
        <v>0</v>
      </c>
      <c r="U245" s="18">
        <f t="shared" si="109"/>
        <v>3.644047619047619</v>
      </c>
      <c r="V245" s="58" t="s">
        <v>391</v>
      </c>
      <c r="W245" s="77">
        <f t="shared" si="103"/>
        <v>1</v>
      </c>
      <c r="X245" s="1" t="str">
        <f>VLOOKUP(A245,Data_Echipe!A:R,18,0)</f>
        <v>The GOATs</v>
      </c>
      <c r="Z245" s="115">
        <f t="shared" si="110"/>
        <v>1</v>
      </c>
    </row>
    <row r="246" spans="1:26" x14ac:dyDescent="0.3">
      <c r="A246" s="49" t="s">
        <v>361</v>
      </c>
      <c r="B246" s="1" t="str">
        <f>VLOOKUP(A246,Participanti!A:B,2,0)</f>
        <v>M</v>
      </c>
      <c r="C246" s="74">
        <v>3</v>
      </c>
      <c r="D246" s="50">
        <v>5.01</v>
      </c>
      <c r="E246" s="51">
        <v>1.2743055555555556E-2</v>
      </c>
      <c r="F246" s="51">
        <v>1.2743055555555556E-2</v>
      </c>
      <c r="G246" s="69">
        <f t="shared" si="105"/>
        <v>1.2743055555555556E-2</v>
      </c>
      <c r="H246" s="52"/>
      <c r="I246" s="12">
        <f t="shared" si="106"/>
        <v>2.5435240629851411E-3</v>
      </c>
      <c r="J246" s="37">
        <f t="shared" si="107"/>
        <v>1.1928571428571428</v>
      </c>
      <c r="K246" s="37">
        <f>IF(J246=0,0,IF(B246="F",VLOOKUP(I246,Barem!$G$2:$H$16,2,1),VLOOKUP(I246,Barem!$G$17:$H$31,2,1)))</f>
        <v>5</v>
      </c>
      <c r="L246" s="50">
        <v>1.25</v>
      </c>
      <c r="M246" s="124" t="s">
        <v>107</v>
      </c>
      <c r="N246" s="10">
        <f t="shared" si="111"/>
        <v>0.25</v>
      </c>
      <c r="O246" s="10">
        <f t="shared" si="111"/>
        <v>0.5</v>
      </c>
      <c r="P246" s="10">
        <f t="shared" si="111"/>
        <v>0.25</v>
      </c>
      <c r="Q246" s="40">
        <f t="shared" si="108"/>
        <v>0</v>
      </c>
      <c r="R246" s="21">
        <f>IF(D246&gt;21,VLOOKUP(D246,Barem!$T$1:$U$141,2,1),0)</f>
        <v>0</v>
      </c>
      <c r="S246" s="152">
        <f>IF(D246&lt;1.609,0,IF(B246="F",VLOOKUP(I246,Barem!$X$2:$Z$13,2,1),VLOOKUP(I246,Barem!$X$14:$Z$25,2,1)))</f>
        <v>2.25</v>
      </c>
      <c r="T246" s="21">
        <f>VLOOKUP(A246,Participanti!A:C,3,0)</f>
        <v>0</v>
      </c>
      <c r="U246" s="18">
        <f t="shared" si="109"/>
        <v>5.3607142857142858</v>
      </c>
      <c r="V246" s="58" t="s">
        <v>391</v>
      </c>
      <c r="W246" s="77">
        <f t="shared" si="103"/>
        <v>1</v>
      </c>
      <c r="X246" s="1" t="str">
        <f>VLOOKUP(A246,Data_Echipe!A:R,18,0)</f>
        <v>UltraHaita lu' Borcan</v>
      </c>
      <c r="Z246" s="115">
        <f t="shared" si="110"/>
        <v>1</v>
      </c>
    </row>
    <row r="247" spans="1:26" x14ac:dyDescent="0.3">
      <c r="A247" s="49" t="s">
        <v>241</v>
      </c>
      <c r="B247" s="1" t="str">
        <f>VLOOKUP(A247,Participanti!A:B,2,0)</f>
        <v>F</v>
      </c>
      <c r="C247" s="74">
        <v>3</v>
      </c>
      <c r="D247" s="50">
        <v>7.1</v>
      </c>
      <c r="E247" s="51">
        <v>3.0312499999999996E-2</v>
      </c>
      <c r="F247" s="51">
        <v>3.3506944444444443E-2</v>
      </c>
      <c r="G247" s="69">
        <f t="shared" si="105"/>
        <v>3.1909722222222221E-2</v>
      </c>
      <c r="H247" s="52">
        <v>53</v>
      </c>
      <c r="I247" s="12">
        <f t="shared" si="106"/>
        <v>4.4943270735524257E-3</v>
      </c>
      <c r="J247" s="37">
        <f t="shared" si="107"/>
        <v>1.7749999999999999</v>
      </c>
      <c r="K247" s="37">
        <f>IF(J247=0,0,IF(B247="F",VLOOKUP(I247,Barem!$G$2:$H$16,2,1),VLOOKUP(I247,Barem!$G$17:$H$31,2,1)))</f>
        <v>1.5</v>
      </c>
      <c r="L247" s="50">
        <v>2.5</v>
      </c>
      <c r="M247" s="124" t="s">
        <v>106</v>
      </c>
      <c r="N247" s="10">
        <f t="shared" si="111"/>
        <v>0.5</v>
      </c>
      <c r="O247" s="10">
        <f t="shared" si="111"/>
        <v>0.25</v>
      </c>
      <c r="P247" s="10">
        <f t="shared" si="111"/>
        <v>0.25</v>
      </c>
      <c r="Q247" s="40">
        <f t="shared" si="108"/>
        <v>3.5333333333333335E-2</v>
      </c>
      <c r="R247" s="21">
        <f>IF(D247&gt;21,VLOOKUP(D247,Barem!$T$1:$U$141,2,1),0)</f>
        <v>0</v>
      </c>
      <c r="S247" s="152">
        <f>IF(D247&lt;1.609,0,IF(B247="F",VLOOKUP(I247,Barem!$X$2:$Z$13,2,1),VLOOKUP(I247,Barem!$X$14:$Z$25,2,1)))</f>
        <v>0</v>
      </c>
      <c r="T247" s="21">
        <f>VLOOKUP(A247,Participanti!A:C,3,0)</f>
        <v>0</v>
      </c>
      <c r="U247" s="18">
        <f t="shared" si="109"/>
        <v>1.9228333333333334</v>
      </c>
      <c r="V247" s="58" t="s">
        <v>391</v>
      </c>
      <c r="W247" s="77">
        <f t="shared" si="103"/>
        <v>1</v>
      </c>
      <c r="X247" s="1" t="str">
        <f>VLOOKUP(A247,Data_Echipe!A:R,18,0)</f>
        <v>Almost Kenyan Runners</v>
      </c>
      <c r="Z247" s="115">
        <f t="shared" si="110"/>
        <v>1</v>
      </c>
    </row>
    <row r="248" spans="1:26" x14ac:dyDescent="0.3">
      <c r="A248" s="49" t="s">
        <v>177</v>
      </c>
      <c r="B248" s="1" t="str">
        <f>VLOOKUP(A248,Participanti!A:B,2,0)</f>
        <v>F</v>
      </c>
      <c r="C248" s="74">
        <v>3</v>
      </c>
      <c r="D248" s="50">
        <v>8.7200000000000006</v>
      </c>
      <c r="E248" s="51">
        <v>4.05787037037037E-2</v>
      </c>
      <c r="F248" s="51">
        <v>4.3611111111111107E-2</v>
      </c>
      <c r="G248" s="69">
        <f t="shared" si="105"/>
        <v>4.20949074074074E-2</v>
      </c>
      <c r="H248" s="52"/>
      <c r="I248" s="12">
        <f t="shared" si="106"/>
        <v>4.8273976384641511E-3</v>
      </c>
      <c r="J248" s="37">
        <f t="shared" si="107"/>
        <v>2.1800000000000002</v>
      </c>
      <c r="K248" s="37">
        <f>IF(J248=0,0,IF(B248="F",VLOOKUP(I248,Barem!$G$2:$H$16,2,1),VLOOKUP(I248,Barem!$G$17:$H$31,2,1)))</f>
        <v>1</v>
      </c>
      <c r="L248" s="50">
        <v>3.25</v>
      </c>
      <c r="M248" s="124" t="s">
        <v>106</v>
      </c>
      <c r="N248" s="10">
        <f t="shared" si="111"/>
        <v>0.5</v>
      </c>
      <c r="O248" s="10">
        <f t="shared" si="111"/>
        <v>0.25</v>
      </c>
      <c r="P248" s="10">
        <f t="shared" si="111"/>
        <v>0.25</v>
      </c>
      <c r="Q248" s="40">
        <f t="shared" si="108"/>
        <v>0</v>
      </c>
      <c r="R248" s="21">
        <f>IF(D248&gt;21,VLOOKUP(D248,Barem!$T$1:$U$141,2,1),0)</f>
        <v>0</v>
      </c>
      <c r="S248" s="152">
        <f>IF(D248&lt;1.609,0,IF(B248="F",VLOOKUP(I248,Barem!$X$2:$Z$13,2,1),VLOOKUP(I248,Barem!$X$14:$Z$25,2,1)))</f>
        <v>0</v>
      </c>
      <c r="T248" s="21">
        <f>VLOOKUP(A248,Participanti!A:C,3,0)</f>
        <v>0</v>
      </c>
      <c r="U248" s="18">
        <f t="shared" si="109"/>
        <v>2.1524999999999999</v>
      </c>
      <c r="V248" s="58" t="s">
        <v>391</v>
      </c>
      <c r="W248" s="77">
        <f t="shared" si="103"/>
        <v>1</v>
      </c>
      <c r="X248" s="1" t="str">
        <f>VLOOKUP(A248,Data_Echipe!A:R,18,0)</f>
        <v>UltraHaita lu' Borcan</v>
      </c>
      <c r="Z248" s="115">
        <f t="shared" si="110"/>
        <v>1</v>
      </c>
    </row>
    <row r="249" spans="1:26" x14ac:dyDescent="0.3">
      <c r="A249" s="49" t="s">
        <v>114</v>
      </c>
      <c r="B249" s="1" t="str">
        <f>VLOOKUP(A249,Participanti!A:B,2,0)</f>
        <v>M</v>
      </c>
      <c r="C249" s="74">
        <v>3</v>
      </c>
      <c r="D249" s="50">
        <v>13.08</v>
      </c>
      <c r="E249" s="51">
        <v>5.9780092592592593E-2</v>
      </c>
      <c r="F249" s="51">
        <v>6.0046296296296292E-2</v>
      </c>
      <c r="G249" s="69">
        <f t="shared" si="105"/>
        <v>5.9913194444444443E-2</v>
      </c>
      <c r="H249" s="52"/>
      <c r="I249" s="12">
        <f t="shared" si="106"/>
        <v>4.5805194529391774E-3</v>
      </c>
      <c r="J249" s="37">
        <f t="shared" si="107"/>
        <v>3.1142857142857143</v>
      </c>
      <c r="K249" s="37">
        <f>IF(J249=0,0,IF(B249="F",VLOOKUP(I249,Barem!$G$2:$H$16,2,1),VLOOKUP(I249,Barem!$G$17:$H$31,2,1)))</f>
        <v>0.75</v>
      </c>
      <c r="L249" s="50">
        <v>1.5</v>
      </c>
      <c r="M249" s="124" t="s">
        <v>106</v>
      </c>
      <c r="N249" s="10">
        <f t="shared" si="111"/>
        <v>0.5</v>
      </c>
      <c r="O249" s="10">
        <f t="shared" si="111"/>
        <v>0.25</v>
      </c>
      <c r="P249" s="10">
        <f t="shared" si="111"/>
        <v>0.25</v>
      </c>
      <c r="Q249" s="40">
        <f t="shared" si="108"/>
        <v>0</v>
      </c>
      <c r="R249" s="21">
        <f>IF(D249&gt;21,VLOOKUP(D249,Barem!$T$1:$U$141,2,1),0)</f>
        <v>0</v>
      </c>
      <c r="S249" s="152">
        <f>IF(D249&lt;1.609,0,IF(B249="F",VLOOKUP(I249,Barem!$X$2:$Z$13,2,1),VLOOKUP(I249,Barem!$X$14:$Z$25,2,1)))</f>
        <v>0</v>
      </c>
      <c r="T249" s="21">
        <f>VLOOKUP(A249,Participanti!A:C,3,0)</f>
        <v>0</v>
      </c>
      <c r="U249" s="18">
        <f t="shared" si="109"/>
        <v>2.1196428571428569</v>
      </c>
      <c r="V249" s="58" t="s">
        <v>391</v>
      </c>
      <c r="W249" s="77">
        <f t="shared" si="103"/>
        <v>1</v>
      </c>
      <c r="X249" s="1" t="str">
        <f>VLOOKUP(A249,Data_Echipe!A:R,18,0)</f>
        <v>#notSYRious</v>
      </c>
      <c r="Z249" s="115">
        <f t="shared" si="110"/>
        <v>1</v>
      </c>
    </row>
    <row r="250" spans="1:26" x14ac:dyDescent="0.3">
      <c r="A250" s="49" t="s">
        <v>370</v>
      </c>
      <c r="B250" s="1" t="str">
        <f>VLOOKUP(A250,Participanti!A:B,2,0)</f>
        <v>F</v>
      </c>
      <c r="C250" s="74">
        <v>3</v>
      </c>
      <c r="D250" s="50">
        <v>10.14</v>
      </c>
      <c r="E250" s="51">
        <v>4.520833333333333E-2</v>
      </c>
      <c r="F250" s="51">
        <v>4.5497685185185183E-2</v>
      </c>
      <c r="G250" s="69">
        <f t="shared" si="105"/>
        <v>4.5353009259259253E-2</v>
      </c>
      <c r="H250" s="52"/>
      <c r="I250" s="12">
        <f t="shared" si="106"/>
        <v>4.472683358901307E-3</v>
      </c>
      <c r="J250" s="37">
        <f t="shared" si="107"/>
        <v>2.5350000000000001</v>
      </c>
      <c r="K250" s="37">
        <f>IF(J250=0,0,IF(B250="F",VLOOKUP(I250,Barem!$G$2:$H$16,2,1),VLOOKUP(I250,Barem!$G$17:$H$31,2,1)))</f>
        <v>1.5</v>
      </c>
      <c r="L250" s="50">
        <v>2</v>
      </c>
      <c r="M250" s="124" t="s">
        <v>207</v>
      </c>
      <c r="N250" s="10">
        <f t="shared" si="111"/>
        <v>0.25</v>
      </c>
      <c r="O250" s="10">
        <f t="shared" si="111"/>
        <v>0.25</v>
      </c>
      <c r="P250" s="10">
        <f t="shared" si="111"/>
        <v>0.5</v>
      </c>
      <c r="Q250" s="40">
        <f t="shared" si="108"/>
        <v>0</v>
      </c>
      <c r="R250" s="21">
        <f>IF(D250&gt;21,VLOOKUP(D250,Barem!$T$1:$U$141,2,1),0)</f>
        <v>0</v>
      </c>
      <c r="S250" s="152">
        <f>IF(D250&lt;1.609,0,IF(B250="F",VLOOKUP(I250,Barem!$X$2:$Z$13,2,1),VLOOKUP(I250,Barem!$X$14:$Z$25,2,1)))</f>
        <v>0</v>
      </c>
      <c r="T250" s="21">
        <f>VLOOKUP(A250,Participanti!A:C,3,0)</f>
        <v>0</v>
      </c>
      <c r="U250" s="18">
        <f t="shared" si="109"/>
        <v>2.00875</v>
      </c>
      <c r="V250" s="58" t="s">
        <v>391</v>
      </c>
      <c r="W250" s="77">
        <f t="shared" si="103"/>
        <v>1</v>
      </c>
      <c r="X250" s="1" t="e">
        <f>VLOOKUP(A250,Data_Echipe!A:R,18,0)</f>
        <v>#N/A</v>
      </c>
      <c r="Z250" s="115">
        <f t="shared" si="110"/>
        <v>1</v>
      </c>
    </row>
    <row r="251" spans="1:26" x14ac:dyDescent="0.3">
      <c r="A251" s="49" t="s">
        <v>359</v>
      </c>
      <c r="B251" s="1" t="str">
        <f>VLOOKUP(A251,Participanti!A:B,2,0)</f>
        <v>M</v>
      </c>
      <c r="C251" s="74">
        <v>3</v>
      </c>
      <c r="D251" s="50">
        <v>13.45</v>
      </c>
      <c r="E251" s="51">
        <v>5.2106481481481483E-2</v>
      </c>
      <c r="F251" s="51">
        <v>5.2777777777777778E-2</v>
      </c>
      <c r="G251" s="69">
        <f t="shared" si="105"/>
        <v>5.244212962962963E-2</v>
      </c>
      <c r="H251" s="52"/>
      <c r="I251" s="12">
        <f t="shared" si="106"/>
        <v>3.8990430951397499E-3</v>
      </c>
      <c r="J251" s="37">
        <f t="shared" si="107"/>
        <v>3.2023809523809521</v>
      </c>
      <c r="K251" s="37">
        <f>IF(J251=0,0,IF(B251="F",VLOOKUP(I251,Barem!$G$2:$H$16,2,1),VLOOKUP(I251,Barem!$G$17:$H$31,2,1)))</f>
        <v>1.75</v>
      </c>
      <c r="L251" s="50">
        <v>1.75</v>
      </c>
      <c r="M251" s="124" t="s">
        <v>207</v>
      </c>
      <c r="N251" s="10">
        <f t="shared" si="111"/>
        <v>0.25</v>
      </c>
      <c r="O251" s="10">
        <f t="shared" si="111"/>
        <v>0.25</v>
      </c>
      <c r="P251" s="10">
        <f t="shared" si="111"/>
        <v>0.5</v>
      </c>
      <c r="Q251" s="40">
        <f t="shared" si="108"/>
        <v>0</v>
      </c>
      <c r="R251" s="21">
        <f>IF(D251&gt;21,VLOOKUP(D251,Barem!$T$1:$U$141,2,1),0)</f>
        <v>0</v>
      </c>
      <c r="S251" s="152">
        <f>IF(D251&lt;1.609,0,IF(B251="F",VLOOKUP(I251,Barem!$X$2:$Z$13,2,1),VLOOKUP(I251,Barem!$X$14:$Z$25,2,1)))</f>
        <v>0</v>
      </c>
      <c r="T251" s="21">
        <f>VLOOKUP(A251,Participanti!A:C,3,0)</f>
        <v>0</v>
      </c>
      <c r="U251" s="18">
        <f t="shared" si="109"/>
        <v>2.1130952380952381</v>
      </c>
      <c r="V251" s="58" t="s">
        <v>391</v>
      </c>
      <c r="W251" s="77">
        <f t="shared" si="103"/>
        <v>1</v>
      </c>
      <c r="X251" s="1" t="str">
        <f>VLOOKUP(A251,Data_Echipe!A:R,18,0)</f>
        <v>Almost Kenyan Runners</v>
      </c>
      <c r="Z251" s="115">
        <f t="shared" si="110"/>
        <v>1</v>
      </c>
    </row>
    <row r="252" spans="1:26" x14ac:dyDescent="0.3">
      <c r="A252" s="49" t="s">
        <v>242</v>
      </c>
      <c r="B252" s="1" t="str">
        <f>VLOOKUP(A252,Participanti!A:B,2,0)</f>
        <v>M</v>
      </c>
      <c r="C252" s="74">
        <v>3</v>
      </c>
      <c r="D252" s="50">
        <v>10.039999999999999</v>
      </c>
      <c r="E252" s="51">
        <v>4.1921296296296297E-2</v>
      </c>
      <c r="F252" s="51">
        <v>4.3194444444444445E-2</v>
      </c>
      <c r="G252" s="69">
        <f t="shared" si="105"/>
        <v>4.2557870370370371E-2</v>
      </c>
      <c r="H252" s="52"/>
      <c r="I252" s="12">
        <f t="shared" si="106"/>
        <v>4.2388317101962527E-3</v>
      </c>
      <c r="J252" s="37">
        <f t="shared" si="107"/>
        <v>2.39047619047619</v>
      </c>
      <c r="K252" s="37">
        <f>IF(J252=0,0,IF(B252="F",VLOOKUP(I252,Barem!$G$2:$H$16,2,1),VLOOKUP(I252,Barem!$G$17:$H$31,2,1)))</f>
        <v>1.25</v>
      </c>
      <c r="L252" s="50">
        <v>1.25</v>
      </c>
      <c r="M252" s="124" t="s">
        <v>207</v>
      </c>
      <c r="N252" s="10">
        <f t="shared" si="111"/>
        <v>0.25</v>
      </c>
      <c r="O252" s="10">
        <f t="shared" si="111"/>
        <v>0.25</v>
      </c>
      <c r="P252" s="10">
        <f t="shared" si="111"/>
        <v>0.5</v>
      </c>
      <c r="Q252" s="40">
        <f t="shared" si="108"/>
        <v>0</v>
      </c>
      <c r="R252" s="21">
        <f>IF(D252&gt;21,VLOOKUP(D252,Barem!$T$1:$U$141,2,1),0)</f>
        <v>0</v>
      </c>
      <c r="S252" s="152">
        <f>IF(D252&lt;1.609,0,IF(B252="F",VLOOKUP(I252,Barem!$X$2:$Z$13,2,1),VLOOKUP(I252,Barem!$X$14:$Z$25,2,1)))</f>
        <v>0</v>
      </c>
      <c r="T252" s="21">
        <f>VLOOKUP(A252,Participanti!A:C,3,0)</f>
        <v>0</v>
      </c>
      <c r="U252" s="18">
        <f t="shared" si="109"/>
        <v>1.5351190476190475</v>
      </c>
      <c r="V252" s="58" t="s">
        <v>391</v>
      </c>
      <c r="W252" s="77">
        <f t="shared" si="103"/>
        <v>1</v>
      </c>
      <c r="X252" s="1" t="e">
        <f>VLOOKUP(A252,Data_Echipe!A:R,18,0)</f>
        <v>#N/A</v>
      </c>
      <c r="Z252" s="115">
        <f t="shared" si="110"/>
        <v>1</v>
      </c>
    </row>
    <row r="253" spans="1:26" x14ac:dyDescent="0.3">
      <c r="A253" s="132" t="s">
        <v>378</v>
      </c>
      <c r="B253" s="133" t="str">
        <f>VLOOKUP(A253,Participanti!A:B,2,0)</f>
        <v>F</v>
      </c>
      <c r="C253" s="134">
        <v>3</v>
      </c>
      <c r="D253" s="135">
        <v>0</v>
      </c>
      <c r="E253" s="136">
        <v>0</v>
      </c>
      <c r="F253" s="136">
        <v>0</v>
      </c>
      <c r="G253" s="137">
        <f t="shared" si="105"/>
        <v>0</v>
      </c>
      <c r="H253" s="138"/>
      <c r="I253" s="139">
        <v>0</v>
      </c>
      <c r="J253" s="140">
        <f t="shared" si="107"/>
        <v>0</v>
      </c>
      <c r="K253" s="140">
        <f>IF(J253=0,0,IF(B253="F",VLOOKUP(I253,Barem!$G$2:$H$16,2,1),VLOOKUP(I253,Barem!$G$17:$H$31,2,1)))</f>
        <v>0</v>
      </c>
      <c r="L253" s="135">
        <v>0</v>
      </c>
      <c r="M253" s="141" t="s">
        <v>459</v>
      </c>
      <c r="N253" s="142">
        <f t="shared" si="111"/>
        <v>0.25</v>
      </c>
      <c r="O253" s="142">
        <f t="shared" si="111"/>
        <v>0.25</v>
      </c>
      <c r="P253" s="142">
        <f t="shared" si="111"/>
        <v>0.25</v>
      </c>
      <c r="Q253" s="143">
        <f t="shared" si="108"/>
        <v>0</v>
      </c>
      <c r="R253" s="144">
        <f>IF(D253&gt;21,VLOOKUP(D253,Barem!$T$1:$U$141,2,1),0)</f>
        <v>0</v>
      </c>
      <c r="S253" s="152">
        <f>IF(D253&lt;1.609,0,IF(B253="F",VLOOKUP(I253,Barem!$X$2:$Z$13,2,1),VLOOKUP(I253,Barem!$X$14:$Z$25,2,1)))</f>
        <v>0</v>
      </c>
      <c r="T253" s="144">
        <f>VLOOKUP(A253,Participanti!A:C,3,0)</f>
        <v>0</v>
      </c>
      <c r="U253" s="143">
        <v>1.5</v>
      </c>
      <c r="V253" s="145" t="s">
        <v>391</v>
      </c>
      <c r="W253" s="146">
        <f t="shared" si="103"/>
        <v>1</v>
      </c>
      <c r="X253" s="133" t="str">
        <f>VLOOKUP(A253,Data_Echipe!A:R,18,0)</f>
        <v>MedgidiaRunning</v>
      </c>
      <c r="Y253" s="133"/>
      <c r="Z253" s="147">
        <f t="shared" si="110"/>
        <v>0</v>
      </c>
    </row>
    <row r="254" spans="1:26" x14ac:dyDescent="0.3">
      <c r="A254" s="49" t="s">
        <v>283</v>
      </c>
      <c r="B254" s="1" t="str">
        <f>VLOOKUP(A254,Participanti!A:B,2,0)</f>
        <v>M</v>
      </c>
      <c r="C254" s="74">
        <v>3</v>
      </c>
      <c r="D254" s="50">
        <v>21.3</v>
      </c>
      <c r="E254" s="51">
        <v>7.8750000000000001E-2</v>
      </c>
      <c r="F254" s="51">
        <v>7.8842592592592589E-2</v>
      </c>
      <c r="G254" s="69">
        <f t="shared" si="105"/>
        <v>7.8796296296296295E-2</v>
      </c>
      <c r="H254" s="52">
        <v>101</v>
      </c>
      <c r="I254" s="12">
        <f t="shared" si="106"/>
        <v>3.699356633628934E-3</v>
      </c>
      <c r="J254" s="37">
        <f t="shared" si="107"/>
        <v>5</v>
      </c>
      <c r="K254" s="37">
        <f>IF(J254=0,0,IF(B254="F",VLOOKUP(I254,Barem!$G$2:$H$16,2,1),VLOOKUP(I254,Barem!$G$17:$H$31,2,1)))</f>
        <v>2</v>
      </c>
      <c r="L254" s="50">
        <v>4</v>
      </c>
      <c r="M254" s="124" t="s">
        <v>207</v>
      </c>
      <c r="N254" s="10">
        <f t="shared" si="111"/>
        <v>0.25</v>
      </c>
      <c r="O254" s="10">
        <f t="shared" si="111"/>
        <v>0.25</v>
      </c>
      <c r="P254" s="10">
        <f t="shared" si="111"/>
        <v>0.5</v>
      </c>
      <c r="Q254" s="40">
        <f t="shared" si="108"/>
        <v>6.7333333333333328E-2</v>
      </c>
      <c r="R254" s="21">
        <f>IF(D254&gt;21,VLOOKUP(D254,Barem!$T$1:$U$141,2,1),0)</f>
        <v>0</v>
      </c>
      <c r="S254" s="152">
        <f>IF(D254&lt;1.609,0,IF(B254="F",VLOOKUP(I254,Barem!$X$2:$Z$13,2,1),VLOOKUP(I254,Barem!$X$14:$Z$25,2,1)))</f>
        <v>0</v>
      </c>
      <c r="T254" s="21">
        <f>VLOOKUP(A254,Participanti!A:C,3,0)</f>
        <v>0</v>
      </c>
      <c r="U254" s="18">
        <f t="shared" si="109"/>
        <v>3.8173333333333335</v>
      </c>
      <c r="V254" s="58" t="s">
        <v>391</v>
      </c>
      <c r="W254" s="77">
        <f t="shared" si="103"/>
        <v>1</v>
      </c>
      <c r="X254" s="1" t="str">
        <f>VLOOKUP(A254,Data_Echipe!A:R,18,0)</f>
        <v>The GOATs</v>
      </c>
      <c r="Z254" s="115">
        <f t="shared" si="110"/>
        <v>1</v>
      </c>
    </row>
    <row r="255" spans="1:26" x14ac:dyDescent="0.3">
      <c r="A255" s="132" t="s">
        <v>47</v>
      </c>
      <c r="B255" s="133" t="str">
        <f>VLOOKUP(A255,Participanti!A:B,2,0)</f>
        <v>M</v>
      </c>
      <c r="C255" s="134">
        <v>3</v>
      </c>
      <c r="D255" s="135">
        <v>0</v>
      </c>
      <c r="E255" s="136">
        <v>0</v>
      </c>
      <c r="F255" s="136">
        <v>0</v>
      </c>
      <c r="G255" s="137">
        <f t="shared" si="105"/>
        <v>0</v>
      </c>
      <c r="H255" s="138"/>
      <c r="I255" s="139">
        <v>0</v>
      </c>
      <c r="J255" s="140">
        <f t="shared" si="107"/>
        <v>0</v>
      </c>
      <c r="K255" s="140">
        <f>IF(J255=0,0,IF(B255="F",VLOOKUP(I255,Barem!$G$2:$H$16,2,1),VLOOKUP(I255,Barem!$G$17:$H$31,2,1)))</f>
        <v>0</v>
      </c>
      <c r="L255" s="135">
        <v>0</v>
      </c>
      <c r="M255" s="141" t="s">
        <v>459</v>
      </c>
      <c r="N255" s="142">
        <f t="shared" si="111"/>
        <v>0.25</v>
      </c>
      <c r="O255" s="142">
        <f t="shared" si="111"/>
        <v>0.25</v>
      </c>
      <c r="P255" s="142">
        <f t="shared" si="111"/>
        <v>0.25</v>
      </c>
      <c r="Q255" s="143">
        <f t="shared" si="108"/>
        <v>0</v>
      </c>
      <c r="R255" s="144">
        <f>IF(D255&gt;21,VLOOKUP(D255,Barem!$T$1:$U$141,2,1),0)</f>
        <v>0</v>
      </c>
      <c r="S255" s="152">
        <f>IF(D255&lt;1.609,0,IF(B255="F",VLOOKUP(I255,Barem!$X$2:$Z$13,2,1),VLOOKUP(I255,Barem!$X$14:$Z$25,2,1)))</f>
        <v>0</v>
      </c>
      <c r="T255" s="144">
        <f>VLOOKUP(A255,Participanti!A:C,3,0)</f>
        <v>0</v>
      </c>
      <c r="U255" s="143">
        <v>1.5</v>
      </c>
      <c r="V255" s="145" t="s">
        <v>391</v>
      </c>
      <c r="W255" s="146">
        <f t="shared" si="103"/>
        <v>1</v>
      </c>
      <c r="X255" s="133" t="str">
        <f>VLOOKUP(A255,Data_Echipe!A:R,18,0)</f>
        <v>The GOATs</v>
      </c>
      <c r="Y255" s="133"/>
      <c r="Z255" s="147">
        <f t="shared" si="110"/>
        <v>0</v>
      </c>
    </row>
    <row r="256" spans="1:26" x14ac:dyDescent="0.3">
      <c r="A256" s="49" t="s">
        <v>376</v>
      </c>
      <c r="B256" s="1" t="str">
        <f>VLOOKUP(A256,Participanti!A:B,2,0)</f>
        <v>M</v>
      </c>
      <c r="C256" s="74">
        <v>3</v>
      </c>
      <c r="D256" s="50">
        <v>11.01</v>
      </c>
      <c r="E256" s="51">
        <v>2.7372685185185184E-2</v>
      </c>
      <c r="F256" s="51">
        <v>2.7372685185185184E-2</v>
      </c>
      <c r="G256" s="69">
        <f t="shared" si="105"/>
        <v>2.7372685185185184E-2</v>
      </c>
      <c r="H256" s="52"/>
      <c r="I256" s="12">
        <f t="shared" si="106"/>
        <v>2.4861657752211792E-3</v>
      </c>
      <c r="J256" s="37">
        <f t="shared" si="107"/>
        <v>2.6214285714285714</v>
      </c>
      <c r="K256" s="37">
        <f>IF(J256=0,0,IF(B256="F",VLOOKUP(I256,Barem!$G$2:$H$16,2,1),VLOOKUP(I256,Barem!$G$17:$H$31,2,1)))</f>
        <v>5</v>
      </c>
      <c r="L256" s="50">
        <v>5</v>
      </c>
      <c r="M256" s="124" t="s">
        <v>107</v>
      </c>
      <c r="N256" s="10">
        <f t="shared" si="111"/>
        <v>0.25</v>
      </c>
      <c r="O256" s="10">
        <f t="shared" si="111"/>
        <v>0.5</v>
      </c>
      <c r="P256" s="10">
        <f t="shared" si="111"/>
        <v>0.25</v>
      </c>
      <c r="Q256" s="40">
        <f t="shared" si="108"/>
        <v>0</v>
      </c>
      <c r="R256" s="21">
        <f>IF(D256&gt;21,VLOOKUP(D256,Barem!$T$1:$U$141,2,1),0)</f>
        <v>0</v>
      </c>
      <c r="S256" s="152">
        <f>IF(D256&lt;1.609,0,IF(B256="F",VLOOKUP(I256,Barem!$X$2:$Z$13,2,1),VLOOKUP(I256,Barem!$X$14:$Z$25,2,1)))</f>
        <v>3.1500000000000004</v>
      </c>
      <c r="T256" s="21">
        <f>VLOOKUP(A256,Participanti!A:C,3,0)</f>
        <v>0</v>
      </c>
      <c r="U256" s="18">
        <f t="shared" si="109"/>
        <v>7.5553571428571438</v>
      </c>
      <c r="V256" s="58" t="s">
        <v>391</v>
      </c>
      <c r="W256" s="77">
        <f t="shared" si="103"/>
        <v>1</v>
      </c>
      <c r="X256" s="1" t="e">
        <f>VLOOKUP(A256,Data_Echipe!A:R,18,0)</f>
        <v>#N/A</v>
      </c>
      <c r="Z256" s="115">
        <f t="shared" si="110"/>
        <v>1</v>
      </c>
    </row>
    <row r="257" spans="1:26" x14ac:dyDescent="0.3">
      <c r="A257" s="49" t="s">
        <v>248</v>
      </c>
      <c r="B257" s="1" t="str">
        <f>VLOOKUP(A257,Participanti!A:B,2,0)</f>
        <v>M</v>
      </c>
      <c r="C257" s="74">
        <v>3</v>
      </c>
      <c r="D257" s="50">
        <v>21.54</v>
      </c>
      <c r="E257" s="51">
        <v>7.210648148148148E-2</v>
      </c>
      <c r="F257" s="51">
        <v>7.2268518518518524E-2</v>
      </c>
      <c r="G257" s="69">
        <f t="shared" si="105"/>
        <v>7.2187500000000002E-2</v>
      </c>
      <c r="H257" s="52">
        <v>94</v>
      </c>
      <c r="I257" s="12">
        <f t="shared" si="106"/>
        <v>3.3513231197771589E-3</v>
      </c>
      <c r="J257" s="37">
        <f t="shared" si="107"/>
        <v>5</v>
      </c>
      <c r="K257" s="37">
        <f>IF(J257=0,0,IF(B257="F",VLOOKUP(I257,Barem!$G$2:$H$16,2,1),VLOOKUP(I257,Barem!$G$17:$H$31,2,1)))</f>
        <v>3</v>
      </c>
      <c r="L257" s="50">
        <v>3.75</v>
      </c>
      <c r="M257" s="124" t="s">
        <v>207</v>
      </c>
      <c r="N257" s="10">
        <f t="shared" si="111"/>
        <v>0.25</v>
      </c>
      <c r="O257" s="10">
        <f t="shared" si="111"/>
        <v>0.25</v>
      </c>
      <c r="P257" s="10">
        <f t="shared" si="111"/>
        <v>0.5</v>
      </c>
      <c r="Q257" s="40">
        <f t="shared" si="108"/>
        <v>6.2666666666666662E-2</v>
      </c>
      <c r="R257" s="21">
        <f>IF(D257&gt;21,VLOOKUP(D257,Barem!$T$1:$U$141,2,1),0)</f>
        <v>0</v>
      </c>
      <c r="S257" s="152">
        <f>IF(D257&lt;1.609,0,IF(B257="F",VLOOKUP(I257,Barem!$X$2:$Z$13,2,1),VLOOKUP(I257,Barem!$X$14:$Z$25,2,1)))</f>
        <v>0</v>
      </c>
      <c r="T257" s="21">
        <f>VLOOKUP(A257,Participanti!A:C,3,0)</f>
        <v>0</v>
      </c>
      <c r="U257" s="18">
        <f t="shared" si="109"/>
        <v>3.9376666666666669</v>
      </c>
      <c r="V257" s="58" t="s">
        <v>391</v>
      </c>
      <c r="W257" s="77">
        <f t="shared" si="103"/>
        <v>1</v>
      </c>
      <c r="X257" s="1" t="str">
        <f>VLOOKUP(A257,Data_Echipe!A:R,18,0)</f>
        <v>Almost Kenyan Runners</v>
      </c>
      <c r="Z257" s="115">
        <f t="shared" si="110"/>
        <v>1</v>
      </c>
    </row>
    <row r="258" spans="1:26" x14ac:dyDescent="0.3">
      <c r="A258" s="49" t="s">
        <v>78</v>
      </c>
      <c r="B258" s="1" t="str">
        <f>VLOOKUP(A258,Participanti!A:B,2,0)</f>
        <v>M</v>
      </c>
      <c r="C258" s="74">
        <v>3</v>
      </c>
      <c r="D258" s="50">
        <v>25.49</v>
      </c>
      <c r="E258" s="51">
        <v>0.24394675925925924</v>
      </c>
      <c r="F258" s="51">
        <v>0.30231481481481481</v>
      </c>
      <c r="G258" s="69">
        <f t="shared" ref="G258:G266" si="112">AVERAGE(E258:F258)</f>
        <v>0.27313078703703703</v>
      </c>
      <c r="H258" s="52">
        <v>1480</v>
      </c>
      <c r="I258" s="12">
        <f t="shared" ref="I258:I266" si="113">G258/D258</f>
        <v>1.0715213300786074E-2</v>
      </c>
      <c r="J258" s="37">
        <f t="shared" ref="J258:J266" si="114">IF(B258="F",IF(D258&lt;2.5,0,IF(D258&gt;19.99,5,D258/4)),IF(D258&lt;3,0, IF(D258&gt;20.99,5,D258/4.2)))</f>
        <v>5</v>
      </c>
      <c r="K258" s="37">
        <f>IF(J258=0,0,IF(B258="F",VLOOKUP(I258,Barem!$G$2:$H$16,2,1),VLOOKUP(I258,Barem!$G$17:$H$31,2,1)))</f>
        <v>0</v>
      </c>
      <c r="L258" s="50">
        <v>3.75</v>
      </c>
      <c r="M258" s="124" t="s">
        <v>207</v>
      </c>
      <c r="N258" s="10">
        <f t="shared" si="111"/>
        <v>0.25</v>
      </c>
      <c r="O258" s="10">
        <f t="shared" si="111"/>
        <v>0.25</v>
      </c>
      <c r="P258" s="10">
        <f t="shared" si="111"/>
        <v>0.5</v>
      </c>
      <c r="Q258" s="40">
        <f t="shared" ref="Q258:Q266" si="115">IF(H258&gt;49,H258/1500,0)</f>
        <v>0.98666666666666669</v>
      </c>
      <c r="R258" s="21">
        <f>IF(D258&gt;21,VLOOKUP(D258,Barem!$T$1:$U$141,2,1),0)</f>
        <v>0.2</v>
      </c>
      <c r="S258" s="152">
        <f>IF(D258&lt;1.609,0,IF(B258="F",VLOOKUP(I258,Barem!$X$2:$Z$13,2,1),VLOOKUP(I258,Barem!$X$14:$Z$25,2,1)))</f>
        <v>0</v>
      </c>
      <c r="T258" s="21">
        <f>VLOOKUP(A258,Participanti!A:C,3,0)</f>
        <v>0.4</v>
      </c>
      <c r="U258" s="18">
        <f t="shared" ref="U258:U266" si="116">IF(H258&lt;0,0,J258*N258+K258*O258+L258*P258+Q258+R258+S258+T258)</f>
        <v>4.7116666666666669</v>
      </c>
      <c r="V258" s="58" t="s">
        <v>391</v>
      </c>
      <c r="W258" s="77">
        <f t="shared" ref="W258:W321" si="117">COUNTIFS(A:A,A258,C:C,C258)</f>
        <v>1</v>
      </c>
      <c r="X258" s="1" t="str">
        <f>VLOOKUP(A258,Data_Echipe!A:R,18,0)</f>
        <v>Almost Kenyan Runners</v>
      </c>
      <c r="Z258" s="115">
        <f t="shared" ref="Z258:Z266" si="118">IF(K258&gt;0,1,0)</f>
        <v>0</v>
      </c>
    </row>
    <row r="259" spans="1:26" x14ac:dyDescent="0.3">
      <c r="A259" s="49" t="s">
        <v>170</v>
      </c>
      <c r="B259" s="1" t="str">
        <f>VLOOKUP(A259,Participanti!A:B,2,0)</f>
        <v>F</v>
      </c>
      <c r="C259" s="74">
        <v>3</v>
      </c>
      <c r="D259" s="50">
        <v>6.76</v>
      </c>
      <c r="E259" s="51">
        <v>3.0462962962962966E-2</v>
      </c>
      <c r="F259" s="51">
        <v>4.1053240740740744E-2</v>
      </c>
      <c r="G259" s="69">
        <f t="shared" si="112"/>
        <v>3.5758101851851853E-2</v>
      </c>
      <c r="H259" s="52"/>
      <c r="I259" s="12">
        <f t="shared" si="113"/>
        <v>5.2896600372561919E-3</v>
      </c>
      <c r="J259" s="37">
        <f t="shared" si="114"/>
        <v>1.69</v>
      </c>
      <c r="K259" s="37">
        <f>IF(J259=0,0,IF(B259="F",VLOOKUP(I259,Barem!$G$2:$H$16,2,1),VLOOKUP(I259,Barem!$G$17:$H$31,2,1)))</f>
        <v>0.25</v>
      </c>
      <c r="L259" s="50">
        <v>1.75</v>
      </c>
      <c r="M259" s="124" t="s">
        <v>207</v>
      </c>
      <c r="N259" s="10">
        <f t="shared" ref="N259:P276" si="119">IF($M259=N$1,50%,25%)</f>
        <v>0.25</v>
      </c>
      <c r="O259" s="10">
        <f t="shared" si="119"/>
        <v>0.25</v>
      </c>
      <c r="P259" s="10">
        <f t="shared" si="119"/>
        <v>0.5</v>
      </c>
      <c r="Q259" s="40">
        <f t="shared" si="115"/>
        <v>0</v>
      </c>
      <c r="R259" s="21">
        <f>IF(D259&gt;21,VLOOKUP(D259,Barem!$T$1:$U$141,2,1),0)</f>
        <v>0</v>
      </c>
      <c r="S259" s="152">
        <f>IF(D259&lt;1.609,0,IF(B259="F",VLOOKUP(I259,Barem!$X$2:$Z$13,2,1),VLOOKUP(I259,Barem!$X$14:$Z$25,2,1)))</f>
        <v>0</v>
      </c>
      <c r="T259" s="21">
        <f>VLOOKUP(A259,Participanti!A:C,3,0)</f>
        <v>0</v>
      </c>
      <c r="U259" s="18">
        <f t="shared" si="116"/>
        <v>1.3599999999999999</v>
      </c>
      <c r="V259" s="58" t="s">
        <v>391</v>
      </c>
      <c r="W259" s="77">
        <f t="shared" si="117"/>
        <v>1</v>
      </c>
      <c r="X259" s="1" t="str">
        <f>VLOOKUP(A259,Data_Echipe!A:R,18,0)</f>
        <v>Almost Kenyan Runners</v>
      </c>
      <c r="Z259" s="115">
        <f t="shared" si="118"/>
        <v>1</v>
      </c>
    </row>
    <row r="260" spans="1:26" x14ac:dyDescent="0.3">
      <c r="A260" s="49" t="s">
        <v>51</v>
      </c>
      <c r="B260" s="1" t="str">
        <f>VLOOKUP(A260,Participanti!A:B,2,0)</f>
        <v>M</v>
      </c>
      <c r="C260" s="74">
        <v>3</v>
      </c>
      <c r="D260" s="50">
        <v>19.63</v>
      </c>
      <c r="E260" s="51">
        <v>7.2604166666666664E-2</v>
      </c>
      <c r="F260" s="51">
        <v>7.3391203703703708E-2</v>
      </c>
      <c r="G260" s="69">
        <f t="shared" si="112"/>
        <v>7.2997685185185179E-2</v>
      </c>
      <c r="H260" s="52">
        <v>640</v>
      </c>
      <c r="I260" s="12">
        <f t="shared" si="113"/>
        <v>3.7186798362295048E-3</v>
      </c>
      <c r="J260" s="37">
        <f t="shared" si="114"/>
        <v>4.6738095238095232</v>
      </c>
      <c r="K260" s="37">
        <f>IF(J260=0,0,IF(B260="F",VLOOKUP(I260,Barem!$G$2:$H$16,2,1),VLOOKUP(I260,Barem!$G$17:$H$31,2,1)))</f>
        <v>2</v>
      </c>
      <c r="L260" s="50">
        <v>4.5</v>
      </c>
      <c r="M260" s="124" t="s">
        <v>106</v>
      </c>
      <c r="N260" s="10">
        <f t="shared" si="119"/>
        <v>0.5</v>
      </c>
      <c r="O260" s="10">
        <f t="shared" si="119"/>
        <v>0.25</v>
      </c>
      <c r="P260" s="10">
        <f t="shared" si="119"/>
        <v>0.25</v>
      </c>
      <c r="Q260" s="40">
        <f t="shared" si="115"/>
        <v>0.42666666666666669</v>
      </c>
      <c r="R260" s="21">
        <f>IF(D260&gt;21,VLOOKUP(D260,Barem!$T$1:$U$141,2,1),0)</f>
        <v>0</v>
      </c>
      <c r="S260" s="152">
        <f>IF(D260&lt;1.609,0,IF(B260="F",VLOOKUP(I260,Barem!$X$2:$Z$13,2,1),VLOOKUP(I260,Barem!$X$14:$Z$25,2,1)))</f>
        <v>0</v>
      </c>
      <c r="T260" s="21">
        <f>VLOOKUP(A260,Participanti!A:C,3,0)</f>
        <v>0</v>
      </c>
      <c r="U260" s="18">
        <f t="shared" si="116"/>
        <v>4.3885714285714279</v>
      </c>
      <c r="V260" s="58" t="s">
        <v>391</v>
      </c>
      <c r="W260" s="77">
        <f t="shared" si="117"/>
        <v>1</v>
      </c>
      <c r="X260" s="1" t="str">
        <f>VLOOKUP(A260,Data_Echipe!A:R,18,0)</f>
        <v>The GOATs</v>
      </c>
      <c r="Z260" s="115">
        <f t="shared" si="118"/>
        <v>1</v>
      </c>
    </row>
    <row r="261" spans="1:26" x14ac:dyDescent="0.3">
      <c r="A261" s="49" t="s">
        <v>373</v>
      </c>
      <c r="B261" s="1" t="str">
        <f>VLOOKUP(A261,Participanti!A:B,2,0)</f>
        <v>F</v>
      </c>
      <c r="C261" s="74">
        <v>3</v>
      </c>
      <c r="D261" s="50">
        <v>3.57</v>
      </c>
      <c r="E261" s="51">
        <v>1.0995370370370371E-2</v>
      </c>
      <c r="F261" s="51">
        <v>1.1342592592592592E-2</v>
      </c>
      <c r="G261" s="69">
        <f t="shared" si="112"/>
        <v>1.1168981481481481E-2</v>
      </c>
      <c r="H261" s="52"/>
      <c r="I261" s="12">
        <f t="shared" si="113"/>
        <v>3.1285662413113396E-3</v>
      </c>
      <c r="J261" s="37">
        <f t="shared" si="114"/>
        <v>0.89249999999999996</v>
      </c>
      <c r="K261" s="37">
        <f>IF(J261=0,0,IF(B261="F",VLOOKUP(I261,Barem!$G$2:$H$16,2,1),VLOOKUP(I261,Barem!$G$17:$H$31,2,1)))</f>
        <v>5</v>
      </c>
      <c r="L261" s="50">
        <v>2</v>
      </c>
      <c r="M261" s="124" t="s">
        <v>107</v>
      </c>
      <c r="N261" s="10">
        <f t="shared" si="119"/>
        <v>0.25</v>
      </c>
      <c r="O261" s="10">
        <f t="shared" si="119"/>
        <v>0.5</v>
      </c>
      <c r="P261" s="10">
        <f t="shared" si="119"/>
        <v>0.25</v>
      </c>
      <c r="Q261" s="40">
        <f t="shared" si="115"/>
        <v>0</v>
      </c>
      <c r="R261" s="21">
        <f>IF(D261&gt;21,VLOOKUP(D261,Barem!$T$1:$U$141,2,1),0)</f>
        <v>0</v>
      </c>
      <c r="S261" s="152">
        <f>IF(D261&lt;1.609,0,IF(B261="F",VLOOKUP(I261,Barem!$X$2:$Z$13,2,1),VLOOKUP(I261,Barem!$X$14:$Z$25,2,1)))</f>
        <v>0</v>
      </c>
      <c r="T261" s="21">
        <f>VLOOKUP(A261,Participanti!A:C,3,0)</f>
        <v>0</v>
      </c>
      <c r="U261" s="18">
        <f t="shared" si="116"/>
        <v>3.223125</v>
      </c>
      <c r="V261" s="58" t="s">
        <v>391</v>
      </c>
      <c r="W261" s="77">
        <f t="shared" si="117"/>
        <v>1</v>
      </c>
      <c r="X261" s="1" t="e">
        <f>VLOOKUP(A261,Data_Echipe!A:R,18,0)</f>
        <v>#N/A</v>
      </c>
      <c r="Z261" s="115">
        <f t="shared" si="118"/>
        <v>1</v>
      </c>
    </row>
    <row r="262" spans="1:26" x14ac:dyDescent="0.3">
      <c r="A262" s="49" t="s">
        <v>116</v>
      </c>
      <c r="B262" s="1" t="str">
        <f>VLOOKUP(A262,Participanti!A:B,2,0)</f>
        <v>F</v>
      </c>
      <c r="C262" s="74">
        <v>3</v>
      </c>
      <c r="D262" s="50">
        <v>10.93</v>
      </c>
      <c r="E262" s="51">
        <v>5.1979166666666667E-2</v>
      </c>
      <c r="F262" s="51">
        <v>5.4618055555555552E-2</v>
      </c>
      <c r="G262" s="69">
        <f t="shared" si="112"/>
        <v>5.3298611111111109E-2</v>
      </c>
      <c r="H262" s="52">
        <v>365</v>
      </c>
      <c r="I262" s="12">
        <f t="shared" si="113"/>
        <v>4.8763596624987289E-3</v>
      </c>
      <c r="J262" s="37">
        <f t="shared" si="114"/>
        <v>2.7324999999999999</v>
      </c>
      <c r="K262" s="37">
        <f>IF(J262=0,0,IF(B262="F",VLOOKUP(I262,Barem!$G$2:$H$16,2,1),VLOOKUP(I262,Barem!$G$17:$H$31,2,1)))</f>
        <v>0.75</v>
      </c>
      <c r="L262" s="50">
        <v>4.25</v>
      </c>
      <c r="M262" s="124" t="s">
        <v>207</v>
      </c>
      <c r="N262" s="10">
        <f t="shared" si="119"/>
        <v>0.25</v>
      </c>
      <c r="O262" s="10">
        <f t="shared" si="119"/>
        <v>0.25</v>
      </c>
      <c r="P262" s="10">
        <f t="shared" si="119"/>
        <v>0.5</v>
      </c>
      <c r="Q262" s="40">
        <f t="shared" si="115"/>
        <v>0.24333333333333335</v>
      </c>
      <c r="R262" s="21">
        <f>IF(D262&gt;21,VLOOKUP(D262,Barem!$T$1:$U$141,2,1),0)</f>
        <v>0</v>
      </c>
      <c r="S262" s="152">
        <f>IF(D262&lt;1.609,0,IF(B262="F",VLOOKUP(I262,Barem!$X$2:$Z$13,2,1),VLOOKUP(I262,Barem!$X$14:$Z$25,2,1)))</f>
        <v>0</v>
      </c>
      <c r="T262" s="21">
        <f>VLOOKUP(A262,Participanti!A:C,3,0)</f>
        <v>0</v>
      </c>
      <c r="U262" s="18">
        <f t="shared" si="116"/>
        <v>3.2389583333333332</v>
      </c>
      <c r="V262" s="58" t="s">
        <v>391</v>
      </c>
      <c r="W262" s="77">
        <f t="shared" si="117"/>
        <v>1</v>
      </c>
      <c r="X262" s="1" t="str">
        <f>VLOOKUP(A262,Data_Echipe!A:R,18,0)</f>
        <v>#notSYRious</v>
      </c>
      <c r="Z262" s="115">
        <f t="shared" si="118"/>
        <v>1</v>
      </c>
    </row>
    <row r="263" spans="1:26" x14ac:dyDescent="0.3">
      <c r="A263" s="49" t="s">
        <v>374</v>
      </c>
      <c r="B263" s="1" t="str">
        <f>VLOOKUP(A263,Participanti!A:B,2,0)</f>
        <v>M</v>
      </c>
      <c r="C263" s="74">
        <v>3</v>
      </c>
      <c r="D263" s="50">
        <v>19.920000000000002</v>
      </c>
      <c r="E263" s="51">
        <v>8.8032407407407406E-2</v>
      </c>
      <c r="F263" s="51">
        <v>8.8587962962962966E-2</v>
      </c>
      <c r="G263" s="69">
        <f t="shared" si="112"/>
        <v>8.8310185185185186E-2</v>
      </c>
      <c r="H263" s="52">
        <v>506</v>
      </c>
      <c r="I263" s="12">
        <f t="shared" si="113"/>
        <v>4.433242228171947E-3</v>
      </c>
      <c r="J263" s="37">
        <f t="shared" si="114"/>
        <v>4.7428571428571429</v>
      </c>
      <c r="K263" s="37">
        <f>IF(J263=0,0,IF(B263="F",VLOOKUP(I263,Barem!$G$2:$H$16,2,1),VLOOKUP(I263,Barem!$G$17:$H$31,2,1)))</f>
        <v>1</v>
      </c>
      <c r="L263" s="50">
        <v>1</v>
      </c>
      <c r="M263" s="124" t="s">
        <v>106</v>
      </c>
      <c r="N263" s="10">
        <f t="shared" si="119"/>
        <v>0.5</v>
      </c>
      <c r="O263" s="10">
        <f t="shared" si="119"/>
        <v>0.25</v>
      </c>
      <c r="P263" s="10">
        <f t="shared" si="119"/>
        <v>0.25</v>
      </c>
      <c r="Q263" s="40">
        <f t="shared" si="115"/>
        <v>0.33733333333333332</v>
      </c>
      <c r="R263" s="21">
        <f>IF(D263&gt;21,VLOOKUP(D263,Barem!$T$1:$U$141,2,1),0)</f>
        <v>0</v>
      </c>
      <c r="S263" s="152">
        <f>IF(D263&lt;1.609,0,IF(B263="F",VLOOKUP(I263,Barem!$X$2:$Z$13,2,1),VLOOKUP(I263,Barem!$X$14:$Z$25,2,1)))</f>
        <v>0</v>
      </c>
      <c r="T263" s="21">
        <f>VLOOKUP(A263,Participanti!A:C,3,0)</f>
        <v>0</v>
      </c>
      <c r="U263" s="18">
        <f t="shared" si="116"/>
        <v>3.2087619047619049</v>
      </c>
      <c r="V263" s="58" t="s">
        <v>391</v>
      </c>
      <c r="W263" s="77">
        <f t="shared" si="117"/>
        <v>1</v>
      </c>
      <c r="X263" s="1" t="e">
        <f>VLOOKUP(A263,Data_Echipe!A:R,18,0)</f>
        <v>#N/A</v>
      </c>
      <c r="Z263" s="115">
        <f t="shared" si="118"/>
        <v>1</v>
      </c>
    </row>
    <row r="264" spans="1:26" x14ac:dyDescent="0.3">
      <c r="A264" s="49" t="s">
        <v>226</v>
      </c>
      <c r="B264" s="1" t="str">
        <f>VLOOKUP(A264,Participanti!A:B,2,0)</f>
        <v>M</v>
      </c>
      <c r="C264" s="74">
        <v>3</v>
      </c>
      <c r="D264" s="50">
        <v>7.08</v>
      </c>
      <c r="E264" s="51">
        <v>4.0138888888888884E-2</v>
      </c>
      <c r="F264" s="51">
        <v>4.2141203703703702E-2</v>
      </c>
      <c r="G264" s="69">
        <f t="shared" si="112"/>
        <v>4.1140046296296293E-2</v>
      </c>
      <c r="H264" s="52"/>
      <c r="I264" s="12">
        <f t="shared" si="113"/>
        <v>5.8107410023017364E-3</v>
      </c>
      <c r="J264" s="37">
        <f t="shared" si="114"/>
        <v>1.6857142857142857</v>
      </c>
      <c r="K264" s="37">
        <f>IF(J264=0,0,IF(B264="F",VLOOKUP(I264,Barem!$G$2:$H$16,2,1),VLOOKUP(I264,Barem!$G$17:$H$31,2,1)))</f>
        <v>0</v>
      </c>
      <c r="L264" s="50">
        <v>2.25</v>
      </c>
      <c r="M264" s="124" t="s">
        <v>207</v>
      </c>
      <c r="N264" s="10">
        <f t="shared" si="119"/>
        <v>0.25</v>
      </c>
      <c r="O264" s="10">
        <f t="shared" si="119"/>
        <v>0.25</v>
      </c>
      <c r="P264" s="10">
        <f t="shared" si="119"/>
        <v>0.5</v>
      </c>
      <c r="Q264" s="40">
        <f t="shared" si="115"/>
        <v>0</v>
      </c>
      <c r="R264" s="21">
        <f>IF(D264&gt;21,VLOOKUP(D264,Barem!$T$1:$U$141,2,1),0)</f>
        <v>0</v>
      </c>
      <c r="S264" s="152">
        <f>IF(D264&lt;1.609,0,IF(B264="F",VLOOKUP(I264,Barem!$X$2:$Z$13,2,1),VLOOKUP(I264,Barem!$X$14:$Z$25,2,1)))</f>
        <v>0</v>
      </c>
      <c r="T264" s="21">
        <f>VLOOKUP(A264,Participanti!A:C,3,0)</f>
        <v>0</v>
      </c>
      <c r="U264" s="18">
        <f t="shared" si="116"/>
        <v>1.5464285714285715</v>
      </c>
      <c r="V264" s="58" t="s">
        <v>391</v>
      </c>
      <c r="W264" s="77">
        <f t="shared" si="117"/>
        <v>1</v>
      </c>
      <c r="X264" s="1" t="e">
        <f>VLOOKUP(A264,Data_Echipe!A:R,18,0)</f>
        <v>#N/A</v>
      </c>
      <c r="Z264" s="115">
        <f t="shared" si="118"/>
        <v>0</v>
      </c>
    </row>
    <row r="265" spans="1:26" x14ac:dyDescent="0.3">
      <c r="A265" s="49" t="s">
        <v>122</v>
      </c>
      <c r="B265" s="1" t="str">
        <f>VLOOKUP(A265,Participanti!A:B,2,0)</f>
        <v>M</v>
      </c>
      <c r="C265" s="74">
        <v>3</v>
      </c>
      <c r="D265" s="50">
        <v>21.45</v>
      </c>
      <c r="E265" s="51">
        <v>7.1458333333333332E-2</v>
      </c>
      <c r="F265" s="51">
        <v>7.2303240740740737E-2</v>
      </c>
      <c r="G265" s="69">
        <f t="shared" si="112"/>
        <v>7.1880787037037042E-2</v>
      </c>
      <c r="H265" s="52">
        <v>86</v>
      </c>
      <c r="I265" s="12">
        <f t="shared" si="113"/>
        <v>3.3510856427523099E-3</v>
      </c>
      <c r="J265" s="37">
        <f t="shared" si="114"/>
        <v>5</v>
      </c>
      <c r="K265" s="37">
        <f>IF(J265=0,0,IF(B265="F",VLOOKUP(I265,Barem!$G$2:$H$16,2,1),VLOOKUP(I265,Barem!$G$17:$H$31,2,1)))</f>
        <v>3</v>
      </c>
      <c r="L265" s="50">
        <v>3</v>
      </c>
      <c r="M265" s="124" t="s">
        <v>207</v>
      </c>
      <c r="N265" s="10">
        <f t="shared" si="119"/>
        <v>0.25</v>
      </c>
      <c r="O265" s="10">
        <f t="shared" si="119"/>
        <v>0.25</v>
      </c>
      <c r="P265" s="10">
        <f t="shared" si="119"/>
        <v>0.5</v>
      </c>
      <c r="Q265" s="40">
        <f t="shared" si="115"/>
        <v>5.7333333333333333E-2</v>
      </c>
      <c r="R265" s="21">
        <f>IF(D265&gt;21,VLOOKUP(D265,Barem!$T$1:$U$141,2,1),0)</f>
        <v>0</v>
      </c>
      <c r="S265" s="152">
        <f>IF(D265&lt;1.609,0,IF(B265="F",VLOOKUP(I265,Barem!$X$2:$Z$13,2,1),VLOOKUP(I265,Barem!$X$14:$Z$25,2,1)))</f>
        <v>0</v>
      </c>
      <c r="T265" s="21">
        <f>VLOOKUP(A265,Participanti!A:C,3,0)</f>
        <v>0</v>
      </c>
      <c r="U265" s="18">
        <f t="shared" si="116"/>
        <v>3.5573333333333332</v>
      </c>
      <c r="V265" s="58" t="s">
        <v>391</v>
      </c>
      <c r="W265" s="77">
        <f t="shared" si="117"/>
        <v>1</v>
      </c>
      <c r="X265" s="1" t="str">
        <f>VLOOKUP(A265,Data_Echipe!A:R,18,0)</f>
        <v>#notSYRious</v>
      </c>
      <c r="Z265" s="115">
        <f t="shared" si="118"/>
        <v>1</v>
      </c>
    </row>
    <row r="266" spans="1:26" x14ac:dyDescent="0.3">
      <c r="A266" s="49" t="s">
        <v>203</v>
      </c>
      <c r="B266" s="1" t="str">
        <f>VLOOKUP(A266,Participanti!A:B,2,0)</f>
        <v>M</v>
      </c>
      <c r="C266" s="74">
        <v>3</v>
      </c>
      <c r="D266" s="50">
        <v>21.45</v>
      </c>
      <c r="E266" s="51">
        <v>7.2673611111111105E-2</v>
      </c>
      <c r="F266" s="51">
        <v>7.3194444444444437E-2</v>
      </c>
      <c r="G266" s="69">
        <f t="shared" si="112"/>
        <v>7.2934027777777771E-2</v>
      </c>
      <c r="H266" s="52">
        <v>86</v>
      </c>
      <c r="I266" s="12">
        <f t="shared" si="113"/>
        <v>3.4001877751877749E-3</v>
      </c>
      <c r="J266" s="37">
        <f t="shared" si="114"/>
        <v>5</v>
      </c>
      <c r="K266" s="37">
        <f>IF(J266=0,0,IF(B266="F",VLOOKUP(I266,Barem!$G$2:$H$16,2,1),VLOOKUP(I266,Barem!$G$17:$H$31,2,1)))</f>
        <v>3</v>
      </c>
      <c r="L266" s="50">
        <v>4.25</v>
      </c>
      <c r="M266" s="124" t="s">
        <v>106</v>
      </c>
      <c r="N266" s="10">
        <f t="shared" si="119"/>
        <v>0.5</v>
      </c>
      <c r="O266" s="10">
        <f t="shared" si="119"/>
        <v>0.25</v>
      </c>
      <c r="P266" s="10">
        <f t="shared" si="119"/>
        <v>0.25</v>
      </c>
      <c r="Q266" s="40">
        <f t="shared" si="115"/>
        <v>5.7333333333333333E-2</v>
      </c>
      <c r="R266" s="21">
        <f>IF(D266&gt;21,VLOOKUP(D266,Barem!$T$1:$U$141,2,1),0)</f>
        <v>0</v>
      </c>
      <c r="S266" s="152">
        <f>IF(D266&lt;1.609,0,IF(B266="F",VLOOKUP(I266,Barem!$X$2:$Z$13,2,1),VLOOKUP(I266,Barem!$X$14:$Z$25,2,1)))</f>
        <v>0</v>
      </c>
      <c r="T266" s="21">
        <f>VLOOKUP(A266,Participanti!A:C,3,0)</f>
        <v>0</v>
      </c>
      <c r="U266" s="18">
        <f t="shared" si="116"/>
        <v>4.3698333333333332</v>
      </c>
      <c r="V266" s="58" t="s">
        <v>391</v>
      </c>
      <c r="W266" s="77">
        <f t="shared" si="117"/>
        <v>1</v>
      </c>
      <c r="X266" s="1" t="str">
        <f>VLOOKUP(A266,Data_Echipe!A:R,18,0)</f>
        <v>The GOATs</v>
      </c>
      <c r="Z266" s="115">
        <f t="shared" si="118"/>
        <v>1</v>
      </c>
    </row>
    <row r="267" spans="1:26" x14ac:dyDescent="0.3">
      <c r="A267" s="49" t="s">
        <v>398</v>
      </c>
      <c r="B267" s="1" t="str">
        <f>VLOOKUP(A267,Participanti!A:B,2,0)</f>
        <v>F</v>
      </c>
      <c r="C267" s="74">
        <v>3</v>
      </c>
      <c r="D267" s="50">
        <v>10.73</v>
      </c>
      <c r="E267" s="51">
        <v>7.930555555555556E-2</v>
      </c>
      <c r="F267" s="51">
        <v>7.9386574074074082E-2</v>
      </c>
      <c r="G267" s="69">
        <f t="shared" ref="G267" si="120">AVERAGE(E267:F267)</f>
        <v>7.9346064814814821E-2</v>
      </c>
      <c r="H267" s="52">
        <v>87</v>
      </c>
      <c r="I267" s="12">
        <f t="shared" ref="I267" si="121">G267/D267</f>
        <v>7.3947870284077179E-3</v>
      </c>
      <c r="J267" s="37">
        <f t="shared" ref="J267" si="122">IF(B267="F",IF(D267&lt;2.5,0,IF(D267&gt;19.99,5,D267/4)),IF(D267&lt;3,0, IF(D267&gt;20.99,5,D267/4.2)))</f>
        <v>2.6825000000000001</v>
      </c>
      <c r="K267" s="37">
        <f>IF(J267=0,0,IF(B267="F",VLOOKUP(I267,Barem!$G$2:$H$16,2,1),VLOOKUP(I267,Barem!$G$17:$H$31,2,1)))</f>
        <v>0</v>
      </c>
      <c r="L267" s="50">
        <v>3.25</v>
      </c>
      <c r="M267" s="124" t="s">
        <v>207</v>
      </c>
      <c r="N267" s="10">
        <f t="shared" si="119"/>
        <v>0.25</v>
      </c>
      <c r="O267" s="10">
        <f t="shared" si="119"/>
        <v>0.25</v>
      </c>
      <c r="P267" s="10">
        <f t="shared" si="119"/>
        <v>0.5</v>
      </c>
      <c r="Q267" s="40">
        <f t="shared" ref="Q267" si="123">IF(H267&gt;49,H267/1500,0)</f>
        <v>5.8000000000000003E-2</v>
      </c>
      <c r="R267" s="21">
        <f>IF(D267&gt;21,VLOOKUP(D267,Barem!$T$1:$U$141,2,1),0)</f>
        <v>0</v>
      </c>
      <c r="S267" s="152">
        <f>IF(D267&lt;1.609,0,IF(B267="F",VLOOKUP(I267,Barem!$X$2:$Z$13,2,1),VLOOKUP(I267,Barem!$X$14:$Z$25,2,1)))</f>
        <v>0</v>
      </c>
      <c r="T267" s="21">
        <f>VLOOKUP(A267,Participanti!A:C,3,0)</f>
        <v>0.7</v>
      </c>
      <c r="U267" s="18">
        <f t="shared" ref="U267" si="124">IF(H267&lt;0,0,J267*N267+K267*O267+L267*P267+Q267+R267+S267+T267)</f>
        <v>3.0536250000000003</v>
      </c>
      <c r="V267" s="58" t="s">
        <v>391</v>
      </c>
      <c r="W267" s="77">
        <f t="shared" si="117"/>
        <v>1</v>
      </c>
      <c r="X267" s="1" t="e">
        <f>VLOOKUP(A267,Data_Echipe!A:R,18,0)</f>
        <v>#N/A</v>
      </c>
      <c r="Z267" s="115">
        <f t="shared" ref="Z267" si="125">IF(K267&gt;0,1,0)</f>
        <v>0</v>
      </c>
    </row>
    <row r="268" spans="1:26" x14ac:dyDescent="0.3">
      <c r="A268" s="49" t="s">
        <v>125</v>
      </c>
      <c r="B268" s="1" t="str">
        <f>VLOOKUP(A268,Participanti!A:B,2,0)</f>
        <v>M</v>
      </c>
      <c r="C268" s="74">
        <v>4</v>
      </c>
      <c r="D268" s="50">
        <v>10.01</v>
      </c>
      <c r="E268" s="51">
        <v>2.6817129629629632E-2</v>
      </c>
      <c r="F268" s="51">
        <v>2.6817129629629632E-2</v>
      </c>
      <c r="G268" s="69">
        <f t="shared" ref="G268:G273" si="126">AVERAGE(E268:F268)</f>
        <v>2.6817129629629632E-2</v>
      </c>
      <c r="H268" s="52">
        <v>45</v>
      </c>
      <c r="I268" s="12">
        <f t="shared" ref="I268:I273" si="127">G268/D268</f>
        <v>2.6790339290339291E-3</v>
      </c>
      <c r="J268" s="37">
        <f t="shared" ref="J268:J273" si="128">IF(B268="F",IF(D268&lt;2.5,0,IF(D268&gt;19.99,5,D268/4)),IF(D268&lt;3,0, IF(D268&gt;20.99,5,D268/4.2)))</f>
        <v>2.3833333333333333</v>
      </c>
      <c r="K268" s="37">
        <f>IF(J268=0,0,IF(B268="F",VLOOKUP(I268,Barem!$G$2:$H$16,2,1),VLOOKUP(I268,Barem!$G$17:$H$31,2,1)))</f>
        <v>5</v>
      </c>
      <c r="L268" s="50">
        <v>1</v>
      </c>
      <c r="M268" s="124" t="s">
        <v>107</v>
      </c>
      <c r="N268" s="10">
        <f t="shared" si="119"/>
        <v>0.25</v>
      </c>
      <c r="O268" s="10">
        <f t="shared" si="119"/>
        <v>0.5</v>
      </c>
      <c r="P268" s="10">
        <f t="shared" si="119"/>
        <v>0.25</v>
      </c>
      <c r="Q268" s="40">
        <f t="shared" ref="Q268:Q273" si="129">IF(H268&gt;49,H268/1500,0)</f>
        <v>0</v>
      </c>
      <c r="R268" s="21">
        <f>IF(D268&gt;21,VLOOKUP(D268,Barem!$T$1:$U$141,2,1),0)</f>
        <v>0</v>
      </c>
      <c r="S268" s="152">
        <f>IF(D268&lt;1.609,0,IF(B268="F",VLOOKUP(I268,Barem!$X$2:$Z$13,2,1),VLOOKUP(I268,Barem!$X$14:$Z$25,2,1)))</f>
        <v>0.45000000000000007</v>
      </c>
      <c r="T268" s="21">
        <f>VLOOKUP(A268,Participanti!A:C,3,0)</f>
        <v>0</v>
      </c>
      <c r="U268" s="18">
        <f t="shared" ref="U268:U273" si="130">IF(H268&lt;0,0,J268*N268+K268*O268+L268*P268+Q268+R268+S268+T268)</f>
        <v>3.7958333333333334</v>
      </c>
      <c r="V268" s="58" t="s">
        <v>391</v>
      </c>
      <c r="W268" s="77">
        <f t="shared" si="117"/>
        <v>1</v>
      </c>
      <c r="X268" s="1" t="str">
        <f>VLOOKUP(A268,Data_Echipe!A:R,18,0)</f>
        <v>The GOATs</v>
      </c>
      <c r="Z268" s="115">
        <f t="shared" ref="Z268:Z273" si="131">IF(K268&gt;0,1,0)</f>
        <v>1</v>
      </c>
    </row>
    <row r="269" spans="1:26" x14ac:dyDescent="0.3">
      <c r="A269" s="49" t="s">
        <v>356</v>
      </c>
      <c r="B269" s="1" t="str">
        <f>VLOOKUP(A269,Participanti!A:B,2,0)</f>
        <v>M</v>
      </c>
      <c r="C269" s="74">
        <v>4</v>
      </c>
      <c r="D269" s="50">
        <v>15.01</v>
      </c>
      <c r="E269" s="51">
        <v>5.9340277777777777E-2</v>
      </c>
      <c r="F269" s="51">
        <v>6.2650462962962963E-2</v>
      </c>
      <c r="G269" s="69">
        <f t="shared" si="126"/>
        <v>6.0995370370370366E-2</v>
      </c>
      <c r="H269" s="52"/>
      <c r="I269" s="12">
        <f t="shared" si="127"/>
        <v>4.0636489254077526E-3</v>
      </c>
      <c r="J269" s="37">
        <f t="shared" si="128"/>
        <v>3.5738095238095235</v>
      </c>
      <c r="K269" s="37">
        <f>IF(J269=0,0,IF(B269="F",VLOOKUP(I269,Barem!$G$2:$H$16,2,1),VLOOKUP(I269,Barem!$G$17:$H$31,2,1)))</f>
        <v>1.5</v>
      </c>
      <c r="L269" s="50">
        <v>2.75</v>
      </c>
      <c r="M269" s="124" t="s">
        <v>106</v>
      </c>
      <c r="N269" s="10">
        <f t="shared" si="119"/>
        <v>0.5</v>
      </c>
      <c r="O269" s="10">
        <f t="shared" si="119"/>
        <v>0.25</v>
      </c>
      <c r="P269" s="10">
        <f t="shared" si="119"/>
        <v>0.25</v>
      </c>
      <c r="Q269" s="40">
        <f t="shared" si="129"/>
        <v>0</v>
      </c>
      <c r="R269" s="21">
        <f>IF(D269&gt;21,VLOOKUP(D269,Barem!$T$1:$U$141,2,1),0)</f>
        <v>0</v>
      </c>
      <c r="S269" s="152">
        <f>IF(D269&lt;1.609,0,IF(B269="F",VLOOKUP(I269,Barem!$X$2:$Z$13,2,1),VLOOKUP(I269,Barem!$X$14:$Z$25,2,1)))</f>
        <v>0</v>
      </c>
      <c r="T269" s="21">
        <f>VLOOKUP(A269,Participanti!A:C,3,0)</f>
        <v>0</v>
      </c>
      <c r="U269" s="18">
        <f t="shared" si="130"/>
        <v>2.8494047619047618</v>
      </c>
      <c r="V269" s="58" t="s">
        <v>397</v>
      </c>
      <c r="W269" s="77">
        <f t="shared" si="117"/>
        <v>1</v>
      </c>
      <c r="X269" s="1" t="str">
        <f>VLOOKUP(A269,Data_Echipe!A:R,18,0)</f>
        <v>MedgidiaRunning</v>
      </c>
      <c r="Z269" s="115">
        <f t="shared" si="131"/>
        <v>1</v>
      </c>
    </row>
    <row r="270" spans="1:26" x14ac:dyDescent="0.3">
      <c r="A270" s="49" t="s">
        <v>335</v>
      </c>
      <c r="B270" s="1" t="str">
        <f>VLOOKUP(A270,Participanti!A:B,2,0)</f>
        <v>M</v>
      </c>
      <c r="C270" s="74">
        <v>4</v>
      </c>
      <c r="D270" s="50">
        <v>30.5</v>
      </c>
      <c r="E270" s="51">
        <v>0.12557870370370369</v>
      </c>
      <c r="F270" s="51" t="s">
        <v>400</v>
      </c>
      <c r="G270" s="69">
        <f t="shared" si="126"/>
        <v>0.12557870370370369</v>
      </c>
      <c r="H270" s="52">
        <v>363</v>
      </c>
      <c r="I270" s="12">
        <f t="shared" si="127"/>
        <v>4.1173345476624166E-3</v>
      </c>
      <c r="J270" s="37">
        <f t="shared" si="128"/>
        <v>5</v>
      </c>
      <c r="K270" s="37">
        <f>IF(J270=0,0,IF(B270="F",VLOOKUP(I270,Barem!$G$2:$H$16,2,1),VLOOKUP(I270,Barem!$G$17:$H$31,2,1)))</f>
        <v>1.5</v>
      </c>
      <c r="L270" s="50">
        <v>0.5</v>
      </c>
      <c r="M270" s="124" t="s">
        <v>106</v>
      </c>
      <c r="N270" s="10">
        <f t="shared" si="119"/>
        <v>0.5</v>
      </c>
      <c r="O270" s="10">
        <f t="shared" si="119"/>
        <v>0.25</v>
      </c>
      <c r="P270" s="10">
        <f t="shared" si="119"/>
        <v>0.25</v>
      </c>
      <c r="Q270" s="40">
        <f t="shared" si="129"/>
        <v>0.24199999999999999</v>
      </c>
      <c r="R270" s="21">
        <f>IF(D270&gt;21,VLOOKUP(D270,Barem!$T$1:$U$141,2,1),0)</f>
        <v>0.4</v>
      </c>
      <c r="S270" s="152">
        <f>IF(D270&lt;1.609,0,IF(B270="F",VLOOKUP(I270,Barem!$X$2:$Z$13,2,1),VLOOKUP(I270,Barem!$X$14:$Z$25,2,1)))</f>
        <v>0</v>
      </c>
      <c r="T270" s="21">
        <f>VLOOKUP(A270,Participanti!A:C,3,0)</f>
        <v>0.4</v>
      </c>
      <c r="U270" s="18">
        <f t="shared" si="130"/>
        <v>4.0419999999999998</v>
      </c>
      <c r="V270" s="58" t="s">
        <v>397</v>
      </c>
      <c r="W270" s="77">
        <f t="shared" si="117"/>
        <v>1</v>
      </c>
      <c r="X270" s="1" t="e">
        <f>VLOOKUP(A270,Data_Echipe!A:R,18,0)</f>
        <v>#N/A</v>
      </c>
      <c r="Z270" s="115">
        <f t="shared" si="131"/>
        <v>1</v>
      </c>
    </row>
    <row r="271" spans="1:26" x14ac:dyDescent="0.3">
      <c r="A271" s="49" t="s">
        <v>336</v>
      </c>
      <c r="B271" s="1" t="str">
        <f>VLOOKUP(A271,Participanti!A:B,2,0)</f>
        <v>M</v>
      </c>
      <c r="C271" s="74">
        <v>4</v>
      </c>
      <c r="D271" s="50">
        <v>26.15</v>
      </c>
      <c r="E271" s="51">
        <v>0.11122685185185184</v>
      </c>
      <c r="F271" s="51">
        <v>0.11122685185185184</v>
      </c>
      <c r="G271" s="69">
        <f t="shared" si="126"/>
        <v>0.11122685185185184</v>
      </c>
      <c r="H271" s="52"/>
      <c r="I271" s="12">
        <f t="shared" si="127"/>
        <v>4.2534168968203379E-3</v>
      </c>
      <c r="J271" s="37">
        <f t="shared" si="128"/>
        <v>5</v>
      </c>
      <c r="K271" s="37">
        <f>IF(J271=0,0,IF(B271="F",VLOOKUP(I271,Barem!$G$2:$H$16,2,1),VLOOKUP(I271,Barem!$G$17:$H$31,2,1)))</f>
        <v>1.25</v>
      </c>
      <c r="L271" s="50">
        <v>1</v>
      </c>
      <c r="M271" s="124" t="s">
        <v>106</v>
      </c>
      <c r="N271" s="10">
        <f t="shared" si="119"/>
        <v>0.5</v>
      </c>
      <c r="O271" s="10">
        <f t="shared" si="119"/>
        <v>0.25</v>
      </c>
      <c r="P271" s="10">
        <f t="shared" si="119"/>
        <v>0.25</v>
      </c>
      <c r="Q271" s="40">
        <f t="shared" si="129"/>
        <v>0</v>
      </c>
      <c r="R271" s="21">
        <f>IF(D271&gt;21,VLOOKUP(D271,Barem!$T$1:$U$141,2,1),0)</f>
        <v>0.2</v>
      </c>
      <c r="S271" s="152">
        <f>IF(D271&lt;1.609,0,IF(B271="F",VLOOKUP(I271,Barem!$X$2:$Z$13,2,1),VLOOKUP(I271,Barem!$X$14:$Z$25,2,1)))</f>
        <v>0</v>
      </c>
      <c r="T271" s="21">
        <f>VLOOKUP(A271,Participanti!A:C,3,0)</f>
        <v>0</v>
      </c>
      <c r="U271" s="18">
        <f t="shared" si="130"/>
        <v>3.2625000000000002</v>
      </c>
      <c r="V271" s="58" t="s">
        <v>397</v>
      </c>
      <c r="W271" s="77">
        <f t="shared" si="117"/>
        <v>1</v>
      </c>
      <c r="X271" s="1" t="e">
        <f>VLOOKUP(A271,Data_Echipe!A:R,18,0)</f>
        <v>#N/A</v>
      </c>
      <c r="Z271" s="115">
        <f t="shared" si="131"/>
        <v>1</v>
      </c>
    </row>
    <row r="272" spans="1:26" x14ac:dyDescent="0.3">
      <c r="A272" s="49" t="s">
        <v>59</v>
      </c>
      <c r="B272" s="1" t="str">
        <f>VLOOKUP(A272,Participanti!A:B,2,0)</f>
        <v>M</v>
      </c>
      <c r="C272" s="74">
        <v>4</v>
      </c>
      <c r="D272" s="50">
        <v>11.67</v>
      </c>
      <c r="E272" s="51">
        <v>4.1724537037037039E-2</v>
      </c>
      <c r="F272" s="51">
        <v>3.3842592592592598E-2</v>
      </c>
      <c r="G272" s="69">
        <f t="shared" si="126"/>
        <v>3.7783564814814818E-2</v>
      </c>
      <c r="H272" s="52"/>
      <c r="I272" s="12">
        <f t="shared" si="127"/>
        <v>3.2376662223491705E-3</v>
      </c>
      <c r="J272" s="37">
        <f t="shared" si="128"/>
        <v>2.7785714285714285</v>
      </c>
      <c r="K272" s="37">
        <f>IF(J272=0,0,IF(B272="F",VLOOKUP(I272,Barem!$G$2:$H$16,2,1),VLOOKUP(I272,Barem!$G$17:$H$31,2,1)))</f>
        <v>3.5</v>
      </c>
      <c r="L272" s="50">
        <v>4.25</v>
      </c>
      <c r="M272" s="124" t="s">
        <v>106</v>
      </c>
      <c r="N272" s="10">
        <f t="shared" si="119"/>
        <v>0.5</v>
      </c>
      <c r="O272" s="10">
        <f t="shared" si="119"/>
        <v>0.25</v>
      </c>
      <c r="P272" s="10">
        <f t="shared" si="119"/>
        <v>0.25</v>
      </c>
      <c r="Q272" s="40">
        <f t="shared" si="129"/>
        <v>0</v>
      </c>
      <c r="R272" s="21">
        <f>IF(D272&gt;21,VLOOKUP(D272,Barem!$T$1:$U$141,2,1),0)</f>
        <v>0</v>
      </c>
      <c r="S272" s="152">
        <f>IF(D272&lt;1.609,0,IF(B272="F",VLOOKUP(I272,Barem!$X$2:$Z$13,2,1),VLOOKUP(I272,Barem!$X$14:$Z$25,2,1)))</f>
        <v>0</v>
      </c>
      <c r="T272" s="21">
        <f>VLOOKUP(A272,Participanti!A:C,3,0)</f>
        <v>0</v>
      </c>
      <c r="U272" s="18">
        <f t="shared" si="130"/>
        <v>3.3267857142857142</v>
      </c>
      <c r="V272" s="58" t="s">
        <v>399</v>
      </c>
      <c r="W272" s="77">
        <f t="shared" si="117"/>
        <v>1</v>
      </c>
      <c r="X272" s="1" t="str">
        <f>VLOOKUP(A272,Data_Echipe!A:R,18,0)</f>
        <v>Almost Kenyan Runners</v>
      </c>
      <c r="Z272" s="115">
        <f t="shared" si="131"/>
        <v>1</v>
      </c>
    </row>
    <row r="273" spans="1:26" x14ac:dyDescent="0.3">
      <c r="A273" s="49" t="s">
        <v>339</v>
      </c>
      <c r="B273" s="1" t="str">
        <f>VLOOKUP(A273,Participanti!A:B,2,0)</f>
        <v>M</v>
      </c>
      <c r="C273" s="74">
        <v>4</v>
      </c>
      <c r="D273" s="50">
        <v>20.36</v>
      </c>
      <c r="E273" s="51">
        <v>7.440972222222221E-2</v>
      </c>
      <c r="F273" s="51">
        <v>7.5891203703703711E-2</v>
      </c>
      <c r="G273" s="69">
        <f t="shared" si="126"/>
        <v>7.5150462962962961E-2</v>
      </c>
      <c r="H273" s="52">
        <v>138</v>
      </c>
      <c r="I273" s="12">
        <f t="shared" si="127"/>
        <v>3.6910836425816779E-3</v>
      </c>
      <c r="J273" s="37">
        <f t="shared" si="128"/>
        <v>4.8476190476190473</v>
      </c>
      <c r="K273" s="37">
        <f>IF(J273=0,0,IF(B273="F",VLOOKUP(I273,Barem!$G$2:$H$16,2,1),VLOOKUP(I273,Barem!$G$17:$H$31,2,1)))</f>
        <v>2</v>
      </c>
      <c r="L273" s="50">
        <v>2.25</v>
      </c>
      <c r="M273" s="124" t="s">
        <v>106</v>
      </c>
      <c r="N273" s="10">
        <f t="shared" si="119"/>
        <v>0.5</v>
      </c>
      <c r="O273" s="10">
        <f t="shared" si="119"/>
        <v>0.25</v>
      </c>
      <c r="P273" s="10">
        <f t="shared" si="119"/>
        <v>0.25</v>
      </c>
      <c r="Q273" s="40">
        <f t="shared" si="129"/>
        <v>9.1999999999999998E-2</v>
      </c>
      <c r="R273" s="21">
        <f>IF(D273&gt;21,VLOOKUP(D273,Barem!$T$1:$U$141,2,1),0)</f>
        <v>0</v>
      </c>
      <c r="S273" s="152">
        <f>IF(D273&lt;1.609,0,IF(B273="F",VLOOKUP(I273,Barem!$X$2:$Z$13,2,1),VLOOKUP(I273,Barem!$X$14:$Z$25,2,1)))</f>
        <v>0</v>
      </c>
      <c r="T273" s="21">
        <f>VLOOKUP(A273,Participanti!A:C,3,0)</f>
        <v>0</v>
      </c>
      <c r="U273" s="18">
        <f t="shared" si="130"/>
        <v>3.5783095238095237</v>
      </c>
      <c r="V273" s="58" t="s">
        <v>399</v>
      </c>
      <c r="W273" s="77">
        <f t="shared" si="117"/>
        <v>1</v>
      </c>
      <c r="X273" s="1" t="str">
        <f>VLOOKUP(A273,Data_Echipe!A:R,18,0)</f>
        <v>MedgidiaRunning</v>
      </c>
      <c r="Z273" s="115">
        <f t="shared" si="131"/>
        <v>1</v>
      </c>
    </row>
    <row r="274" spans="1:26" x14ac:dyDescent="0.3">
      <c r="A274" s="49" t="s">
        <v>241</v>
      </c>
      <c r="B274" s="1" t="str">
        <f>VLOOKUP(A274,Participanti!A:B,2,0)</f>
        <v>F</v>
      </c>
      <c r="C274" s="74">
        <v>4</v>
      </c>
      <c r="D274" s="50">
        <v>6.12</v>
      </c>
      <c r="E274" s="51">
        <v>3.7662037037037036E-2</v>
      </c>
      <c r="F274" s="51">
        <v>4.3796296296296298E-2</v>
      </c>
      <c r="G274" s="69">
        <f t="shared" ref="G274:G280" si="132">AVERAGE(E274:F274)</f>
        <v>4.0729166666666664E-2</v>
      </c>
      <c r="H274" s="52">
        <v>299</v>
      </c>
      <c r="I274" s="12">
        <f t="shared" ref="I274:I280" si="133">G274/D274</f>
        <v>6.6550925925925918E-3</v>
      </c>
      <c r="J274" s="37">
        <f t="shared" ref="J274:J280" si="134">IF(B274="F",IF(D274&lt;2.5,0,IF(D274&gt;19.99,5,D274/4)),IF(D274&lt;3,0, IF(D274&gt;20.99,5,D274/4.2)))</f>
        <v>1.53</v>
      </c>
      <c r="K274" s="37">
        <f>IF(J274=0,0,IF(B274="F",VLOOKUP(I274,Barem!$G$2:$H$16,2,1),VLOOKUP(I274,Barem!$G$17:$H$31,2,1)))</f>
        <v>0</v>
      </c>
      <c r="L274" s="50">
        <v>3.5</v>
      </c>
      <c r="M274" s="124" t="s">
        <v>106</v>
      </c>
      <c r="N274" s="10">
        <f t="shared" si="119"/>
        <v>0.5</v>
      </c>
      <c r="O274" s="10">
        <f t="shared" si="119"/>
        <v>0.25</v>
      </c>
      <c r="P274" s="10">
        <f t="shared" si="119"/>
        <v>0.25</v>
      </c>
      <c r="Q274" s="40">
        <f t="shared" ref="Q274:Q280" si="135">IF(H274&gt;49,H274/1500,0)</f>
        <v>0.19933333333333333</v>
      </c>
      <c r="R274" s="21">
        <f>IF(D274&gt;21,VLOOKUP(D274,Barem!$T$1:$U$141,2,1),0)</f>
        <v>0</v>
      </c>
      <c r="S274" s="152">
        <f>IF(D274&lt;1.609,0,IF(B274="F",VLOOKUP(I274,Barem!$X$2:$Z$13,2,1),VLOOKUP(I274,Barem!$X$14:$Z$25,2,1)))</f>
        <v>0</v>
      </c>
      <c r="T274" s="21">
        <f>VLOOKUP(A274,Participanti!A:C,3,0)</f>
        <v>0</v>
      </c>
      <c r="U274" s="18">
        <f t="shared" ref="U274:U280" si="136">IF(H274&lt;0,0,J274*N274+K274*O274+L274*P274+Q274+R274+S274+T274)</f>
        <v>1.8393333333333335</v>
      </c>
      <c r="V274" s="58" t="s">
        <v>401</v>
      </c>
      <c r="W274" s="77">
        <f t="shared" si="117"/>
        <v>1</v>
      </c>
      <c r="X274" s="1" t="str">
        <f>VLOOKUP(A274,Data_Echipe!A:R,18,0)</f>
        <v>Almost Kenyan Runners</v>
      </c>
      <c r="Z274" s="115">
        <f t="shared" ref="Z274:Z280" si="137">IF(K274&gt;0,1,0)</f>
        <v>0</v>
      </c>
    </row>
    <row r="275" spans="1:26" x14ac:dyDescent="0.3">
      <c r="A275" s="49" t="s">
        <v>390</v>
      </c>
      <c r="B275" s="1" t="str">
        <f>VLOOKUP(A275,Participanti!A:B,2,0)</f>
        <v>F</v>
      </c>
      <c r="C275" s="74">
        <v>4</v>
      </c>
      <c r="D275" s="50">
        <v>9.41</v>
      </c>
      <c r="E275" s="51">
        <v>3.7766203703703705E-2</v>
      </c>
      <c r="F275" s="51">
        <v>3.7812500000000006E-2</v>
      </c>
      <c r="G275" s="69">
        <f t="shared" si="132"/>
        <v>3.7789351851851852E-2</v>
      </c>
      <c r="H275" s="52"/>
      <c r="I275" s="12">
        <f t="shared" si="133"/>
        <v>4.0158716101861688E-3</v>
      </c>
      <c r="J275" s="37">
        <f t="shared" si="134"/>
        <v>2.3525</v>
      </c>
      <c r="K275" s="37">
        <f>IF(J275=0,0,IF(B275="F",VLOOKUP(I275,Barem!$G$2:$H$16,2,1),VLOOKUP(I275,Barem!$G$17:$H$31,2,1)))</f>
        <v>2</v>
      </c>
      <c r="L275" s="50">
        <v>2.5</v>
      </c>
      <c r="M275" s="124" t="s">
        <v>106</v>
      </c>
      <c r="N275" s="10">
        <f t="shared" ref="N275:P275" si="138">IF($M275=N$1,50%,25%)</f>
        <v>0.5</v>
      </c>
      <c r="O275" s="10">
        <f t="shared" si="138"/>
        <v>0.25</v>
      </c>
      <c r="P275" s="10">
        <f t="shared" si="138"/>
        <v>0.25</v>
      </c>
      <c r="Q275" s="40">
        <f t="shared" si="135"/>
        <v>0</v>
      </c>
      <c r="R275" s="21">
        <f>IF(D275&gt;21,VLOOKUP(D275,Barem!$T$1:$U$141,2,1),0)</f>
        <v>0</v>
      </c>
      <c r="S275" s="152">
        <f>IF(D275&lt;1.609,0,IF(B275="F",VLOOKUP(I275,Barem!$X$2:$Z$13,2,1),VLOOKUP(I275,Barem!$X$14:$Z$25,2,1)))</f>
        <v>0</v>
      </c>
      <c r="T275" s="21">
        <f>VLOOKUP(A275,Participanti!A:C,3,0)</f>
        <v>0</v>
      </c>
      <c r="U275" s="18">
        <f t="shared" si="136"/>
        <v>2.30125</v>
      </c>
      <c r="V275" s="58" t="s">
        <v>401</v>
      </c>
      <c r="W275" s="77">
        <f t="shared" si="117"/>
        <v>1</v>
      </c>
      <c r="X275" s="1" t="str">
        <f>VLOOKUP(A275,Data_Echipe!A:R,18,0)</f>
        <v>#notSYRious</v>
      </c>
      <c r="Z275" s="115">
        <f t="shared" si="137"/>
        <v>1</v>
      </c>
    </row>
    <row r="276" spans="1:26" x14ac:dyDescent="0.3">
      <c r="A276" s="49" t="s">
        <v>396</v>
      </c>
      <c r="B276" s="1" t="str">
        <f>VLOOKUP(A276,Participanti!A:B,2,0)</f>
        <v>F</v>
      </c>
      <c r="C276" s="74">
        <v>4</v>
      </c>
      <c r="D276" s="50">
        <v>17.03</v>
      </c>
      <c r="E276" s="51">
        <v>8.1574074074074077E-2</v>
      </c>
      <c r="F276" s="51">
        <v>8.4305555555555564E-2</v>
      </c>
      <c r="G276" s="69">
        <f t="shared" si="132"/>
        <v>8.2939814814814827E-2</v>
      </c>
      <c r="H276" s="52">
        <v>91</v>
      </c>
      <c r="I276" s="12">
        <f t="shared" si="133"/>
        <v>4.8702181335769125E-3</v>
      </c>
      <c r="J276" s="37">
        <f t="shared" si="134"/>
        <v>4.2575000000000003</v>
      </c>
      <c r="K276" s="37">
        <f>IF(J276=0,0,IF(B276="F",VLOOKUP(I276,Barem!$G$2:$H$16,2,1),VLOOKUP(I276,Barem!$G$17:$H$31,2,1)))</f>
        <v>1</v>
      </c>
      <c r="L276" s="50">
        <v>3</v>
      </c>
      <c r="M276" s="124" t="s">
        <v>106</v>
      </c>
      <c r="N276" s="10">
        <f t="shared" si="119"/>
        <v>0.5</v>
      </c>
      <c r="O276" s="10">
        <f t="shared" si="119"/>
        <v>0.25</v>
      </c>
      <c r="P276" s="10">
        <f t="shared" si="119"/>
        <v>0.25</v>
      </c>
      <c r="Q276" s="40">
        <f t="shared" si="135"/>
        <v>6.0666666666666667E-2</v>
      </c>
      <c r="R276" s="21">
        <f>IF(D276&gt;21,VLOOKUP(D276,Barem!$T$1:$U$141,2,1),0)</f>
        <v>0</v>
      </c>
      <c r="S276" s="152">
        <f>IF(D276&lt;1.609,0,IF(B276="F",VLOOKUP(I276,Barem!$X$2:$Z$13,2,1),VLOOKUP(I276,Barem!$X$14:$Z$25,2,1)))</f>
        <v>0</v>
      </c>
      <c r="T276" s="21">
        <f>VLOOKUP(A276,Participanti!A:C,3,0)</f>
        <v>0</v>
      </c>
      <c r="U276" s="18">
        <f t="shared" si="136"/>
        <v>3.1894166666666668</v>
      </c>
      <c r="V276" s="58" t="s">
        <v>401</v>
      </c>
      <c r="W276" s="77">
        <f t="shared" si="117"/>
        <v>1</v>
      </c>
      <c r="X276" s="1" t="str">
        <f>VLOOKUP(A276,Data_Echipe!A:R,18,0)</f>
        <v>MedgidiaRunning</v>
      </c>
      <c r="Z276" s="115">
        <f t="shared" si="137"/>
        <v>1</v>
      </c>
    </row>
    <row r="277" spans="1:26" x14ac:dyDescent="0.3">
      <c r="A277" s="49" t="s">
        <v>288</v>
      </c>
      <c r="B277" s="1" t="str">
        <f>VLOOKUP(A277,Participanti!A:B,2,0)</f>
        <v>M</v>
      </c>
      <c r="C277" s="74">
        <v>4</v>
      </c>
      <c r="D277" s="50">
        <v>13.37</v>
      </c>
      <c r="E277" s="51">
        <v>4.6793981481481478E-2</v>
      </c>
      <c r="F277" s="51">
        <v>4.8402777777777774E-2</v>
      </c>
      <c r="G277" s="69">
        <f t="shared" si="132"/>
        <v>4.7598379629629622E-2</v>
      </c>
      <c r="H277" s="52"/>
      <c r="I277" s="12">
        <f t="shared" si="133"/>
        <v>3.5600882295908471E-3</v>
      </c>
      <c r="J277" s="37">
        <f t="shared" si="134"/>
        <v>3.1833333333333331</v>
      </c>
      <c r="K277" s="37">
        <f>IF(J277=0,0,IF(B277="F",VLOOKUP(I277,Barem!$G$2:$H$16,2,1),VLOOKUP(I277,Barem!$G$17:$H$31,2,1)))</f>
        <v>2.5</v>
      </c>
      <c r="L277" s="50">
        <v>0</v>
      </c>
      <c r="M277" s="124" t="s">
        <v>106</v>
      </c>
      <c r="N277" s="10">
        <f t="shared" ref="N277:P339" si="139">IF($M277=N$1,50%,25%)</f>
        <v>0.5</v>
      </c>
      <c r="O277" s="10">
        <f t="shared" si="139"/>
        <v>0.25</v>
      </c>
      <c r="P277" s="10">
        <f t="shared" si="139"/>
        <v>0.25</v>
      </c>
      <c r="Q277" s="40">
        <f t="shared" si="135"/>
        <v>0</v>
      </c>
      <c r="R277" s="21">
        <f>IF(D277&gt;21,VLOOKUP(D277,Barem!$T$1:$U$141,2,1),0)</f>
        <v>0</v>
      </c>
      <c r="S277" s="152">
        <f>IF(D277&lt;1.609,0,IF(B277="F",VLOOKUP(I277,Barem!$X$2:$Z$13,2,1),VLOOKUP(I277,Barem!$X$14:$Z$25,2,1)))</f>
        <v>0</v>
      </c>
      <c r="T277" s="21">
        <f>VLOOKUP(A277,Participanti!A:C,3,0)</f>
        <v>0</v>
      </c>
      <c r="U277" s="18">
        <f t="shared" si="136"/>
        <v>2.2166666666666668</v>
      </c>
      <c r="V277" s="58" t="s">
        <v>401</v>
      </c>
      <c r="W277" s="77">
        <f t="shared" si="117"/>
        <v>1</v>
      </c>
      <c r="X277" s="1" t="e">
        <f>VLOOKUP(A277,Data_Echipe!A:R,18,0)</f>
        <v>#N/A</v>
      </c>
      <c r="Z277" s="115">
        <f t="shared" si="137"/>
        <v>1</v>
      </c>
    </row>
    <row r="278" spans="1:26" x14ac:dyDescent="0.3">
      <c r="A278" s="49" t="s">
        <v>132</v>
      </c>
      <c r="B278" s="1" t="str">
        <f>VLOOKUP(A278,Participanti!A:B,2,0)</f>
        <v>F</v>
      </c>
      <c r="C278" s="74">
        <v>4</v>
      </c>
      <c r="D278" s="50">
        <v>25.08</v>
      </c>
      <c r="E278" s="51">
        <v>0.11289351851851852</v>
      </c>
      <c r="F278" s="51">
        <v>0.11510416666666667</v>
      </c>
      <c r="G278" s="69">
        <f t="shared" si="132"/>
        <v>0.1139988425925926</v>
      </c>
      <c r="H278" s="52">
        <v>252</v>
      </c>
      <c r="I278" s="12">
        <f t="shared" si="133"/>
        <v>4.5454083968338365E-3</v>
      </c>
      <c r="J278" s="37">
        <f t="shared" si="134"/>
        <v>5</v>
      </c>
      <c r="K278" s="37">
        <f>IF(J278=0,0,IF(B278="F",VLOOKUP(I278,Barem!$G$2:$H$16,2,1),VLOOKUP(I278,Barem!$G$17:$H$31,2,1)))</f>
        <v>1.25</v>
      </c>
      <c r="L278" s="50">
        <v>3</v>
      </c>
      <c r="M278" s="124" t="s">
        <v>106</v>
      </c>
      <c r="N278" s="10">
        <f t="shared" si="139"/>
        <v>0.5</v>
      </c>
      <c r="O278" s="10">
        <f t="shared" si="139"/>
        <v>0.25</v>
      </c>
      <c r="P278" s="10">
        <f t="shared" si="139"/>
        <v>0.25</v>
      </c>
      <c r="Q278" s="40">
        <f t="shared" si="135"/>
        <v>0.16800000000000001</v>
      </c>
      <c r="R278" s="21">
        <f>IF(D278&gt;21,VLOOKUP(D278,Barem!$T$1:$U$141,2,1),0)</f>
        <v>0.2</v>
      </c>
      <c r="S278" s="152">
        <f>IF(D278&lt;1.609,0,IF(B278="F",VLOOKUP(I278,Barem!$X$2:$Z$13,2,1),VLOOKUP(I278,Barem!$X$14:$Z$25,2,1)))</f>
        <v>0</v>
      </c>
      <c r="T278" s="21">
        <f>VLOOKUP(A278,Participanti!A:C,3,0)</f>
        <v>0</v>
      </c>
      <c r="U278" s="18">
        <f t="shared" si="136"/>
        <v>3.9305000000000003</v>
      </c>
      <c r="V278" s="58" t="s">
        <v>402</v>
      </c>
      <c r="W278" s="77">
        <f t="shared" si="117"/>
        <v>1</v>
      </c>
      <c r="X278" s="1" t="str">
        <f>VLOOKUP(A278,Data_Echipe!A:R,18,0)</f>
        <v>MedgidiaRunning</v>
      </c>
      <c r="Z278" s="115">
        <f t="shared" si="137"/>
        <v>1</v>
      </c>
    </row>
    <row r="279" spans="1:26" x14ac:dyDescent="0.3">
      <c r="A279" s="49" t="s">
        <v>340</v>
      </c>
      <c r="B279" s="1" t="str">
        <f>VLOOKUP(A279,Participanti!A:B,2,0)</f>
        <v>M</v>
      </c>
      <c r="C279" s="74">
        <v>4</v>
      </c>
      <c r="D279" s="50">
        <v>10</v>
      </c>
      <c r="E279" s="51">
        <v>3.5486111111111114E-2</v>
      </c>
      <c r="F279" s="51">
        <v>4.4247685185185182E-2</v>
      </c>
      <c r="G279" s="69">
        <f t="shared" si="132"/>
        <v>3.9866898148148144E-2</v>
      </c>
      <c r="H279" s="52"/>
      <c r="I279" s="12">
        <f t="shared" si="133"/>
        <v>3.9866898148148144E-3</v>
      </c>
      <c r="J279" s="37">
        <f t="shared" si="134"/>
        <v>2.3809523809523809</v>
      </c>
      <c r="K279" s="37">
        <f>IF(J279=0,0,IF(B279="F",VLOOKUP(I279,Barem!$G$2:$H$16,2,1),VLOOKUP(I279,Barem!$G$17:$H$31,2,1)))</f>
        <v>1.75</v>
      </c>
      <c r="L279" s="50">
        <v>1</v>
      </c>
      <c r="M279" s="124" t="s">
        <v>106</v>
      </c>
      <c r="N279" s="10">
        <f t="shared" si="139"/>
        <v>0.5</v>
      </c>
      <c r="O279" s="10">
        <f t="shared" si="139"/>
        <v>0.25</v>
      </c>
      <c r="P279" s="10">
        <f t="shared" si="139"/>
        <v>0.25</v>
      </c>
      <c r="Q279" s="40">
        <f t="shared" si="135"/>
        <v>0</v>
      </c>
      <c r="R279" s="21">
        <f>IF(D279&gt;21,VLOOKUP(D279,Barem!$T$1:$U$141,2,1),0)</f>
        <v>0</v>
      </c>
      <c r="S279" s="152">
        <f>IF(D279&lt;1.609,0,IF(B279="F",VLOOKUP(I279,Barem!$X$2:$Z$13,2,1),VLOOKUP(I279,Barem!$X$14:$Z$25,2,1)))</f>
        <v>0</v>
      </c>
      <c r="T279" s="21">
        <f>VLOOKUP(A279,Participanti!A:C,3,0)</f>
        <v>0</v>
      </c>
      <c r="U279" s="18">
        <f t="shared" si="136"/>
        <v>1.8779761904761905</v>
      </c>
      <c r="V279" s="58" t="s">
        <v>402</v>
      </c>
      <c r="W279" s="77">
        <f t="shared" si="117"/>
        <v>1</v>
      </c>
      <c r="X279" s="1" t="e">
        <f>VLOOKUP(A279,Data_Echipe!A:R,18,0)</f>
        <v>#N/A</v>
      </c>
      <c r="Z279" s="115">
        <f t="shared" si="137"/>
        <v>1</v>
      </c>
    </row>
    <row r="280" spans="1:26" x14ac:dyDescent="0.3">
      <c r="A280" s="49" t="s">
        <v>381</v>
      </c>
      <c r="B280" s="1" t="str">
        <f>VLOOKUP(A280,Participanti!A:B,2,0)</f>
        <v>M</v>
      </c>
      <c r="C280" s="74">
        <v>4</v>
      </c>
      <c r="D280" s="50">
        <v>9.2899999999999991</v>
      </c>
      <c r="E280" s="51">
        <v>3.4421296296296297E-2</v>
      </c>
      <c r="F280" s="51">
        <v>3.4513888888888893E-2</v>
      </c>
      <c r="G280" s="69">
        <f t="shared" si="132"/>
        <v>3.4467592592592591E-2</v>
      </c>
      <c r="H280" s="52"/>
      <c r="I280" s="12">
        <f t="shared" si="133"/>
        <v>3.7101821951122278E-3</v>
      </c>
      <c r="J280" s="37">
        <f t="shared" si="134"/>
        <v>2.2119047619047616</v>
      </c>
      <c r="K280" s="37">
        <f>IF(J280=0,0,IF(B280="F",VLOOKUP(I280,Barem!$G$2:$H$16,2,1),VLOOKUP(I280,Barem!$G$17:$H$31,2,1)))</f>
        <v>2</v>
      </c>
      <c r="L280" s="50">
        <v>1.5</v>
      </c>
      <c r="M280" s="124" t="s">
        <v>106</v>
      </c>
      <c r="N280" s="10">
        <f t="shared" si="139"/>
        <v>0.5</v>
      </c>
      <c r="O280" s="10">
        <f t="shared" si="139"/>
        <v>0.25</v>
      </c>
      <c r="P280" s="10">
        <f t="shared" si="139"/>
        <v>0.25</v>
      </c>
      <c r="Q280" s="40">
        <f t="shared" si="135"/>
        <v>0</v>
      </c>
      <c r="R280" s="21">
        <f>IF(D280&gt;21,VLOOKUP(D280,Barem!$T$1:$U$141,2,1),0)</f>
        <v>0</v>
      </c>
      <c r="S280" s="152">
        <f>IF(D280&lt;1.609,0,IF(B280="F",VLOOKUP(I280,Barem!$X$2:$Z$13,2,1),VLOOKUP(I280,Barem!$X$14:$Z$25,2,1)))</f>
        <v>0</v>
      </c>
      <c r="T280" s="21">
        <f>VLOOKUP(A280,Participanti!A:C,3,0)</f>
        <v>0</v>
      </c>
      <c r="U280" s="18">
        <f t="shared" si="136"/>
        <v>1.9809523809523808</v>
      </c>
      <c r="V280" s="58" t="s">
        <v>402</v>
      </c>
      <c r="W280" s="77">
        <f t="shared" si="117"/>
        <v>1</v>
      </c>
      <c r="X280" s="1" t="e">
        <f>VLOOKUP(A280,Data_Echipe!A:R,18,0)</f>
        <v>#N/A</v>
      </c>
      <c r="Z280" s="115">
        <f t="shared" si="137"/>
        <v>1</v>
      </c>
    </row>
    <row r="281" spans="1:26" x14ac:dyDescent="0.3">
      <c r="A281" s="49" t="s">
        <v>275</v>
      </c>
      <c r="B281" s="1" t="str">
        <f>VLOOKUP(A281,Participanti!A:B,2,0)</f>
        <v>M</v>
      </c>
      <c r="C281" s="74">
        <v>4</v>
      </c>
      <c r="D281" s="50">
        <v>12.57</v>
      </c>
      <c r="E281" s="51">
        <v>4.0324074074074075E-2</v>
      </c>
      <c r="F281" s="51">
        <v>4.2627314814814819E-2</v>
      </c>
      <c r="G281" s="69">
        <f t="shared" ref="G281:G344" si="140">AVERAGE(E281:F281)</f>
        <v>4.1475694444444447E-2</v>
      </c>
      <c r="H281" s="52"/>
      <c r="I281" s="12">
        <f t="shared" ref="I281:I343" si="141">G281/D281</f>
        <v>3.2995779192079911E-3</v>
      </c>
      <c r="J281" s="37">
        <f t="shared" ref="J281:J344" si="142">IF(B281="F",IF(D281&lt;2.5,0,IF(D281&gt;19.99,5,D281/4)),IF(D281&lt;3,0, IF(D281&gt;20.99,5,D281/4.2)))</f>
        <v>2.9928571428571429</v>
      </c>
      <c r="K281" s="37">
        <f>IF(J281=0,0,IF(B281="F",VLOOKUP(I281,Barem!$G$2:$H$16,2,1),VLOOKUP(I281,Barem!$G$17:$H$31,2,1)))</f>
        <v>3.5</v>
      </c>
      <c r="L281" s="50">
        <v>2</v>
      </c>
      <c r="M281" s="124" t="s">
        <v>107</v>
      </c>
      <c r="N281" s="10">
        <f t="shared" si="139"/>
        <v>0.25</v>
      </c>
      <c r="O281" s="10">
        <f t="shared" si="139"/>
        <v>0.5</v>
      </c>
      <c r="P281" s="10">
        <f t="shared" si="139"/>
        <v>0.25</v>
      </c>
      <c r="Q281" s="40">
        <f t="shared" ref="Q281:Q344" si="143">IF(H281&gt;49,H281/1500,0)</f>
        <v>0</v>
      </c>
      <c r="R281" s="21">
        <f>IF(D281&gt;21,VLOOKUP(D281,Barem!$T$1:$U$141,2,1),0)</f>
        <v>0</v>
      </c>
      <c r="S281" s="152">
        <f>IF(D281&lt;1.609,0,IF(B281="F",VLOOKUP(I281,Barem!$X$2:$Z$13,2,1),VLOOKUP(I281,Barem!$X$14:$Z$25,2,1)))</f>
        <v>0</v>
      </c>
      <c r="T281" s="21">
        <f>VLOOKUP(A281,Participanti!A:C,3,0)</f>
        <v>0</v>
      </c>
      <c r="U281" s="18">
        <f t="shared" ref="U281:U343" si="144">IF(H281&lt;0,0,J281*N281+K281*O281+L281*P281+Q281+R281+S281+T281)</f>
        <v>2.9982142857142859</v>
      </c>
      <c r="V281" s="58" t="s">
        <v>402</v>
      </c>
      <c r="W281" s="77">
        <f t="shared" si="117"/>
        <v>1</v>
      </c>
      <c r="X281" s="1" t="e">
        <f>VLOOKUP(A281,Data_Echipe!A:R,18,0)</f>
        <v>#N/A</v>
      </c>
      <c r="Z281" s="115">
        <f t="shared" ref="Z281:Z344" si="145">IF(K281&gt;0,1,0)</f>
        <v>1</v>
      </c>
    </row>
    <row r="282" spans="1:26" x14ac:dyDescent="0.3">
      <c r="A282" s="49" t="s">
        <v>133</v>
      </c>
      <c r="B282" s="1" t="str">
        <f>VLOOKUP(A282,Participanti!A:B,2,0)</f>
        <v>M</v>
      </c>
      <c r="C282" s="74">
        <v>4</v>
      </c>
      <c r="D282" s="50">
        <v>35</v>
      </c>
      <c r="E282" s="51">
        <v>0.10938657407407408</v>
      </c>
      <c r="F282" s="51">
        <v>0.10938657407407408</v>
      </c>
      <c r="G282" s="69">
        <f t="shared" si="140"/>
        <v>0.10938657407407408</v>
      </c>
      <c r="H282" s="52">
        <v>123</v>
      </c>
      <c r="I282" s="12">
        <f t="shared" si="141"/>
        <v>3.1253306878306882E-3</v>
      </c>
      <c r="J282" s="37">
        <f t="shared" si="142"/>
        <v>5</v>
      </c>
      <c r="K282" s="37">
        <f>IF(J282=0,0,IF(B282="F",VLOOKUP(I282,Barem!$G$2:$H$16,2,1),VLOOKUP(I282,Barem!$G$17:$H$31,2,1)))</f>
        <v>4</v>
      </c>
      <c r="L282" s="50">
        <v>0</v>
      </c>
      <c r="M282" s="124" t="s">
        <v>106</v>
      </c>
      <c r="N282" s="10">
        <f t="shared" si="139"/>
        <v>0.5</v>
      </c>
      <c r="O282" s="10">
        <f t="shared" si="139"/>
        <v>0.25</v>
      </c>
      <c r="P282" s="10">
        <f t="shared" si="139"/>
        <v>0.25</v>
      </c>
      <c r="Q282" s="40">
        <f t="shared" si="143"/>
        <v>8.2000000000000003E-2</v>
      </c>
      <c r="R282" s="21">
        <f>IF(D282&gt;21,VLOOKUP(D282,Barem!$T$1:$U$141,2,1),0)</f>
        <v>0.7</v>
      </c>
      <c r="S282" s="152">
        <f>IF(D282&lt;1.609,0,IF(B282="F",VLOOKUP(I282,Barem!$X$2:$Z$13,2,1),VLOOKUP(I282,Barem!$X$14:$Z$25,2,1)))</f>
        <v>0</v>
      </c>
      <c r="T282" s="21">
        <f>VLOOKUP(A282,Participanti!A:C,3,0)</f>
        <v>0.4</v>
      </c>
      <c r="U282" s="18">
        <f t="shared" si="144"/>
        <v>4.6820000000000004</v>
      </c>
      <c r="V282" s="58" t="s">
        <v>402</v>
      </c>
      <c r="W282" s="77">
        <f t="shared" si="117"/>
        <v>1</v>
      </c>
      <c r="X282" s="1" t="str">
        <f>VLOOKUP(A282,Data_Echipe!A:R,18,0)</f>
        <v>UltraHaita lu' Borcan</v>
      </c>
      <c r="Z282" s="115">
        <f t="shared" si="145"/>
        <v>1</v>
      </c>
    </row>
    <row r="283" spans="1:26" x14ac:dyDescent="0.3">
      <c r="A283" s="49" t="s">
        <v>204</v>
      </c>
      <c r="B283" s="1" t="str">
        <f>VLOOKUP(A283,Participanti!A:B,2,0)</f>
        <v>M</v>
      </c>
      <c r="C283" s="74">
        <v>4</v>
      </c>
      <c r="D283" s="50">
        <v>10.87</v>
      </c>
      <c r="E283" s="51">
        <v>4.0162037037037038E-2</v>
      </c>
      <c r="F283" s="51">
        <v>4.5925925925925926E-2</v>
      </c>
      <c r="G283" s="69">
        <f t="shared" si="140"/>
        <v>4.3043981481481482E-2</v>
      </c>
      <c r="H283" s="52"/>
      <c r="I283" s="12">
        <f t="shared" si="141"/>
        <v>3.9598879007802651E-3</v>
      </c>
      <c r="J283" s="37">
        <f t="shared" si="142"/>
        <v>2.5880952380952378</v>
      </c>
      <c r="K283" s="37">
        <f>IF(J283=0,0,IF(B283="F",VLOOKUP(I283,Barem!$G$2:$H$16,2,1),VLOOKUP(I283,Barem!$G$17:$H$31,2,1)))</f>
        <v>1.75</v>
      </c>
      <c r="L283" s="50">
        <v>1.5</v>
      </c>
      <c r="M283" s="124" t="s">
        <v>106</v>
      </c>
      <c r="N283" s="10">
        <f t="shared" si="139"/>
        <v>0.5</v>
      </c>
      <c r="O283" s="10">
        <f t="shared" si="139"/>
        <v>0.25</v>
      </c>
      <c r="P283" s="10">
        <f t="shared" si="139"/>
        <v>0.25</v>
      </c>
      <c r="Q283" s="40">
        <f t="shared" si="143"/>
        <v>0</v>
      </c>
      <c r="R283" s="21">
        <f>IF(D283&gt;21,VLOOKUP(D283,Barem!$T$1:$U$141,2,1),0)</f>
        <v>0</v>
      </c>
      <c r="S283" s="152">
        <f>IF(D283&lt;1.609,0,IF(B283="F",VLOOKUP(I283,Barem!$X$2:$Z$13,2,1),VLOOKUP(I283,Barem!$X$14:$Z$25,2,1)))</f>
        <v>0</v>
      </c>
      <c r="T283" s="21">
        <f>VLOOKUP(A283,Participanti!A:C,3,0)</f>
        <v>0</v>
      </c>
      <c r="U283" s="18">
        <f t="shared" si="144"/>
        <v>2.1065476190476189</v>
      </c>
      <c r="V283" s="58" t="s">
        <v>402</v>
      </c>
      <c r="W283" s="77">
        <f t="shared" si="117"/>
        <v>1</v>
      </c>
      <c r="X283" s="1" t="e">
        <f>VLOOKUP(A283,Data_Echipe!A:R,18,0)</f>
        <v>#N/A</v>
      </c>
      <c r="Z283" s="115">
        <f t="shared" si="145"/>
        <v>1</v>
      </c>
    </row>
    <row r="284" spans="1:26" x14ac:dyDescent="0.3">
      <c r="A284" s="49" t="s">
        <v>403</v>
      </c>
      <c r="B284" s="1" t="str">
        <f>VLOOKUP(A284,Participanti!A:B,2,0)</f>
        <v>M</v>
      </c>
      <c r="C284" s="74">
        <v>4</v>
      </c>
      <c r="D284" s="50">
        <v>21.11</v>
      </c>
      <c r="E284" s="51">
        <v>8.8912037037037039E-2</v>
      </c>
      <c r="F284" s="51">
        <v>9.297453703703705E-2</v>
      </c>
      <c r="G284" s="69">
        <f t="shared" si="140"/>
        <v>9.0943287037037052E-2</v>
      </c>
      <c r="H284" s="52">
        <v>174</v>
      </c>
      <c r="I284" s="12">
        <f t="shared" si="141"/>
        <v>4.308066652630841E-3</v>
      </c>
      <c r="J284" s="37">
        <f t="shared" si="142"/>
        <v>5</v>
      </c>
      <c r="K284" s="37">
        <f>IF(J284=0,0,IF(B284="F",VLOOKUP(I284,Barem!$G$2:$H$16,2,1),VLOOKUP(I284,Barem!$G$17:$H$31,2,1)))</f>
        <v>1.25</v>
      </c>
      <c r="L284" s="50">
        <v>1.5</v>
      </c>
      <c r="M284" s="124" t="s">
        <v>106</v>
      </c>
      <c r="N284" s="10">
        <f t="shared" si="139"/>
        <v>0.5</v>
      </c>
      <c r="O284" s="10">
        <f t="shared" si="139"/>
        <v>0.25</v>
      </c>
      <c r="P284" s="10">
        <f t="shared" si="139"/>
        <v>0.25</v>
      </c>
      <c r="Q284" s="40">
        <f t="shared" si="143"/>
        <v>0.11600000000000001</v>
      </c>
      <c r="R284" s="21">
        <f>IF(D284&gt;21,VLOOKUP(D284,Barem!$T$1:$U$141,2,1),0)</f>
        <v>0</v>
      </c>
      <c r="S284" s="152">
        <f>IF(D284&lt;1.609,0,IF(B284="F",VLOOKUP(I284,Barem!$X$2:$Z$13,2,1),VLOOKUP(I284,Barem!$X$14:$Z$25,2,1)))</f>
        <v>0</v>
      </c>
      <c r="T284" s="21">
        <f>VLOOKUP(A284,Participanti!A:C,3,0)</f>
        <v>0</v>
      </c>
      <c r="U284" s="18">
        <f t="shared" si="144"/>
        <v>3.3035000000000001</v>
      </c>
      <c r="V284" s="58" t="s">
        <v>402</v>
      </c>
      <c r="W284" s="77">
        <f t="shared" si="117"/>
        <v>1</v>
      </c>
      <c r="X284" s="1" t="str">
        <f>VLOOKUP(A284,Data_Echipe!A:R,18,0)</f>
        <v>The GOATs</v>
      </c>
      <c r="Z284" s="115">
        <f t="shared" si="145"/>
        <v>1</v>
      </c>
    </row>
    <row r="285" spans="1:26" x14ac:dyDescent="0.3">
      <c r="A285" s="49" t="s">
        <v>303</v>
      </c>
      <c r="B285" s="1" t="str">
        <f>VLOOKUP(A285,Participanti!A:B,2,0)</f>
        <v>F</v>
      </c>
      <c r="C285" s="74">
        <v>4</v>
      </c>
      <c r="D285" s="50">
        <v>10.06</v>
      </c>
      <c r="E285" s="51">
        <v>4.2986111111111114E-2</v>
      </c>
      <c r="F285" s="51">
        <v>4.3020833333333335E-2</v>
      </c>
      <c r="G285" s="69">
        <f t="shared" si="140"/>
        <v>4.3003472222222228E-2</v>
      </c>
      <c r="H285" s="52"/>
      <c r="I285" s="12">
        <f t="shared" si="141"/>
        <v>4.2746990280538993E-3</v>
      </c>
      <c r="J285" s="37">
        <f t="shared" si="142"/>
        <v>2.5150000000000001</v>
      </c>
      <c r="K285" s="37">
        <f>IF(J285=0,0,IF(B285="F",VLOOKUP(I285,Barem!$G$2:$H$16,2,1),VLOOKUP(I285,Barem!$G$17:$H$31,2,1)))</f>
        <v>1.75</v>
      </c>
      <c r="L285" s="50">
        <v>1.25</v>
      </c>
      <c r="M285" s="124" t="s">
        <v>106</v>
      </c>
      <c r="N285" s="10">
        <f t="shared" si="139"/>
        <v>0.5</v>
      </c>
      <c r="O285" s="10">
        <f t="shared" si="139"/>
        <v>0.25</v>
      </c>
      <c r="P285" s="10">
        <f t="shared" si="139"/>
        <v>0.25</v>
      </c>
      <c r="Q285" s="40">
        <f t="shared" si="143"/>
        <v>0</v>
      </c>
      <c r="R285" s="21">
        <f>IF(D285&gt;21,VLOOKUP(D285,Barem!$T$1:$U$141,2,1),0)</f>
        <v>0</v>
      </c>
      <c r="S285" s="152">
        <f>IF(D285&lt;1.609,0,IF(B285="F",VLOOKUP(I285,Barem!$X$2:$Z$13,2,1),VLOOKUP(I285,Barem!$X$14:$Z$25,2,1)))</f>
        <v>0</v>
      </c>
      <c r="T285" s="21">
        <f>VLOOKUP(A285,Participanti!A:C,3,0)</f>
        <v>0</v>
      </c>
      <c r="U285" s="18">
        <f t="shared" si="144"/>
        <v>2.0075000000000003</v>
      </c>
      <c r="V285" s="58" t="s">
        <v>402</v>
      </c>
      <c r="W285" s="77">
        <f t="shared" si="117"/>
        <v>1</v>
      </c>
      <c r="X285" s="1" t="e">
        <f>VLOOKUP(A285,Data_Echipe!A:R,18,0)</f>
        <v>#N/A</v>
      </c>
      <c r="Z285" s="115">
        <f t="shared" si="145"/>
        <v>1</v>
      </c>
    </row>
    <row r="286" spans="1:26" x14ac:dyDescent="0.3">
      <c r="A286" s="49" t="s">
        <v>368</v>
      </c>
      <c r="B286" s="1" t="str">
        <f>VLOOKUP(A286,Participanti!A:B,2,0)</f>
        <v>M</v>
      </c>
      <c r="C286" s="74">
        <v>4</v>
      </c>
      <c r="D286" s="50">
        <v>10.52</v>
      </c>
      <c r="E286" s="51">
        <v>3.425925925925926E-2</v>
      </c>
      <c r="F286" s="51">
        <v>3.4363425925925929E-2</v>
      </c>
      <c r="G286" s="69">
        <f t="shared" si="140"/>
        <v>3.4311342592592595E-2</v>
      </c>
      <c r="H286" s="52"/>
      <c r="I286" s="12">
        <f t="shared" si="141"/>
        <v>3.2615344669764826E-3</v>
      </c>
      <c r="J286" s="37">
        <f t="shared" si="142"/>
        <v>2.5047619047619047</v>
      </c>
      <c r="K286" s="37">
        <f>IF(J286=0,0,IF(B286="F",VLOOKUP(I286,Barem!$G$2:$H$16,2,1),VLOOKUP(I286,Barem!$G$17:$H$31,2,1)))</f>
        <v>3.5</v>
      </c>
      <c r="L286" s="50">
        <v>0.25</v>
      </c>
      <c r="M286" s="124" t="s">
        <v>106</v>
      </c>
      <c r="N286" s="10">
        <f t="shared" si="139"/>
        <v>0.5</v>
      </c>
      <c r="O286" s="10">
        <f t="shared" si="139"/>
        <v>0.25</v>
      </c>
      <c r="P286" s="10">
        <f t="shared" si="139"/>
        <v>0.25</v>
      </c>
      <c r="Q286" s="40">
        <f t="shared" si="143"/>
        <v>0</v>
      </c>
      <c r="R286" s="21">
        <f>IF(D286&gt;21,VLOOKUP(D286,Barem!$T$1:$U$141,2,1),0)</f>
        <v>0</v>
      </c>
      <c r="S286" s="152">
        <f>IF(D286&lt;1.609,0,IF(B286="F",VLOOKUP(I286,Barem!$X$2:$Z$13,2,1),VLOOKUP(I286,Barem!$X$14:$Z$25,2,1)))</f>
        <v>0</v>
      </c>
      <c r="T286" s="21">
        <f>VLOOKUP(A286,Participanti!A:C,3,0)</f>
        <v>0</v>
      </c>
      <c r="U286" s="18">
        <f t="shared" si="144"/>
        <v>2.1898809523809524</v>
      </c>
      <c r="V286" s="58" t="s">
        <v>402</v>
      </c>
      <c r="W286" s="77">
        <f t="shared" si="117"/>
        <v>1</v>
      </c>
      <c r="X286" s="1" t="str">
        <f>VLOOKUP(A286,Data_Echipe!A:R,18,0)</f>
        <v>Almost Kenyan Runners</v>
      </c>
      <c r="Z286" s="115">
        <f t="shared" si="145"/>
        <v>1</v>
      </c>
    </row>
    <row r="287" spans="1:26" x14ac:dyDescent="0.3">
      <c r="A287" s="49" t="s">
        <v>355</v>
      </c>
      <c r="B287" s="1" t="str">
        <f>VLOOKUP(A287,Participanti!A:B,2,0)</f>
        <v>F</v>
      </c>
      <c r="C287" s="74">
        <v>4</v>
      </c>
      <c r="D287" s="50">
        <v>10.57</v>
      </c>
      <c r="E287" s="51">
        <v>3.9212962962962963E-2</v>
      </c>
      <c r="F287" s="51">
        <v>3.9212962962962963E-2</v>
      </c>
      <c r="G287" s="69">
        <f t="shared" si="140"/>
        <v>3.9212962962962963E-2</v>
      </c>
      <c r="H287" s="52"/>
      <c r="I287" s="12">
        <f t="shared" si="141"/>
        <v>3.7098356634780475E-3</v>
      </c>
      <c r="J287" s="37">
        <f t="shared" si="142"/>
        <v>2.6425000000000001</v>
      </c>
      <c r="K287" s="37">
        <f>IF(J287=0,0,IF(B287="F",VLOOKUP(I287,Barem!$G$2:$H$16,2,1),VLOOKUP(I287,Barem!$G$17:$H$31,2,1)))</f>
        <v>3</v>
      </c>
      <c r="L287" s="50">
        <v>2.75</v>
      </c>
      <c r="M287" s="124" t="s">
        <v>106</v>
      </c>
      <c r="N287" s="10">
        <f t="shared" si="139"/>
        <v>0.5</v>
      </c>
      <c r="O287" s="10">
        <f t="shared" si="139"/>
        <v>0.25</v>
      </c>
      <c r="P287" s="10">
        <f t="shared" si="139"/>
        <v>0.25</v>
      </c>
      <c r="Q287" s="40">
        <f t="shared" si="143"/>
        <v>0</v>
      </c>
      <c r="R287" s="21">
        <f>IF(D287&gt;21,VLOOKUP(D287,Barem!$T$1:$U$141,2,1),0)</f>
        <v>0</v>
      </c>
      <c r="S287" s="152">
        <f>IF(D287&lt;1.609,0,IF(B287="F",VLOOKUP(I287,Barem!$X$2:$Z$13,2,1),VLOOKUP(I287,Barem!$X$14:$Z$25,2,1)))</f>
        <v>0</v>
      </c>
      <c r="T287" s="21">
        <f>VLOOKUP(A287,Participanti!A:C,3,0)</f>
        <v>0</v>
      </c>
      <c r="U287" s="18">
        <f t="shared" si="144"/>
        <v>2.75875</v>
      </c>
      <c r="V287" s="58" t="s">
        <v>402</v>
      </c>
      <c r="W287" s="77">
        <f t="shared" si="117"/>
        <v>1</v>
      </c>
      <c r="X287" s="1" t="str">
        <f>VLOOKUP(A287,Data_Echipe!A:R,18,0)</f>
        <v>#notSYRious</v>
      </c>
      <c r="Z287" s="115">
        <f t="shared" si="145"/>
        <v>1</v>
      </c>
    </row>
    <row r="288" spans="1:26" x14ac:dyDescent="0.3">
      <c r="A288" s="49" t="s">
        <v>387</v>
      </c>
      <c r="B288" s="1" t="str">
        <f>VLOOKUP(A288,Participanti!A:B,2,0)</f>
        <v>F</v>
      </c>
      <c r="C288" s="74">
        <v>4</v>
      </c>
      <c r="D288" s="50">
        <v>2.5099999999999998</v>
      </c>
      <c r="E288" s="51">
        <v>8.4953703703703701E-3</v>
      </c>
      <c r="F288" s="51">
        <v>8.4953703703703701E-3</v>
      </c>
      <c r="G288" s="69">
        <f t="shared" si="140"/>
        <v>8.4953703703703701E-3</v>
      </c>
      <c r="H288" s="52"/>
      <c r="I288" s="12">
        <f t="shared" si="141"/>
        <v>3.3846097093109045E-3</v>
      </c>
      <c r="J288" s="37">
        <f t="shared" si="142"/>
        <v>0.62749999999999995</v>
      </c>
      <c r="K288" s="37">
        <f>IF(J288=0,0,IF(B288="F",VLOOKUP(I288,Barem!$G$2:$H$16,2,1),VLOOKUP(I288,Barem!$G$17:$H$31,2,1)))</f>
        <v>4</v>
      </c>
      <c r="L288" s="50">
        <v>1.25</v>
      </c>
      <c r="M288" s="124" t="s">
        <v>107</v>
      </c>
      <c r="N288" s="10">
        <f t="shared" si="139"/>
        <v>0.25</v>
      </c>
      <c r="O288" s="10">
        <f t="shared" si="139"/>
        <v>0.5</v>
      </c>
      <c r="P288" s="10">
        <f t="shared" si="139"/>
        <v>0.25</v>
      </c>
      <c r="Q288" s="40">
        <f t="shared" si="143"/>
        <v>0</v>
      </c>
      <c r="R288" s="21">
        <f>IF(D288&gt;21,VLOOKUP(D288,Barem!$T$1:$U$141,2,1),0)</f>
        <v>0</v>
      </c>
      <c r="S288" s="152">
        <f>IF(D288&lt;1.609,0,IF(B288="F",VLOOKUP(I288,Barem!$X$2:$Z$13,2,1),VLOOKUP(I288,Barem!$X$14:$Z$25,2,1)))</f>
        <v>0</v>
      </c>
      <c r="T288" s="21">
        <f>VLOOKUP(A288,Participanti!A:C,3,0)</f>
        <v>0</v>
      </c>
      <c r="U288" s="18">
        <f t="shared" si="144"/>
        <v>2.4693749999999999</v>
      </c>
      <c r="V288" s="58" t="s">
        <v>402</v>
      </c>
      <c r="W288" s="77">
        <f t="shared" si="117"/>
        <v>1</v>
      </c>
      <c r="X288" s="1" t="str">
        <f>VLOOKUP(A288,Data_Echipe!A:R,18,0)</f>
        <v>#notSYRious</v>
      </c>
      <c r="Z288" s="115">
        <f t="shared" si="145"/>
        <v>1</v>
      </c>
    </row>
    <row r="289" spans="1:26" x14ac:dyDescent="0.3">
      <c r="A289" s="49" t="s">
        <v>252</v>
      </c>
      <c r="B289" s="1" t="str">
        <f>VLOOKUP(A289,Participanti!A:B,2,0)</f>
        <v>M</v>
      </c>
      <c r="C289" s="74">
        <v>4</v>
      </c>
      <c r="D289" s="50">
        <v>5.01</v>
      </c>
      <c r="E289" s="51">
        <v>1.329861111111111E-2</v>
      </c>
      <c r="F289" s="51">
        <v>1.329861111111111E-2</v>
      </c>
      <c r="G289" s="69">
        <f t="shared" si="140"/>
        <v>1.329861111111111E-2</v>
      </c>
      <c r="H289" s="52"/>
      <c r="I289" s="12">
        <f t="shared" si="141"/>
        <v>2.6544133954313595E-3</v>
      </c>
      <c r="J289" s="37">
        <f t="shared" si="142"/>
        <v>1.1928571428571428</v>
      </c>
      <c r="K289" s="37">
        <f>IF(J289=0,0,IF(B289="F",VLOOKUP(I289,Barem!$G$2:$H$16,2,1),VLOOKUP(I289,Barem!$G$17:$H$31,2,1)))</f>
        <v>5</v>
      </c>
      <c r="L289" s="50">
        <v>2.25</v>
      </c>
      <c r="M289" s="124" t="s">
        <v>107</v>
      </c>
      <c r="N289" s="10">
        <f t="shared" si="139"/>
        <v>0.25</v>
      </c>
      <c r="O289" s="10">
        <f t="shared" si="139"/>
        <v>0.5</v>
      </c>
      <c r="P289" s="10">
        <f t="shared" si="139"/>
        <v>0.25</v>
      </c>
      <c r="Q289" s="40">
        <f t="shared" si="143"/>
        <v>0</v>
      </c>
      <c r="R289" s="21">
        <f>IF(D289&gt;21,VLOOKUP(D289,Barem!$T$1:$U$141,2,1),0)</f>
        <v>0</v>
      </c>
      <c r="S289" s="152">
        <f>IF(D289&lt;1.609,0,IF(B289="F",VLOOKUP(I289,Barem!$X$2:$Z$13,2,1),VLOOKUP(I289,Barem!$X$14:$Z$25,2,1)))</f>
        <v>0.89999999999999991</v>
      </c>
      <c r="T289" s="21">
        <f>VLOOKUP(A289,Participanti!A:C,3,0)</f>
        <v>0</v>
      </c>
      <c r="U289" s="18">
        <f t="shared" si="144"/>
        <v>4.2607142857142861</v>
      </c>
      <c r="V289" s="58" t="s">
        <v>404</v>
      </c>
      <c r="W289" s="77">
        <f t="shared" si="117"/>
        <v>1</v>
      </c>
      <c r="X289" s="1" t="str">
        <f>VLOOKUP(A289,Data_Echipe!A:R,18,0)</f>
        <v>UltraHaita lu' Borcan</v>
      </c>
      <c r="Z289" s="115">
        <f t="shared" si="145"/>
        <v>1</v>
      </c>
    </row>
    <row r="290" spans="1:26" x14ac:dyDescent="0.3">
      <c r="A290" s="49" t="s">
        <v>351</v>
      </c>
      <c r="B290" s="1" t="str">
        <f>VLOOKUP(A290,Participanti!A:B,2,0)</f>
        <v>F</v>
      </c>
      <c r="C290" s="74">
        <v>4</v>
      </c>
      <c r="D290" s="50">
        <v>21.01</v>
      </c>
      <c r="E290" s="51">
        <v>8.0439814814814811E-2</v>
      </c>
      <c r="F290" s="51">
        <v>8.1863425925925923E-2</v>
      </c>
      <c r="G290" s="69">
        <f t="shared" si="140"/>
        <v>8.1151620370370367E-2</v>
      </c>
      <c r="H290" s="52"/>
      <c r="I290" s="12">
        <f t="shared" si="141"/>
        <v>3.8625235778377135E-3</v>
      </c>
      <c r="J290" s="37">
        <f t="shared" si="142"/>
        <v>5</v>
      </c>
      <c r="K290" s="37">
        <f>IF(J290=0,0,IF(B290="F",VLOOKUP(I290,Barem!$G$2:$H$16,2,1),VLOOKUP(I290,Barem!$G$17:$H$31,2,1)))</f>
        <v>2.5</v>
      </c>
      <c r="L290" s="50">
        <v>1</v>
      </c>
      <c r="M290" s="124" t="s">
        <v>106</v>
      </c>
      <c r="N290" s="10">
        <f t="shared" si="139"/>
        <v>0.5</v>
      </c>
      <c r="O290" s="10">
        <f t="shared" si="139"/>
        <v>0.25</v>
      </c>
      <c r="P290" s="10">
        <f t="shared" si="139"/>
        <v>0.25</v>
      </c>
      <c r="Q290" s="40">
        <f t="shared" si="143"/>
        <v>0</v>
      </c>
      <c r="R290" s="21">
        <f>IF(D290&gt;21,VLOOKUP(D290,Barem!$T$1:$U$141,2,1),0)</f>
        <v>0</v>
      </c>
      <c r="S290" s="152">
        <f>IF(D290&lt;1.609,0,IF(B290="F",VLOOKUP(I290,Barem!$X$2:$Z$13,2,1),VLOOKUP(I290,Barem!$X$14:$Z$25,2,1)))</f>
        <v>0</v>
      </c>
      <c r="T290" s="21">
        <f>VLOOKUP(A290,Participanti!A:C,3,0)</f>
        <v>0</v>
      </c>
      <c r="U290" s="18">
        <f t="shared" si="144"/>
        <v>3.375</v>
      </c>
      <c r="V290" s="58" t="s">
        <v>404</v>
      </c>
      <c r="W290" s="77">
        <f t="shared" si="117"/>
        <v>1</v>
      </c>
      <c r="X290" s="1" t="e">
        <f>VLOOKUP(A290,Data_Echipe!A:R,18,0)</f>
        <v>#N/A</v>
      </c>
      <c r="Z290" s="115">
        <f t="shared" si="145"/>
        <v>1</v>
      </c>
    </row>
    <row r="291" spans="1:26" x14ac:dyDescent="0.3">
      <c r="A291" s="49" t="s">
        <v>296</v>
      </c>
      <c r="B291" s="1" t="str">
        <f>VLOOKUP(A291,Participanti!A:B,2,0)</f>
        <v>M</v>
      </c>
      <c r="C291" s="74">
        <v>4</v>
      </c>
      <c r="D291" s="50">
        <v>21.8</v>
      </c>
      <c r="E291" s="51">
        <v>0.12386574074074075</v>
      </c>
      <c r="F291" s="51">
        <v>0.13376157407407407</v>
      </c>
      <c r="G291" s="69">
        <f t="shared" si="140"/>
        <v>0.12881365740740741</v>
      </c>
      <c r="H291" s="52">
        <v>280</v>
      </c>
      <c r="I291" s="12">
        <f t="shared" si="141"/>
        <v>5.9088833673122667E-3</v>
      </c>
      <c r="J291" s="37">
        <f t="shared" si="142"/>
        <v>5</v>
      </c>
      <c r="K291" s="37">
        <f>IF(J291=0,0,IF(B291="F",VLOOKUP(I291,Barem!$G$2:$H$16,2,1),VLOOKUP(I291,Barem!$G$17:$H$31,2,1)))</f>
        <v>0</v>
      </c>
      <c r="L291" s="50">
        <v>3.5</v>
      </c>
      <c r="M291" s="124" t="s">
        <v>106</v>
      </c>
      <c r="N291" s="10">
        <f t="shared" si="139"/>
        <v>0.5</v>
      </c>
      <c r="O291" s="10">
        <f t="shared" si="139"/>
        <v>0.25</v>
      </c>
      <c r="P291" s="10">
        <f t="shared" si="139"/>
        <v>0.25</v>
      </c>
      <c r="Q291" s="40">
        <f t="shared" si="143"/>
        <v>0.18666666666666668</v>
      </c>
      <c r="R291" s="21">
        <f>IF(D291&gt;21,VLOOKUP(D291,Barem!$T$1:$U$141,2,1),0)</f>
        <v>0</v>
      </c>
      <c r="S291" s="152">
        <f>IF(D291&lt;1.609,0,IF(B291="F",VLOOKUP(I291,Barem!$X$2:$Z$13,2,1),VLOOKUP(I291,Barem!$X$14:$Z$25,2,1)))</f>
        <v>0</v>
      </c>
      <c r="T291" s="21">
        <f>VLOOKUP(A291,Participanti!A:C,3,0)</f>
        <v>0</v>
      </c>
      <c r="U291" s="18">
        <f t="shared" si="144"/>
        <v>3.5616666666666665</v>
      </c>
      <c r="V291" s="58" t="s">
        <v>404</v>
      </c>
      <c r="W291" s="77">
        <f t="shared" si="117"/>
        <v>1</v>
      </c>
      <c r="X291" s="1" t="str">
        <f>VLOOKUP(A291,Data_Echipe!A:R,18,0)</f>
        <v>MedgidiaRunning</v>
      </c>
      <c r="Z291" s="115">
        <f t="shared" si="145"/>
        <v>0</v>
      </c>
    </row>
    <row r="292" spans="1:26" x14ac:dyDescent="0.3">
      <c r="A292" s="49" t="s">
        <v>301</v>
      </c>
      <c r="B292" s="1" t="str">
        <f>VLOOKUP(A292,Participanti!A:B,2,0)</f>
        <v>M</v>
      </c>
      <c r="C292" s="74">
        <v>4</v>
      </c>
      <c r="D292" s="50">
        <v>16.059999999999999</v>
      </c>
      <c r="E292" s="51">
        <v>6.2199074074074073E-2</v>
      </c>
      <c r="F292" s="51">
        <v>7.3356481481481481E-2</v>
      </c>
      <c r="G292" s="69">
        <f t="shared" si="140"/>
        <v>6.777777777777777E-2</v>
      </c>
      <c r="H292" s="52">
        <v>310</v>
      </c>
      <c r="I292" s="12">
        <f t="shared" si="141"/>
        <v>4.2202850422028504E-3</v>
      </c>
      <c r="J292" s="37">
        <f t="shared" si="142"/>
        <v>3.8238095238095235</v>
      </c>
      <c r="K292" s="37">
        <f>IF(J292=0,0,IF(B292="F",VLOOKUP(I292,Barem!$G$2:$H$16,2,1),VLOOKUP(I292,Barem!$G$17:$H$31,2,1)))</f>
        <v>1.25</v>
      </c>
      <c r="L292" s="50">
        <v>2.75</v>
      </c>
      <c r="M292" s="124" t="s">
        <v>106</v>
      </c>
      <c r="N292" s="10">
        <f t="shared" si="139"/>
        <v>0.5</v>
      </c>
      <c r="O292" s="10">
        <f t="shared" si="139"/>
        <v>0.25</v>
      </c>
      <c r="P292" s="10">
        <f t="shared" si="139"/>
        <v>0.25</v>
      </c>
      <c r="Q292" s="40">
        <f t="shared" si="143"/>
        <v>0.20666666666666667</v>
      </c>
      <c r="R292" s="21">
        <f>IF(D292&gt;21,VLOOKUP(D292,Barem!$T$1:$U$141,2,1),0)</f>
        <v>0</v>
      </c>
      <c r="S292" s="152">
        <f>IF(D292&lt;1.609,0,IF(B292="F",VLOOKUP(I292,Barem!$X$2:$Z$13,2,1),VLOOKUP(I292,Barem!$X$14:$Z$25,2,1)))</f>
        <v>0</v>
      </c>
      <c r="T292" s="21">
        <f>VLOOKUP(A292,Participanti!A:C,3,0)</f>
        <v>0</v>
      </c>
      <c r="U292" s="18">
        <f t="shared" si="144"/>
        <v>3.1185714285714283</v>
      </c>
      <c r="V292" s="58" t="s">
        <v>404</v>
      </c>
      <c r="W292" s="77">
        <f t="shared" si="117"/>
        <v>1</v>
      </c>
      <c r="X292" s="1" t="e">
        <f>VLOOKUP(A292,Data_Echipe!A:R,18,0)</f>
        <v>#N/A</v>
      </c>
      <c r="Z292" s="115">
        <f t="shared" si="145"/>
        <v>1</v>
      </c>
    </row>
    <row r="293" spans="1:26" x14ac:dyDescent="0.3">
      <c r="A293" s="49" t="s">
        <v>332</v>
      </c>
      <c r="B293" s="1" t="str">
        <f>VLOOKUP(A293,Participanti!A:B,2,0)</f>
        <v>M</v>
      </c>
      <c r="C293" s="74">
        <v>4</v>
      </c>
      <c r="D293" s="50">
        <v>25.03</v>
      </c>
      <c r="E293" s="51">
        <v>9.8831018518518512E-2</v>
      </c>
      <c r="F293" s="51">
        <v>0.11517361111111112</v>
      </c>
      <c r="G293" s="69">
        <f t="shared" si="140"/>
        <v>0.10700231481481481</v>
      </c>
      <c r="H293" s="52">
        <v>146</v>
      </c>
      <c r="I293" s="12">
        <f t="shared" si="141"/>
        <v>4.2749626374276794E-3</v>
      </c>
      <c r="J293" s="37">
        <f t="shared" si="142"/>
        <v>5</v>
      </c>
      <c r="K293" s="37">
        <f>IF(J293=0,0,IF(B293="F",VLOOKUP(I293,Barem!$G$2:$H$16,2,1),VLOOKUP(I293,Barem!$G$17:$H$31,2,1)))</f>
        <v>1.25</v>
      </c>
      <c r="L293" s="50">
        <v>3</v>
      </c>
      <c r="M293" s="124" t="s">
        <v>106</v>
      </c>
      <c r="N293" s="10">
        <f t="shared" si="139"/>
        <v>0.5</v>
      </c>
      <c r="O293" s="10">
        <f t="shared" si="139"/>
        <v>0.25</v>
      </c>
      <c r="P293" s="10">
        <f t="shared" si="139"/>
        <v>0.25</v>
      </c>
      <c r="Q293" s="40">
        <f t="shared" si="143"/>
        <v>9.7333333333333327E-2</v>
      </c>
      <c r="R293" s="21">
        <f>IF(D293&gt;21,VLOOKUP(D293,Barem!$T$1:$U$141,2,1),0)</f>
        <v>0.2</v>
      </c>
      <c r="S293" s="152">
        <f>IF(D293&lt;1.609,0,IF(B293="F",VLOOKUP(I293,Barem!$X$2:$Z$13,2,1),VLOOKUP(I293,Barem!$X$14:$Z$25,2,1)))</f>
        <v>0</v>
      </c>
      <c r="T293" s="21">
        <f>VLOOKUP(A293,Participanti!A:C,3,0)</f>
        <v>0.4</v>
      </c>
      <c r="U293" s="18">
        <f t="shared" si="144"/>
        <v>4.2598333333333338</v>
      </c>
      <c r="V293" s="58" t="s">
        <v>404</v>
      </c>
      <c r="W293" s="77">
        <f t="shared" si="117"/>
        <v>1</v>
      </c>
      <c r="X293" s="1" t="str">
        <f>VLOOKUP(A293,Data_Echipe!A:R,18,0)</f>
        <v>MedgidiaRunning</v>
      </c>
      <c r="Z293" s="115">
        <f t="shared" si="145"/>
        <v>1</v>
      </c>
    </row>
    <row r="294" spans="1:26" x14ac:dyDescent="0.3">
      <c r="A294" s="49" t="s">
        <v>208</v>
      </c>
      <c r="B294" s="1" t="str">
        <f>VLOOKUP(A294,Participanti!A:B,2,0)</f>
        <v>M</v>
      </c>
      <c r="C294" s="74">
        <v>4</v>
      </c>
      <c r="D294" s="50">
        <v>21.37</v>
      </c>
      <c r="E294" s="51">
        <v>0.12061342592592593</v>
      </c>
      <c r="F294" s="51">
        <v>0.13098379629629628</v>
      </c>
      <c r="G294" s="69">
        <f t="shared" si="140"/>
        <v>0.1257986111111111</v>
      </c>
      <c r="H294" s="52">
        <v>945</v>
      </c>
      <c r="I294" s="12">
        <f t="shared" si="141"/>
        <v>5.8866921437113282E-3</v>
      </c>
      <c r="J294" s="37">
        <f t="shared" si="142"/>
        <v>5</v>
      </c>
      <c r="K294" s="37">
        <f>IF(J294=0,0,IF(B294="F",VLOOKUP(I294,Barem!$G$2:$H$16,2,1),VLOOKUP(I294,Barem!$G$17:$H$31,2,1)))</f>
        <v>0</v>
      </c>
      <c r="L294" s="50">
        <v>2.75</v>
      </c>
      <c r="M294" s="124" t="s">
        <v>106</v>
      </c>
      <c r="N294" s="10">
        <f t="shared" si="139"/>
        <v>0.5</v>
      </c>
      <c r="O294" s="10">
        <f t="shared" si="139"/>
        <v>0.25</v>
      </c>
      <c r="P294" s="10">
        <f t="shared" si="139"/>
        <v>0.25</v>
      </c>
      <c r="Q294" s="40">
        <f t="shared" si="143"/>
        <v>0.63</v>
      </c>
      <c r="R294" s="21">
        <f>IF(D294&gt;21,VLOOKUP(D294,Barem!$T$1:$U$141,2,1),0)</f>
        <v>0</v>
      </c>
      <c r="S294" s="152">
        <f>IF(D294&lt;1.609,0,IF(B294="F",VLOOKUP(I294,Barem!$X$2:$Z$13,2,1),VLOOKUP(I294,Barem!$X$14:$Z$25,2,1)))</f>
        <v>0</v>
      </c>
      <c r="T294" s="21">
        <f>VLOOKUP(A294,Participanti!A:C,3,0)</f>
        <v>0</v>
      </c>
      <c r="U294" s="18">
        <f t="shared" si="144"/>
        <v>3.8174999999999999</v>
      </c>
      <c r="V294" s="58" t="s">
        <v>404</v>
      </c>
      <c r="W294" s="77">
        <f t="shared" si="117"/>
        <v>1</v>
      </c>
      <c r="X294" s="1" t="e">
        <f>VLOOKUP(A294,Data_Echipe!A:R,18,0)</f>
        <v>#N/A</v>
      </c>
      <c r="Z294" s="115">
        <f t="shared" si="145"/>
        <v>0</v>
      </c>
    </row>
    <row r="295" spans="1:26" x14ac:dyDescent="0.3">
      <c r="A295" s="49" t="s">
        <v>353</v>
      </c>
      <c r="B295" s="1" t="str">
        <f>VLOOKUP(A295,Participanti!A:B,2,0)</f>
        <v>M</v>
      </c>
      <c r="C295" s="74">
        <v>4</v>
      </c>
      <c r="D295" s="50">
        <v>26.01</v>
      </c>
      <c r="E295" s="51">
        <v>0.10381944444444445</v>
      </c>
      <c r="F295" s="51">
        <v>0.10399305555555556</v>
      </c>
      <c r="G295" s="69">
        <f t="shared" si="140"/>
        <v>0.10390625000000001</v>
      </c>
      <c r="H295" s="52"/>
      <c r="I295" s="12">
        <f t="shared" si="141"/>
        <v>3.9948577470203771E-3</v>
      </c>
      <c r="J295" s="37">
        <f t="shared" si="142"/>
        <v>5</v>
      </c>
      <c r="K295" s="37">
        <f>IF(J295=0,0,IF(B295="F",VLOOKUP(I295,Barem!$G$2:$H$16,2,1),VLOOKUP(I295,Barem!$G$17:$H$31,2,1)))</f>
        <v>1.75</v>
      </c>
      <c r="L295" s="50">
        <v>1.75</v>
      </c>
      <c r="M295" s="124" t="s">
        <v>106</v>
      </c>
      <c r="N295" s="10">
        <f t="shared" si="139"/>
        <v>0.5</v>
      </c>
      <c r="O295" s="10">
        <f t="shared" si="139"/>
        <v>0.25</v>
      </c>
      <c r="P295" s="10">
        <f t="shared" si="139"/>
        <v>0.25</v>
      </c>
      <c r="Q295" s="40">
        <f t="shared" si="143"/>
        <v>0</v>
      </c>
      <c r="R295" s="21">
        <f>IF(D295&gt;21,VLOOKUP(D295,Barem!$T$1:$U$141,2,1),0)</f>
        <v>0.2</v>
      </c>
      <c r="S295" s="152">
        <f>IF(D295&lt;1.609,0,IF(B295="F",VLOOKUP(I295,Barem!$X$2:$Z$13,2,1),VLOOKUP(I295,Barem!$X$14:$Z$25,2,1)))</f>
        <v>0</v>
      </c>
      <c r="T295" s="21">
        <f>VLOOKUP(A295,Participanti!A:C,3,0)</f>
        <v>0</v>
      </c>
      <c r="U295" s="18">
        <f t="shared" si="144"/>
        <v>3.5750000000000002</v>
      </c>
      <c r="V295" s="58" t="s">
        <v>404</v>
      </c>
      <c r="W295" s="77">
        <f t="shared" si="117"/>
        <v>1</v>
      </c>
      <c r="X295" s="1" t="e">
        <f>VLOOKUP(A295,Data_Echipe!A:R,18,0)</f>
        <v>#N/A</v>
      </c>
      <c r="Z295" s="115">
        <f t="shared" si="145"/>
        <v>1</v>
      </c>
    </row>
    <row r="296" spans="1:26" x14ac:dyDescent="0.3">
      <c r="A296" s="49" t="s">
        <v>364</v>
      </c>
      <c r="B296" s="1" t="str">
        <f>VLOOKUP(A296,Participanti!A:B,2,0)</f>
        <v>M</v>
      </c>
      <c r="C296" s="74">
        <v>4</v>
      </c>
      <c r="D296" s="50">
        <v>16.010000000000002</v>
      </c>
      <c r="E296" s="51">
        <v>6.5879629629629635E-2</v>
      </c>
      <c r="F296" s="51">
        <v>6.621527777777779E-2</v>
      </c>
      <c r="G296" s="69">
        <f t="shared" si="140"/>
        <v>6.6047453703703712E-2</v>
      </c>
      <c r="H296" s="52"/>
      <c r="I296" s="12">
        <f t="shared" si="141"/>
        <v>4.1253874893006689E-3</v>
      </c>
      <c r="J296" s="37">
        <f t="shared" si="142"/>
        <v>3.8119047619047621</v>
      </c>
      <c r="K296" s="37">
        <f>IF(J296=0,0,IF(B296="F",VLOOKUP(I296,Barem!$G$2:$H$16,2,1),VLOOKUP(I296,Barem!$G$17:$H$31,2,1)))</f>
        <v>1.5</v>
      </c>
      <c r="L296" s="50">
        <v>1.75</v>
      </c>
      <c r="M296" s="124" t="s">
        <v>106</v>
      </c>
      <c r="N296" s="10">
        <f t="shared" si="139"/>
        <v>0.5</v>
      </c>
      <c r="O296" s="10">
        <f t="shared" si="139"/>
        <v>0.25</v>
      </c>
      <c r="P296" s="10">
        <f t="shared" si="139"/>
        <v>0.25</v>
      </c>
      <c r="Q296" s="40">
        <f t="shared" si="143"/>
        <v>0</v>
      </c>
      <c r="R296" s="21">
        <f>IF(D296&gt;21,VLOOKUP(D296,Barem!$T$1:$U$141,2,1),0)</f>
        <v>0</v>
      </c>
      <c r="S296" s="152">
        <f>IF(D296&lt;1.609,0,IF(B296="F",VLOOKUP(I296,Barem!$X$2:$Z$13,2,1),VLOOKUP(I296,Barem!$X$14:$Z$25,2,1)))</f>
        <v>0</v>
      </c>
      <c r="T296" s="21">
        <f>VLOOKUP(A296,Participanti!A:C,3,0)</f>
        <v>0</v>
      </c>
      <c r="U296" s="18">
        <f t="shared" si="144"/>
        <v>2.7184523809523808</v>
      </c>
      <c r="V296" s="58" t="s">
        <v>404</v>
      </c>
      <c r="W296" s="77">
        <f t="shared" si="117"/>
        <v>1</v>
      </c>
      <c r="X296" s="1" t="e">
        <f>VLOOKUP(A296,Data_Echipe!A:R,18,0)</f>
        <v>#N/A</v>
      </c>
      <c r="Z296" s="115">
        <f t="shared" si="145"/>
        <v>1</v>
      </c>
    </row>
    <row r="297" spans="1:26" x14ac:dyDescent="0.3">
      <c r="A297" s="49" t="s">
        <v>398</v>
      </c>
      <c r="B297" s="1" t="str">
        <f>VLOOKUP(A297,Participanti!A:B,2,0)</f>
        <v>F</v>
      </c>
      <c r="C297" s="74">
        <v>4</v>
      </c>
      <c r="D297" s="50">
        <v>6.07</v>
      </c>
      <c r="E297" s="51">
        <v>4.1388888888888892E-2</v>
      </c>
      <c r="F297" s="51">
        <v>4.5439814814814815E-2</v>
      </c>
      <c r="G297" s="69">
        <f t="shared" si="140"/>
        <v>4.3414351851851857E-2</v>
      </c>
      <c r="H297" s="52"/>
      <c r="I297" s="12">
        <f t="shared" si="141"/>
        <v>7.1522820184269946E-3</v>
      </c>
      <c r="J297" s="37">
        <f t="shared" si="142"/>
        <v>1.5175000000000001</v>
      </c>
      <c r="K297" s="37">
        <f>IF(J297=0,0,IF(B297="F",VLOOKUP(I297,Barem!$G$2:$H$16,2,1),VLOOKUP(I297,Barem!$G$17:$H$31,2,1)))</f>
        <v>0</v>
      </c>
      <c r="L297" s="50">
        <v>2</v>
      </c>
      <c r="M297" s="124" t="s">
        <v>106</v>
      </c>
      <c r="N297" s="10">
        <f t="shared" si="139"/>
        <v>0.5</v>
      </c>
      <c r="O297" s="10">
        <f t="shared" si="139"/>
        <v>0.25</v>
      </c>
      <c r="P297" s="10">
        <f t="shared" si="139"/>
        <v>0.25</v>
      </c>
      <c r="Q297" s="40">
        <f t="shared" si="143"/>
        <v>0</v>
      </c>
      <c r="R297" s="21">
        <f>IF(D297&gt;21,VLOOKUP(D297,Barem!$T$1:$U$141,2,1),0)</f>
        <v>0</v>
      </c>
      <c r="S297" s="152">
        <f>IF(D297&lt;1.609,0,IF(B297="F",VLOOKUP(I297,Barem!$X$2:$Z$13,2,1),VLOOKUP(I297,Barem!$X$14:$Z$25,2,1)))</f>
        <v>0</v>
      </c>
      <c r="T297" s="21">
        <f>VLOOKUP(A297,Participanti!A:C,3,0)</f>
        <v>0.7</v>
      </c>
      <c r="U297" s="18">
        <f t="shared" si="144"/>
        <v>1.95875</v>
      </c>
      <c r="V297" s="58" t="s">
        <v>404</v>
      </c>
      <c r="W297" s="77">
        <f t="shared" si="117"/>
        <v>1</v>
      </c>
      <c r="X297" s="1" t="e">
        <f>VLOOKUP(A297,Data_Echipe!A:R,18,0)</f>
        <v>#N/A</v>
      </c>
      <c r="Z297" s="115">
        <f t="shared" si="145"/>
        <v>0</v>
      </c>
    </row>
    <row r="298" spans="1:26" x14ac:dyDescent="0.3">
      <c r="A298" s="49" t="s">
        <v>344</v>
      </c>
      <c r="B298" s="1" t="str">
        <f>VLOOKUP(A298,Participanti!A:B,2,0)</f>
        <v>F</v>
      </c>
      <c r="C298" s="74">
        <v>4</v>
      </c>
      <c r="D298" s="50">
        <v>21.2</v>
      </c>
      <c r="E298" s="51">
        <v>8.7754629629629641E-2</v>
      </c>
      <c r="F298" s="51">
        <v>8.7754629629629641E-2</v>
      </c>
      <c r="G298" s="69">
        <f t="shared" si="140"/>
        <v>8.7754629629629641E-2</v>
      </c>
      <c r="H298" s="52"/>
      <c r="I298" s="12">
        <f t="shared" si="141"/>
        <v>4.1393693221523416E-3</v>
      </c>
      <c r="J298" s="37">
        <f t="shared" si="142"/>
        <v>5</v>
      </c>
      <c r="K298" s="37">
        <f>IF(J298=0,0,IF(B298="F",VLOOKUP(I298,Barem!$G$2:$H$16,2,1),VLOOKUP(I298,Barem!$G$17:$H$31,2,1)))</f>
        <v>2</v>
      </c>
      <c r="L298" s="50">
        <v>3.75</v>
      </c>
      <c r="M298" s="124" t="s">
        <v>106</v>
      </c>
      <c r="N298" s="10">
        <f t="shared" si="139"/>
        <v>0.5</v>
      </c>
      <c r="O298" s="10">
        <f t="shared" si="139"/>
        <v>0.25</v>
      </c>
      <c r="P298" s="10">
        <f t="shared" si="139"/>
        <v>0.25</v>
      </c>
      <c r="Q298" s="40">
        <f t="shared" si="143"/>
        <v>0</v>
      </c>
      <c r="R298" s="21">
        <f>IF(D298&gt;21,VLOOKUP(D298,Barem!$T$1:$U$141,2,1),0)</f>
        <v>0</v>
      </c>
      <c r="S298" s="152">
        <f>IF(D298&lt;1.609,0,IF(B298="F",VLOOKUP(I298,Barem!$X$2:$Z$13,2,1),VLOOKUP(I298,Barem!$X$14:$Z$25,2,1)))</f>
        <v>0</v>
      </c>
      <c r="T298" s="21">
        <f>VLOOKUP(A298,Participanti!A:C,3,0)</f>
        <v>0</v>
      </c>
      <c r="U298" s="18">
        <f t="shared" si="144"/>
        <v>3.9375</v>
      </c>
      <c r="V298" s="58" t="s">
        <v>404</v>
      </c>
      <c r="W298" s="77">
        <f t="shared" si="117"/>
        <v>1</v>
      </c>
      <c r="X298" s="1" t="e">
        <f>VLOOKUP(A298,Data_Echipe!A:R,18,0)</f>
        <v>#N/A</v>
      </c>
      <c r="Z298" s="115">
        <f t="shared" si="145"/>
        <v>1</v>
      </c>
    </row>
    <row r="299" spans="1:26" x14ac:dyDescent="0.3">
      <c r="A299" s="49" t="s">
        <v>136</v>
      </c>
      <c r="B299" s="1" t="str">
        <f>VLOOKUP(A299,Participanti!A:B,2,0)</f>
        <v>F</v>
      </c>
      <c r="C299" s="74">
        <v>4</v>
      </c>
      <c r="D299" s="50">
        <v>18.579999999999998</v>
      </c>
      <c r="E299" s="51">
        <v>0.125</v>
      </c>
      <c r="F299" s="51">
        <v>0.16666666666666666</v>
      </c>
      <c r="G299" s="69">
        <f t="shared" si="140"/>
        <v>0.14583333333333331</v>
      </c>
      <c r="H299" s="52">
        <v>600</v>
      </c>
      <c r="I299" s="12">
        <f t="shared" si="141"/>
        <v>7.8489415141729454E-3</v>
      </c>
      <c r="J299" s="37">
        <f t="shared" si="142"/>
        <v>4.6449999999999996</v>
      </c>
      <c r="K299" s="37">
        <f>IF(J299=0,0,IF(B299="F",VLOOKUP(I299,Barem!$G$2:$H$16,2,1),VLOOKUP(I299,Barem!$G$17:$H$31,2,1)))</f>
        <v>0</v>
      </c>
      <c r="L299" s="50">
        <v>3.5</v>
      </c>
      <c r="M299" s="124" t="s">
        <v>106</v>
      </c>
      <c r="N299" s="10">
        <f t="shared" si="139"/>
        <v>0.5</v>
      </c>
      <c r="O299" s="10">
        <f t="shared" si="139"/>
        <v>0.25</v>
      </c>
      <c r="P299" s="10">
        <f t="shared" si="139"/>
        <v>0.25</v>
      </c>
      <c r="Q299" s="40">
        <f t="shared" si="143"/>
        <v>0.4</v>
      </c>
      <c r="R299" s="21">
        <f>IF(D299&gt;21,VLOOKUP(D299,Barem!$T$1:$U$141,2,1),0)</f>
        <v>0</v>
      </c>
      <c r="S299" s="152">
        <f>IF(D299&lt;1.609,0,IF(B299="F",VLOOKUP(I299,Barem!$X$2:$Z$13,2,1),VLOOKUP(I299,Barem!$X$14:$Z$25,2,1)))</f>
        <v>0</v>
      </c>
      <c r="T299" s="21">
        <f>VLOOKUP(A299,Participanti!A:C,3,0)</f>
        <v>0</v>
      </c>
      <c r="U299" s="18">
        <f t="shared" si="144"/>
        <v>3.5974999999999997</v>
      </c>
      <c r="V299" s="58" t="s">
        <v>404</v>
      </c>
      <c r="W299" s="77">
        <f t="shared" si="117"/>
        <v>1</v>
      </c>
      <c r="X299" s="1" t="e">
        <f>VLOOKUP(A299,Data_Echipe!A:R,18,0)</f>
        <v>#N/A</v>
      </c>
      <c r="Z299" s="115">
        <f t="shared" si="145"/>
        <v>0</v>
      </c>
    </row>
    <row r="300" spans="1:26" x14ac:dyDescent="0.3">
      <c r="A300" s="49" t="s">
        <v>366</v>
      </c>
      <c r="B300" s="1" t="str">
        <f>VLOOKUP(A300,Participanti!A:B,2,0)</f>
        <v>M</v>
      </c>
      <c r="C300" s="74">
        <v>4</v>
      </c>
      <c r="D300" s="50">
        <v>25.1</v>
      </c>
      <c r="E300" s="51">
        <v>8.8784722222222223E-2</v>
      </c>
      <c r="F300" s="51">
        <v>8.8784722222222223E-2</v>
      </c>
      <c r="G300" s="69">
        <f t="shared" si="140"/>
        <v>8.8784722222222223E-2</v>
      </c>
      <c r="H300" s="52">
        <v>79</v>
      </c>
      <c r="I300" s="12">
        <f t="shared" si="141"/>
        <v>3.5372399291721999E-3</v>
      </c>
      <c r="J300" s="37">
        <f t="shared" si="142"/>
        <v>5</v>
      </c>
      <c r="K300" s="37">
        <f>IF(J300=0,0,IF(B300="F",VLOOKUP(I300,Barem!$G$2:$H$16,2,1),VLOOKUP(I300,Barem!$G$17:$H$31,2,1)))</f>
        <v>2.5</v>
      </c>
      <c r="L300" s="50">
        <v>4</v>
      </c>
      <c r="M300" s="124" t="s">
        <v>106</v>
      </c>
      <c r="N300" s="10">
        <f t="shared" si="139"/>
        <v>0.5</v>
      </c>
      <c r="O300" s="10">
        <f t="shared" si="139"/>
        <v>0.25</v>
      </c>
      <c r="P300" s="10">
        <f t="shared" si="139"/>
        <v>0.25</v>
      </c>
      <c r="Q300" s="40">
        <f t="shared" si="143"/>
        <v>5.2666666666666667E-2</v>
      </c>
      <c r="R300" s="21">
        <f>IF(D300&gt;21,VLOOKUP(D300,Barem!$T$1:$U$141,2,1),0)</f>
        <v>0.2</v>
      </c>
      <c r="S300" s="152">
        <f>IF(D300&lt;1.609,0,IF(B300="F",VLOOKUP(I300,Barem!$X$2:$Z$13,2,1),VLOOKUP(I300,Barem!$X$14:$Z$25,2,1)))</f>
        <v>0</v>
      </c>
      <c r="T300" s="21">
        <f>VLOOKUP(A300,Participanti!A:C,3,0)</f>
        <v>0</v>
      </c>
      <c r="U300" s="18">
        <f t="shared" si="144"/>
        <v>4.3776666666666673</v>
      </c>
      <c r="V300" s="58" t="s">
        <v>404</v>
      </c>
      <c r="W300" s="77">
        <f t="shared" si="117"/>
        <v>1</v>
      </c>
      <c r="X300" s="1" t="str">
        <f>VLOOKUP(A300,Data_Echipe!A:R,18,0)</f>
        <v>The GOATs</v>
      </c>
      <c r="Z300" s="115">
        <f t="shared" si="145"/>
        <v>1</v>
      </c>
    </row>
    <row r="301" spans="1:26" x14ac:dyDescent="0.3">
      <c r="A301" s="49" t="s">
        <v>247</v>
      </c>
      <c r="B301" s="1" t="str">
        <f>VLOOKUP(A301,Participanti!A:B,2,0)</f>
        <v>M</v>
      </c>
      <c r="C301" s="74">
        <v>4</v>
      </c>
      <c r="D301" s="50">
        <v>15.02</v>
      </c>
      <c r="E301" s="51">
        <v>4.7256944444444449E-2</v>
      </c>
      <c r="F301" s="51">
        <v>4.7291666666666669E-2</v>
      </c>
      <c r="G301" s="69">
        <f t="shared" si="140"/>
        <v>4.7274305555555562E-2</v>
      </c>
      <c r="H301" s="52"/>
      <c r="I301" s="12">
        <f t="shared" si="141"/>
        <v>3.1474238052966422E-3</v>
      </c>
      <c r="J301" s="37">
        <f t="shared" si="142"/>
        <v>3.5761904761904759</v>
      </c>
      <c r="K301" s="37">
        <f>IF(J301=0,0,IF(B301="F",VLOOKUP(I301,Barem!$G$2:$H$16,2,1),VLOOKUP(I301,Barem!$G$17:$H$31,2,1)))</f>
        <v>3.5</v>
      </c>
      <c r="L301" s="50">
        <v>1.25</v>
      </c>
      <c r="M301" s="124" t="s">
        <v>107</v>
      </c>
      <c r="N301" s="10">
        <f t="shared" si="139"/>
        <v>0.25</v>
      </c>
      <c r="O301" s="10">
        <f t="shared" si="139"/>
        <v>0.5</v>
      </c>
      <c r="P301" s="10">
        <f t="shared" si="139"/>
        <v>0.25</v>
      </c>
      <c r="Q301" s="40">
        <f t="shared" si="143"/>
        <v>0</v>
      </c>
      <c r="R301" s="21">
        <f>IF(D301&gt;21,VLOOKUP(D301,Barem!$T$1:$U$141,2,1),0)</f>
        <v>0</v>
      </c>
      <c r="S301" s="152">
        <f>IF(D301&lt;1.609,0,IF(B301="F",VLOOKUP(I301,Barem!$X$2:$Z$13,2,1),VLOOKUP(I301,Barem!$X$14:$Z$25,2,1)))</f>
        <v>0</v>
      </c>
      <c r="T301" s="21">
        <f>VLOOKUP(A301,Participanti!A:C,3,0)</f>
        <v>0</v>
      </c>
      <c r="U301" s="18">
        <f t="shared" si="144"/>
        <v>2.956547619047619</v>
      </c>
      <c r="V301" s="58" t="s">
        <v>405</v>
      </c>
      <c r="W301" s="77">
        <f t="shared" si="117"/>
        <v>1</v>
      </c>
      <c r="X301" s="1" t="str">
        <f>VLOOKUP(A301,Data_Echipe!A:R,18,0)</f>
        <v>UltraHaita lu' Borcan</v>
      </c>
      <c r="Z301" s="115">
        <f t="shared" si="145"/>
        <v>1</v>
      </c>
    </row>
    <row r="302" spans="1:26" x14ac:dyDescent="0.3">
      <c r="A302" s="49" t="s">
        <v>331</v>
      </c>
      <c r="B302" s="1" t="str">
        <f>VLOOKUP(A302,Participanti!A:B,2,0)</f>
        <v>F</v>
      </c>
      <c r="C302" s="74">
        <v>4</v>
      </c>
      <c r="D302" s="50">
        <v>20.74</v>
      </c>
      <c r="E302" s="51">
        <v>0.10457175925925925</v>
      </c>
      <c r="F302" s="51">
        <v>0.10490740740740741</v>
      </c>
      <c r="G302" s="69">
        <f t="shared" si="140"/>
        <v>0.10473958333333333</v>
      </c>
      <c r="H302" s="52">
        <v>187</v>
      </c>
      <c r="I302" s="12">
        <f t="shared" si="141"/>
        <v>5.0501245580199293E-3</v>
      </c>
      <c r="J302" s="37">
        <f t="shared" si="142"/>
        <v>5</v>
      </c>
      <c r="K302" s="37">
        <f>IF(J302=0,0,IF(B302="F",VLOOKUP(I302,Barem!$G$2:$H$16,2,1),VLOOKUP(I302,Barem!$G$17:$H$31,2,1)))</f>
        <v>0.5</v>
      </c>
      <c r="L302" s="50">
        <v>3.75</v>
      </c>
      <c r="M302" s="124" t="s">
        <v>106</v>
      </c>
      <c r="N302" s="10">
        <f t="shared" si="139"/>
        <v>0.5</v>
      </c>
      <c r="O302" s="10">
        <f t="shared" si="139"/>
        <v>0.25</v>
      </c>
      <c r="P302" s="10">
        <f t="shared" si="139"/>
        <v>0.25</v>
      </c>
      <c r="Q302" s="40">
        <f t="shared" si="143"/>
        <v>0.12466666666666666</v>
      </c>
      <c r="R302" s="21">
        <f>IF(D302&gt;21,VLOOKUP(D302,Barem!$T$1:$U$141,2,1),0)</f>
        <v>0</v>
      </c>
      <c r="S302" s="152">
        <f>IF(D302&lt;1.609,0,IF(B302="F",VLOOKUP(I302,Barem!$X$2:$Z$13,2,1),VLOOKUP(I302,Barem!$X$14:$Z$25,2,1)))</f>
        <v>0</v>
      </c>
      <c r="T302" s="21">
        <f>VLOOKUP(A302,Participanti!A:C,3,0)</f>
        <v>0</v>
      </c>
      <c r="U302" s="18">
        <f t="shared" si="144"/>
        <v>3.6871666666666667</v>
      </c>
      <c r="V302" s="58" t="s">
        <v>405</v>
      </c>
      <c r="W302" s="77">
        <f t="shared" si="117"/>
        <v>1</v>
      </c>
      <c r="X302" s="1" t="str">
        <f>VLOOKUP(A302,Data_Echipe!A:R,18,0)</f>
        <v>MedgidiaRunning</v>
      </c>
      <c r="Z302" s="115">
        <f t="shared" si="145"/>
        <v>1</v>
      </c>
    </row>
    <row r="303" spans="1:26" x14ac:dyDescent="0.3">
      <c r="A303" s="49" t="s">
        <v>206</v>
      </c>
      <c r="B303" s="1" t="str">
        <f>VLOOKUP(A303,Participanti!A:B,2,0)</f>
        <v>M</v>
      </c>
      <c r="C303" s="74">
        <v>4</v>
      </c>
      <c r="D303" s="50">
        <v>18.690000000000001</v>
      </c>
      <c r="E303" s="51">
        <v>0.12131944444444444</v>
      </c>
      <c r="F303" s="51">
        <v>0.13462962962962963</v>
      </c>
      <c r="G303" s="69">
        <f t="shared" si="140"/>
        <v>0.12797453703703704</v>
      </c>
      <c r="H303" s="52">
        <v>725</v>
      </c>
      <c r="I303" s="12">
        <f t="shared" si="141"/>
        <v>6.84721974515982E-3</v>
      </c>
      <c r="J303" s="37">
        <f t="shared" si="142"/>
        <v>4.45</v>
      </c>
      <c r="K303" s="37">
        <f>IF(J303=0,0,IF(B303="F",VLOOKUP(I303,Barem!$G$2:$H$16,2,1),VLOOKUP(I303,Barem!$G$17:$H$31,2,1)))</f>
        <v>0</v>
      </c>
      <c r="L303" s="50">
        <v>3.25</v>
      </c>
      <c r="M303" s="124" t="s">
        <v>106</v>
      </c>
      <c r="N303" s="10">
        <f t="shared" si="139"/>
        <v>0.5</v>
      </c>
      <c r="O303" s="10">
        <f t="shared" si="139"/>
        <v>0.25</v>
      </c>
      <c r="P303" s="10">
        <f t="shared" si="139"/>
        <v>0.25</v>
      </c>
      <c r="Q303" s="40">
        <f t="shared" si="143"/>
        <v>0.48333333333333334</v>
      </c>
      <c r="R303" s="21">
        <f>IF(D303&gt;21,VLOOKUP(D303,Barem!$T$1:$U$141,2,1),0)</f>
        <v>0</v>
      </c>
      <c r="S303" s="152">
        <f>IF(D303&lt;1.609,0,IF(B303="F",VLOOKUP(I303,Barem!$X$2:$Z$13,2,1),VLOOKUP(I303,Barem!$X$14:$Z$25,2,1)))</f>
        <v>0</v>
      </c>
      <c r="T303" s="21">
        <f>VLOOKUP(A303,Participanti!A:C,3,0)</f>
        <v>0</v>
      </c>
      <c r="U303" s="18">
        <f t="shared" si="144"/>
        <v>3.5208333333333335</v>
      </c>
      <c r="V303" s="58" t="s">
        <v>405</v>
      </c>
      <c r="W303" s="77">
        <f t="shared" si="117"/>
        <v>1</v>
      </c>
      <c r="X303" s="1" t="e">
        <f>VLOOKUP(A303,Data_Echipe!A:R,18,0)</f>
        <v>#N/A</v>
      </c>
      <c r="Z303" s="115">
        <f t="shared" si="145"/>
        <v>0</v>
      </c>
    </row>
    <row r="304" spans="1:26" x14ac:dyDescent="0.3">
      <c r="A304" s="49" t="s">
        <v>361</v>
      </c>
      <c r="B304" s="1" t="str">
        <f>VLOOKUP(A304,Participanti!A:B,2,0)</f>
        <v>M</v>
      </c>
      <c r="C304" s="74">
        <v>4</v>
      </c>
      <c r="D304" s="50">
        <v>43</v>
      </c>
      <c r="E304" s="51">
        <v>0.15554398148148149</v>
      </c>
      <c r="F304" s="51">
        <v>0.15891203703703705</v>
      </c>
      <c r="G304" s="69">
        <f t="shared" si="140"/>
        <v>0.15722800925925928</v>
      </c>
      <c r="H304" s="52">
        <v>173</v>
      </c>
      <c r="I304" s="12">
        <f t="shared" si="141"/>
        <v>3.656465331610681E-3</v>
      </c>
      <c r="J304" s="37">
        <f t="shared" si="142"/>
        <v>5</v>
      </c>
      <c r="K304" s="37">
        <f>IF(J304=0,0,IF(B304="F",VLOOKUP(I304,Barem!$G$2:$H$16,2,1),VLOOKUP(I304,Barem!$G$17:$H$31,2,1)))</f>
        <v>2.5</v>
      </c>
      <c r="L304" s="50">
        <v>1</v>
      </c>
      <c r="M304" s="124" t="s">
        <v>106</v>
      </c>
      <c r="N304" s="10">
        <f t="shared" si="139"/>
        <v>0.5</v>
      </c>
      <c r="O304" s="10">
        <f t="shared" si="139"/>
        <v>0.25</v>
      </c>
      <c r="P304" s="10">
        <f t="shared" si="139"/>
        <v>0.25</v>
      </c>
      <c r="Q304" s="40">
        <f t="shared" si="143"/>
        <v>0.11533333333333333</v>
      </c>
      <c r="R304" s="21">
        <f>IF(D304&gt;21,VLOOKUP(D304,Barem!$T$1:$U$141,2,1),0)</f>
        <v>1.1000000000000001</v>
      </c>
      <c r="S304" s="152">
        <f>IF(D304&lt;1.609,0,IF(B304="F",VLOOKUP(I304,Barem!$X$2:$Z$13,2,1),VLOOKUP(I304,Barem!$X$14:$Z$25,2,1)))</f>
        <v>0</v>
      </c>
      <c r="T304" s="21">
        <f>VLOOKUP(A304,Participanti!A:C,3,0)</f>
        <v>0</v>
      </c>
      <c r="U304" s="18">
        <f t="shared" si="144"/>
        <v>4.5903333333333336</v>
      </c>
      <c r="V304" s="58" t="s">
        <v>405</v>
      </c>
      <c r="W304" s="77">
        <f t="shared" si="117"/>
        <v>1</v>
      </c>
      <c r="X304" s="1" t="str">
        <f>VLOOKUP(A304,Data_Echipe!A:R,18,0)</f>
        <v>UltraHaita lu' Borcan</v>
      </c>
      <c r="Z304" s="115">
        <f t="shared" si="145"/>
        <v>1</v>
      </c>
    </row>
    <row r="305" spans="1:26" x14ac:dyDescent="0.3">
      <c r="A305" s="49" t="s">
        <v>284</v>
      </c>
      <c r="B305" s="1" t="str">
        <f>VLOOKUP(A305,Participanti!A:B,2,0)</f>
        <v>M</v>
      </c>
      <c r="C305" s="74">
        <v>4</v>
      </c>
      <c r="D305" s="50">
        <v>10.94</v>
      </c>
      <c r="E305" s="51">
        <v>9.9166666666666667E-2</v>
      </c>
      <c r="F305" s="51">
        <v>0.10163194444444446</v>
      </c>
      <c r="G305" s="69">
        <f t="shared" si="140"/>
        <v>0.10039930555555557</v>
      </c>
      <c r="H305" s="52">
        <v>991</v>
      </c>
      <c r="I305" s="12">
        <f t="shared" si="141"/>
        <v>9.1772674182409118E-3</v>
      </c>
      <c r="J305" s="37">
        <f t="shared" si="142"/>
        <v>2.6047619047619044</v>
      </c>
      <c r="K305" s="37">
        <f>IF(J305=0,0,IF(B305="F",VLOOKUP(I305,Barem!$G$2:$H$16,2,1),VLOOKUP(I305,Barem!$G$17:$H$31,2,1)))</f>
        <v>0</v>
      </c>
      <c r="L305" s="50">
        <v>3.75</v>
      </c>
      <c r="M305" s="124" t="s">
        <v>207</v>
      </c>
      <c r="N305" s="10">
        <f t="shared" si="139"/>
        <v>0.25</v>
      </c>
      <c r="O305" s="10">
        <f t="shared" si="139"/>
        <v>0.25</v>
      </c>
      <c r="P305" s="10">
        <f t="shared" si="139"/>
        <v>0.5</v>
      </c>
      <c r="Q305" s="40">
        <f t="shared" si="143"/>
        <v>0.66066666666666662</v>
      </c>
      <c r="R305" s="21">
        <f>IF(D305&gt;21,VLOOKUP(D305,Barem!$T$1:$U$141,2,1),0)</f>
        <v>0</v>
      </c>
      <c r="S305" s="152">
        <f>IF(D305&lt;1.609,0,IF(B305="F",VLOOKUP(I305,Barem!$X$2:$Z$13,2,1),VLOOKUP(I305,Barem!$X$14:$Z$25,2,1)))</f>
        <v>0</v>
      </c>
      <c r="T305" s="21">
        <f>VLOOKUP(A305,Participanti!A:C,3,0)</f>
        <v>0</v>
      </c>
      <c r="U305" s="18">
        <f t="shared" si="144"/>
        <v>3.1868571428571428</v>
      </c>
      <c r="V305" s="58" t="s">
        <v>405</v>
      </c>
      <c r="W305" s="77">
        <f t="shared" si="117"/>
        <v>1</v>
      </c>
      <c r="X305" s="1" t="str">
        <f>VLOOKUP(A305,Data_Echipe!A:R,18,0)</f>
        <v>The GOATs</v>
      </c>
      <c r="Z305" s="115">
        <f t="shared" si="145"/>
        <v>0</v>
      </c>
    </row>
    <row r="306" spans="1:26" x14ac:dyDescent="0.3">
      <c r="A306" s="49" t="s">
        <v>128</v>
      </c>
      <c r="B306" s="1" t="str">
        <f>VLOOKUP(A306,Participanti!A:B,2,0)</f>
        <v>M</v>
      </c>
      <c r="C306" s="74">
        <v>4</v>
      </c>
      <c r="D306" s="50">
        <v>30.01</v>
      </c>
      <c r="E306" s="51">
        <v>0.10168981481481482</v>
      </c>
      <c r="F306" s="51">
        <v>0.10168981481481482</v>
      </c>
      <c r="G306" s="69">
        <f t="shared" si="140"/>
        <v>0.10168981481481482</v>
      </c>
      <c r="H306" s="52"/>
      <c r="I306" s="12">
        <f t="shared" si="141"/>
        <v>3.3885309834993274E-3</v>
      </c>
      <c r="J306" s="37">
        <f t="shared" si="142"/>
        <v>5</v>
      </c>
      <c r="K306" s="37">
        <f>IF(J306=0,0,IF(B306="F",VLOOKUP(I306,Barem!$G$2:$H$16,2,1),VLOOKUP(I306,Barem!$G$17:$H$31,2,1)))</f>
        <v>3</v>
      </c>
      <c r="L306" s="50">
        <v>2</v>
      </c>
      <c r="M306" s="124" t="s">
        <v>107</v>
      </c>
      <c r="N306" s="10">
        <f t="shared" si="139"/>
        <v>0.25</v>
      </c>
      <c r="O306" s="10">
        <f t="shared" si="139"/>
        <v>0.5</v>
      </c>
      <c r="P306" s="10">
        <f t="shared" si="139"/>
        <v>0.25</v>
      </c>
      <c r="Q306" s="40">
        <f t="shared" si="143"/>
        <v>0</v>
      </c>
      <c r="R306" s="21">
        <f>IF(D306&gt;21,VLOOKUP(D306,Barem!$T$1:$U$141,2,1),0)</f>
        <v>0.4</v>
      </c>
      <c r="S306" s="152">
        <f>IF(D306&lt;1.609,0,IF(B306="F",VLOOKUP(I306,Barem!$X$2:$Z$13,2,1),VLOOKUP(I306,Barem!$X$14:$Z$25,2,1)))</f>
        <v>0</v>
      </c>
      <c r="T306" s="21">
        <f>VLOOKUP(A306,Participanti!A:C,3,0)</f>
        <v>0</v>
      </c>
      <c r="U306" s="18">
        <f t="shared" si="144"/>
        <v>3.65</v>
      </c>
      <c r="V306" s="58" t="s">
        <v>405</v>
      </c>
      <c r="W306" s="77">
        <f t="shared" si="117"/>
        <v>1</v>
      </c>
      <c r="X306" s="1" t="str">
        <f>VLOOKUP(A306,Data_Echipe!A:R,18,0)</f>
        <v>Almost Kenyan Runners</v>
      </c>
      <c r="Z306" s="115">
        <f t="shared" si="145"/>
        <v>1</v>
      </c>
    </row>
    <row r="307" spans="1:26" x14ac:dyDescent="0.3">
      <c r="A307" s="49" t="s">
        <v>114</v>
      </c>
      <c r="B307" s="1" t="str">
        <f>VLOOKUP(A307,Participanti!A:B,2,0)</f>
        <v>M</v>
      </c>
      <c r="C307" s="74">
        <v>4</v>
      </c>
      <c r="D307" s="50">
        <v>14.23</v>
      </c>
      <c r="E307" s="51">
        <v>5.8680555555555548E-2</v>
      </c>
      <c r="F307" s="51">
        <v>5.8715277777777776E-2</v>
      </c>
      <c r="G307" s="69">
        <f t="shared" si="140"/>
        <v>5.8697916666666662E-2</v>
      </c>
      <c r="H307" s="52"/>
      <c r="I307" s="12">
        <f t="shared" si="141"/>
        <v>4.1249414382759425E-3</v>
      </c>
      <c r="J307" s="37">
        <f t="shared" si="142"/>
        <v>3.388095238095238</v>
      </c>
      <c r="K307" s="37">
        <f>IF(J307=0,0,IF(B307="F",VLOOKUP(I307,Barem!$G$2:$H$16,2,1),VLOOKUP(I307,Barem!$G$17:$H$31,2,1)))</f>
        <v>1.5</v>
      </c>
      <c r="L307" s="50">
        <v>3.25</v>
      </c>
      <c r="M307" s="124" t="s">
        <v>106</v>
      </c>
      <c r="N307" s="10">
        <f t="shared" si="139"/>
        <v>0.5</v>
      </c>
      <c r="O307" s="10">
        <f t="shared" si="139"/>
        <v>0.25</v>
      </c>
      <c r="P307" s="10">
        <f t="shared" si="139"/>
        <v>0.25</v>
      </c>
      <c r="Q307" s="40">
        <f t="shared" si="143"/>
        <v>0</v>
      </c>
      <c r="R307" s="21">
        <f>IF(D307&gt;21,VLOOKUP(D307,Barem!$T$1:$U$141,2,1),0)</f>
        <v>0</v>
      </c>
      <c r="S307" s="152">
        <f>IF(D307&lt;1.609,0,IF(B307="F",VLOOKUP(I307,Barem!$X$2:$Z$13,2,1),VLOOKUP(I307,Barem!$X$14:$Z$25,2,1)))</f>
        <v>0</v>
      </c>
      <c r="T307" s="21">
        <f>VLOOKUP(A307,Participanti!A:C,3,0)</f>
        <v>0</v>
      </c>
      <c r="U307" s="18">
        <f t="shared" si="144"/>
        <v>2.8815476190476188</v>
      </c>
      <c r="V307" s="58" t="s">
        <v>405</v>
      </c>
      <c r="W307" s="77">
        <f t="shared" si="117"/>
        <v>1</v>
      </c>
      <c r="X307" s="1" t="str">
        <f>VLOOKUP(A307,Data_Echipe!A:R,18,0)</f>
        <v>#notSYRious</v>
      </c>
      <c r="Z307" s="115">
        <f t="shared" si="145"/>
        <v>1</v>
      </c>
    </row>
    <row r="308" spans="1:26" x14ac:dyDescent="0.3">
      <c r="A308" s="49" t="s">
        <v>64</v>
      </c>
      <c r="B308" s="1" t="str">
        <f>VLOOKUP(A308,Participanti!A:B,2,0)</f>
        <v>F</v>
      </c>
      <c r="C308" s="74">
        <v>4</v>
      </c>
      <c r="D308" s="50">
        <v>8.1199999999999992</v>
      </c>
      <c r="E308" s="51">
        <v>4.1412037037037039E-2</v>
      </c>
      <c r="F308" s="51">
        <v>6.157407407407408E-2</v>
      </c>
      <c r="G308" s="69">
        <f t="shared" si="140"/>
        <v>5.1493055555555556E-2</v>
      </c>
      <c r="H308" s="52"/>
      <c r="I308" s="12">
        <f t="shared" si="141"/>
        <v>6.3415093048713742E-3</v>
      </c>
      <c r="J308" s="37">
        <f t="shared" si="142"/>
        <v>2.0299999999999998</v>
      </c>
      <c r="K308" s="37">
        <f>IF(J308=0,0,IF(B308="F",VLOOKUP(I308,Barem!$G$2:$H$16,2,1),VLOOKUP(I308,Barem!$G$17:$H$31,2,1)))</f>
        <v>0</v>
      </c>
      <c r="L308" s="50">
        <v>2</v>
      </c>
      <c r="M308" s="124" t="s">
        <v>106</v>
      </c>
      <c r="N308" s="10">
        <f t="shared" si="139"/>
        <v>0.5</v>
      </c>
      <c r="O308" s="10">
        <f t="shared" si="139"/>
        <v>0.25</v>
      </c>
      <c r="P308" s="10">
        <f t="shared" si="139"/>
        <v>0.25</v>
      </c>
      <c r="Q308" s="40">
        <f t="shared" si="143"/>
        <v>0</v>
      </c>
      <c r="R308" s="21">
        <f>IF(D308&gt;21,VLOOKUP(D308,Barem!$T$1:$U$141,2,1),0)</f>
        <v>0</v>
      </c>
      <c r="S308" s="152">
        <f>IF(D308&lt;1.609,0,IF(B308="F",VLOOKUP(I308,Barem!$X$2:$Z$13,2,1),VLOOKUP(I308,Barem!$X$14:$Z$25,2,1)))</f>
        <v>0</v>
      </c>
      <c r="T308" s="21">
        <f>VLOOKUP(A308,Participanti!A:C,3,0)</f>
        <v>0.7</v>
      </c>
      <c r="U308" s="18">
        <f t="shared" si="144"/>
        <v>2.2149999999999999</v>
      </c>
      <c r="V308" s="58" t="s">
        <v>405</v>
      </c>
      <c r="W308" s="77">
        <f t="shared" si="117"/>
        <v>1</v>
      </c>
      <c r="X308" s="1" t="str">
        <f>VLOOKUP(A308,Data_Echipe!A:R,18,0)</f>
        <v>UltraHaita lu' Borcan</v>
      </c>
      <c r="Z308" s="115">
        <f t="shared" si="145"/>
        <v>0</v>
      </c>
    </row>
    <row r="309" spans="1:26" x14ac:dyDescent="0.3">
      <c r="A309" s="49" t="s">
        <v>137</v>
      </c>
      <c r="B309" s="1" t="str">
        <f>VLOOKUP(A309,Participanti!A:B,2,0)</f>
        <v>M</v>
      </c>
      <c r="C309" s="74">
        <v>4</v>
      </c>
      <c r="D309" s="50">
        <v>11.51</v>
      </c>
      <c r="E309" s="51">
        <v>6.0995370370370366E-2</v>
      </c>
      <c r="F309" s="51">
        <v>6.1817129629629632E-2</v>
      </c>
      <c r="G309" s="69">
        <f t="shared" si="140"/>
        <v>6.1406249999999996E-2</v>
      </c>
      <c r="H309" s="52">
        <v>449</v>
      </c>
      <c r="I309" s="12">
        <f t="shared" si="141"/>
        <v>5.3350347523892262E-3</v>
      </c>
      <c r="J309" s="37">
        <f t="shared" si="142"/>
        <v>2.7404761904761905</v>
      </c>
      <c r="K309" s="37">
        <f>IF(J309=0,0,IF(B309="F",VLOOKUP(I309,Barem!$G$2:$H$16,2,1),VLOOKUP(I309,Barem!$G$17:$H$31,2,1)))</f>
        <v>0.25</v>
      </c>
      <c r="L309" s="50">
        <v>2.75</v>
      </c>
      <c r="M309" s="124" t="s">
        <v>106</v>
      </c>
      <c r="N309" s="10">
        <f t="shared" si="139"/>
        <v>0.5</v>
      </c>
      <c r="O309" s="10">
        <f t="shared" si="139"/>
        <v>0.25</v>
      </c>
      <c r="P309" s="10">
        <f t="shared" si="139"/>
        <v>0.25</v>
      </c>
      <c r="Q309" s="40">
        <f t="shared" si="143"/>
        <v>0.29933333333333334</v>
      </c>
      <c r="R309" s="21">
        <f>IF(D309&gt;21,VLOOKUP(D309,Barem!$T$1:$U$141,2,1),0)</f>
        <v>0</v>
      </c>
      <c r="S309" s="152">
        <f>IF(D309&lt;1.609,0,IF(B309="F",VLOOKUP(I309,Barem!$X$2:$Z$13,2,1),VLOOKUP(I309,Barem!$X$14:$Z$25,2,1)))</f>
        <v>0</v>
      </c>
      <c r="T309" s="21">
        <f>VLOOKUP(A309,Participanti!A:C,3,0)</f>
        <v>0</v>
      </c>
      <c r="U309" s="18">
        <f t="shared" si="144"/>
        <v>2.4195714285714285</v>
      </c>
      <c r="V309" s="58" t="s">
        <v>405</v>
      </c>
      <c r="W309" s="77">
        <f t="shared" si="117"/>
        <v>1</v>
      </c>
      <c r="X309" s="1" t="str">
        <f>VLOOKUP(A309,Data_Echipe!A:R,18,0)</f>
        <v>The GOATs</v>
      </c>
      <c r="Z309" s="115">
        <f t="shared" si="145"/>
        <v>1</v>
      </c>
    </row>
    <row r="310" spans="1:26" x14ac:dyDescent="0.3">
      <c r="A310" s="49" t="s">
        <v>358</v>
      </c>
      <c r="B310" s="1" t="str">
        <f>VLOOKUP(A310,Participanti!A:B,2,0)</f>
        <v>F</v>
      </c>
      <c r="C310" s="74">
        <v>4</v>
      </c>
      <c r="D310" s="50">
        <v>8.42</v>
      </c>
      <c r="E310" s="51">
        <v>4.1967592592592591E-2</v>
      </c>
      <c r="F310" s="51">
        <v>4.2372685185185187E-2</v>
      </c>
      <c r="G310" s="69">
        <f t="shared" si="140"/>
        <v>4.2170138888888889E-2</v>
      </c>
      <c r="H310" s="52">
        <v>68</v>
      </c>
      <c r="I310" s="12">
        <f t="shared" si="141"/>
        <v>5.0083300343098441E-3</v>
      </c>
      <c r="J310" s="37">
        <f t="shared" si="142"/>
        <v>2.105</v>
      </c>
      <c r="K310" s="37">
        <f>IF(J310=0,0,IF(B310="F",VLOOKUP(I310,Barem!$G$2:$H$16,2,1),VLOOKUP(I310,Barem!$G$17:$H$31,2,1)))</f>
        <v>0.75</v>
      </c>
      <c r="L310" s="50">
        <v>0.75</v>
      </c>
      <c r="M310" s="124" t="s">
        <v>106</v>
      </c>
      <c r="N310" s="10">
        <f t="shared" si="139"/>
        <v>0.5</v>
      </c>
      <c r="O310" s="10">
        <f t="shared" si="139"/>
        <v>0.25</v>
      </c>
      <c r="P310" s="10">
        <f t="shared" si="139"/>
        <v>0.25</v>
      </c>
      <c r="Q310" s="40">
        <f t="shared" si="143"/>
        <v>4.5333333333333337E-2</v>
      </c>
      <c r="R310" s="21">
        <f>IF(D310&gt;21,VLOOKUP(D310,Barem!$T$1:$U$141,2,1),0)</f>
        <v>0</v>
      </c>
      <c r="S310" s="152">
        <f>IF(D310&lt;1.609,0,IF(B310="F",VLOOKUP(I310,Barem!$X$2:$Z$13,2,1),VLOOKUP(I310,Barem!$X$14:$Z$25,2,1)))</f>
        <v>0</v>
      </c>
      <c r="T310" s="21">
        <f>VLOOKUP(A310,Participanti!A:C,3,0)</f>
        <v>0</v>
      </c>
      <c r="U310" s="18">
        <f t="shared" si="144"/>
        <v>1.4728333333333334</v>
      </c>
      <c r="V310" s="58" t="s">
        <v>405</v>
      </c>
      <c r="W310" s="77">
        <f t="shared" si="117"/>
        <v>1</v>
      </c>
      <c r="X310" s="1" t="str">
        <f>VLOOKUP(A310,Data_Echipe!A:R,18,0)</f>
        <v>#notSYRious</v>
      </c>
      <c r="Z310" s="115">
        <f t="shared" si="145"/>
        <v>1</v>
      </c>
    </row>
    <row r="311" spans="1:26" x14ac:dyDescent="0.3">
      <c r="A311" s="49" t="s">
        <v>406</v>
      </c>
      <c r="B311" s="1" t="str">
        <f>VLOOKUP(A311,Participanti!A:B,2,0)</f>
        <v>M</v>
      </c>
      <c r="C311" s="74">
        <v>4</v>
      </c>
      <c r="D311" s="50">
        <v>17.54</v>
      </c>
      <c r="E311" s="51">
        <v>0.1012037037037037</v>
      </c>
      <c r="F311" s="51">
        <v>0.12046296296296295</v>
      </c>
      <c r="G311" s="69">
        <f t="shared" si="140"/>
        <v>0.11083333333333333</v>
      </c>
      <c r="H311" s="52">
        <v>748</v>
      </c>
      <c r="I311" s="12">
        <f t="shared" si="141"/>
        <v>6.3188901558342836E-3</v>
      </c>
      <c r="J311" s="37">
        <f t="shared" si="142"/>
        <v>4.1761904761904756</v>
      </c>
      <c r="K311" s="37">
        <f>IF(J311=0,0,IF(B311="F",VLOOKUP(I311,Barem!$G$2:$H$16,2,1),VLOOKUP(I311,Barem!$G$17:$H$31,2,1)))</f>
        <v>0</v>
      </c>
      <c r="L311" s="50">
        <v>3</v>
      </c>
      <c r="M311" s="124" t="s">
        <v>106</v>
      </c>
      <c r="N311" s="10">
        <f t="shared" si="139"/>
        <v>0.5</v>
      </c>
      <c r="O311" s="10">
        <f t="shared" si="139"/>
        <v>0.25</v>
      </c>
      <c r="P311" s="10">
        <f t="shared" si="139"/>
        <v>0.25</v>
      </c>
      <c r="Q311" s="40">
        <f t="shared" si="143"/>
        <v>0.49866666666666665</v>
      </c>
      <c r="R311" s="21">
        <f>IF(D311&gt;21,VLOOKUP(D311,Barem!$T$1:$U$141,2,1),0)</f>
        <v>0</v>
      </c>
      <c r="S311" s="152">
        <f>IF(D311&lt;1.609,0,IF(B311="F",VLOOKUP(I311,Barem!$X$2:$Z$13,2,1),VLOOKUP(I311,Barem!$X$14:$Z$25,2,1)))</f>
        <v>0</v>
      </c>
      <c r="T311" s="21">
        <f>VLOOKUP(A311,Participanti!A:C,3,0)</f>
        <v>0</v>
      </c>
      <c r="U311" s="18">
        <f t="shared" si="144"/>
        <v>3.3367619047619046</v>
      </c>
      <c r="V311" s="58" t="s">
        <v>405</v>
      </c>
      <c r="W311" s="77">
        <f t="shared" si="117"/>
        <v>1</v>
      </c>
      <c r="X311" s="1" t="e">
        <f>VLOOKUP(A311,Data_Echipe!A:R,18,0)</f>
        <v>#N/A</v>
      </c>
      <c r="Z311" s="115">
        <f t="shared" si="145"/>
        <v>0</v>
      </c>
    </row>
    <row r="312" spans="1:26" x14ac:dyDescent="0.3">
      <c r="A312" s="49" t="s">
        <v>305</v>
      </c>
      <c r="B312" s="1" t="str">
        <f>VLOOKUP(A312,Participanti!A:B,2,0)</f>
        <v>F</v>
      </c>
      <c r="C312" s="74">
        <v>4</v>
      </c>
      <c r="D312" s="50">
        <v>17.54</v>
      </c>
      <c r="E312" s="51">
        <v>0.1012037037037037</v>
      </c>
      <c r="F312" s="51">
        <v>0.12046296296296295</v>
      </c>
      <c r="G312" s="69">
        <f t="shared" si="140"/>
        <v>0.11083333333333333</v>
      </c>
      <c r="H312" s="52">
        <v>748</v>
      </c>
      <c r="I312" s="12">
        <f t="shared" si="141"/>
        <v>6.3188901558342836E-3</v>
      </c>
      <c r="J312" s="37">
        <f t="shared" si="142"/>
        <v>4.3849999999999998</v>
      </c>
      <c r="K312" s="37">
        <f>IF(J312=0,0,IF(B312="F",VLOOKUP(I312,Barem!$G$2:$H$16,2,1),VLOOKUP(I312,Barem!$G$17:$H$31,2,1)))</f>
        <v>0</v>
      </c>
      <c r="L312" s="50">
        <v>3.5</v>
      </c>
      <c r="M312" s="124" t="s">
        <v>106</v>
      </c>
      <c r="N312" s="10">
        <f t="shared" si="139"/>
        <v>0.5</v>
      </c>
      <c r="O312" s="10">
        <f t="shared" si="139"/>
        <v>0.25</v>
      </c>
      <c r="P312" s="10">
        <f t="shared" si="139"/>
        <v>0.25</v>
      </c>
      <c r="Q312" s="40">
        <f t="shared" si="143"/>
        <v>0.49866666666666665</v>
      </c>
      <c r="R312" s="21">
        <f>IF(D312&gt;21,VLOOKUP(D312,Barem!$T$1:$U$141,2,1),0)</f>
        <v>0</v>
      </c>
      <c r="S312" s="152">
        <f>IF(D312&lt;1.609,0,IF(B312="F",VLOOKUP(I312,Barem!$X$2:$Z$13,2,1),VLOOKUP(I312,Barem!$X$14:$Z$25,2,1)))</f>
        <v>0</v>
      </c>
      <c r="T312" s="21">
        <f>VLOOKUP(A312,Participanti!A:C,3,0)</f>
        <v>0</v>
      </c>
      <c r="U312" s="18">
        <f t="shared" si="144"/>
        <v>3.5661666666666667</v>
      </c>
      <c r="V312" s="58" t="s">
        <v>405</v>
      </c>
      <c r="W312" s="77">
        <f t="shared" si="117"/>
        <v>1</v>
      </c>
      <c r="X312" s="1" t="e">
        <f>VLOOKUP(A312,Data_Echipe!A:R,18,0)</f>
        <v>#N/A</v>
      </c>
      <c r="Z312" s="115">
        <f t="shared" si="145"/>
        <v>0</v>
      </c>
    </row>
    <row r="313" spans="1:26" x14ac:dyDescent="0.3">
      <c r="A313" s="49" t="s">
        <v>124</v>
      </c>
      <c r="B313" s="1" t="str">
        <f>VLOOKUP(A313,Participanti!A:B,2,0)</f>
        <v>M</v>
      </c>
      <c r="C313" s="74">
        <v>4</v>
      </c>
      <c r="D313" s="50">
        <v>21.26</v>
      </c>
      <c r="E313" s="51">
        <v>6.2418981481481478E-2</v>
      </c>
      <c r="F313" s="51">
        <v>6.2511574074074081E-2</v>
      </c>
      <c r="G313" s="69">
        <f t="shared" si="140"/>
        <v>6.2465277777777779E-2</v>
      </c>
      <c r="H313" s="52">
        <v>147</v>
      </c>
      <c r="I313" s="12">
        <f t="shared" si="141"/>
        <v>2.9381598202153233E-3</v>
      </c>
      <c r="J313" s="37">
        <f t="shared" si="142"/>
        <v>5</v>
      </c>
      <c r="K313" s="37">
        <f>IF(J313=0,0,IF(B313="F",VLOOKUP(I313,Barem!$G$2:$H$16,2,1),VLOOKUP(I313,Barem!$G$17:$H$31,2,1)))</f>
        <v>4.5</v>
      </c>
      <c r="L313" s="50">
        <v>4</v>
      </c>
      <c r="M313" s="124" t="s">
        <v>207</v>
      </c>
      <c r="N313" s="10">
        <f t="shared" si="139"/>
        <v>0.25</v>
      </c>
      <c r="O313" s="10">
        <f t="shared" si="139"/>
        <v>0.25</v>
      </c>
      <c r="P313" s="10">
        <f t="shared" si="139"/>
        <v>0.5</v>
      </c>
      <c r="Q313" s="40">
        <f t="shared" si="143"/>
        <v>9.8000000000000004E-2</v>
      </c>
      <c r="R313" s="21">
        <f>IF(D313&gt;21,VLOOKUP(D313,Barem!$T$1:$U$141,2,1),0)</f>
        <v>0</v>
      </c>
      <c r="S313" s="152">
        <f>IF(D313&lt;1.609,0,IF(B313="F",VLOOKUP(I313,Barem!$X$2:$Z$13,2,1),VLOOKUP(I313,Barem!$X$14:$Z$25,2,1)))</f>
        <v>0</v>
      </c>
      <c r="T313" s="21">
        <f>VLOOKUP(A313,Participanti!A:C,3,0)</f>
        <v>0</v>
      </c>
      <c r="U313" s="18">
        <f t="shared" si="144"/>
        <v>4.4729999999999999</v>
      </c>
      <c r="V313" s="58" t="s">
        <v>405</v>
      </c>
      <c r="W313" s="77">
        <f t="shared" si="117"/>
        <v>1</v>
      </c>
      <c r="X313" s="1" t="str">
        <f>VLOOKUP(A313,Data_Echipe!A:R,18,0)</f>
        <v>#notSYRious</v>
      </c>
      <c r="Z313" s="115">
        <f t="shared" si="145"/>
        <v>1</v>
      </c>
    </row>
    <row r="314" spans="1:26" x14ac:dyDescent="0.3">
      <c r="A314" s="49" t="s">
        <v>225</v>
      </c>
      <c r="B314" s="1" t="str">
        <f>VLOOKUP(A314,Participanti!A:B,2,0)</f>
        <v>F</v>
      </c>
      <c r="C314" s="74">
        <v>4</v>
      </c>
      <c r="D314" s="50">
        <v>15</v>
      </c>
      <c r="E314" s="51">
        <v>5.0868055555555548E-2</v>
      </c>
      <c r="F314" s="51">
        <v>5.2013888888888887E-2</v>
      </c>
      <c r="G314" s="69">
        <f t="shared" si="140"/>
        <v>5.1440972222222214E-2</v>
      </c>
      <c r="H314" s="52"/>
      <c r="I314" s="12">
        <f t="shared" si="141"/>
        <v>3.4293981481481476E-3</v>
      </c>
      <c r="J314" s="37">
        <f t="shared" si="142"/>
        <v>3.75</v>
      </c>
      <c r="K314" s="37">
        <f>IF(J314=0,0,IF(B314="F",VLOOKUP(I314,Barem!$G$2:$H$16,2,1),VLOOKUP(I314,Barem!$G$17:$H$31,2,1)))</f>
        <v>4</v>
      </c>
      <c r="L314" s="50">
        <v>4.25</v>
      </c>
      <c r="M314" s="124" t="s">
        <v>107</v>
      </c>
      <c r="N314" s="10">
        <f t="shared" si="139"/>
        <v>0.25</v>
      </c>
      <c r="O314" s="10">
        <f t="shared" si="139"/>
        <v>0.5</v>
      </c>
      <c r="P314" s="10">
        <f t="shared" si="139"/>
        <v>0.25</v>
      </c>
      <c r="Q314" s="40">
        <f t="shared" si="143"/>
        <v>0</v>
      </c>
      <c r="R314" s="21">
        <f>IF(D314&gt;21,VLOOKUP(D314,Barem!$T$1:$U$141,2,1),0)</f>
        <v>0</v>
      </c>
      <c r="S314" s="152">
        <f>IF(D314&lt;1.609,0,IF(B314="F",VLOOKUP(I314,Barem!$X$2:$Z$13,2,1),VLOOKUP(I314,Barem!$X$14:$Z$25,2,1)))</f>
        <v>0</v>
      </c>
      <c r="T314" s="21">
        <f>VLOOKUP(A314,Participanti!A:C,3,0)</f>
        <v>0</v>
      </c>
      <c r="U314" s="18">
        <f t="shared" si="144"/>
        <v>4</v>
      </c>
      <c r="V314" s="58" t="s">
        <v>405</v>
      </c>
      <c r="W314" s="77">
        <f t="shared" si="117"/>
        <v>1</v>
      </c>
      <c r="X314" s="1" t="str">
        <f>VLOOKUP(A314,Data_Echipe!A:R,18,0)</f>
        <v>The GOATs</v>
      </c>
      <c r="Z314" s="115">
        <f t="shared" si="145"/>
        <v>1</v>
      </c>
    </row>
    <row r="315" spans="1:26" x14ac:dyDescent="0.3">
      <c r="A315" s="49" t="s">
        <v>245</v>
      </c>
      <c r="B315" s="1" t="str">
        <f>VLOOKUP(A315,Participanti!A:B,2,0)</f>
        <v>M</v>
      </c>
      <c r="C315" s="74">
        <v>4</v>
      </c>
      <c r="D315" s="50">
        <v>10.220000000000001</v>
      </c>
      <c r="E315" s="51">
        <v>3.923611111111111E-2</v>
      </c>
      <c r="F315" s="51">
        <v>4.1377314814814818E-2</v>
      </c>
      <c r="G315" s="69">
        <f t="shared" si="140"/>
        <v>4.0306712962962968E-2</v>
      </c>
      <c r="H315" s="52"/>
      <c r="I315" s="12">
        <f t="shared" si="141"/>
        <v>3.9439053779807207E-3</v>
      </c>
      <c r="J315" s="37">
        <f t="shared" si="142"/>
        <v>2.4333333333333336</v>
      </c>
      <c r="K315" s="37">
        <f>IF(J315=0,0,IF(B315="F",VLOOKUP(I315,Barem!$G$2:$H$16,2,1),VLOOKUP(I315,Barem!$G$17:$H$31,2,1)))</f>
        <v>1.75</v>
      </c>
      <c r="L315" s="50">
        <v>2.5</v>
      </c>
      <c r="M315" s="124" t="s">
        <v>106</v>
      </c>
      <c r="N315" s="10">
        <f t="shared" si="139"/>
        <v>0.5</v>
      </c>
      <c r="O315" s="10">
        <f t="shared" si="139"/>
        <v>0.25</v>
      </c>
      <c r="P315" s="10">
        <f t="shared" si="139"/>
        <v>0.25</v>
      </c>
      <c r="Q315" s="40">
        <f t="shared" si="143"/>
        <v>0</v>
      </c>
      <c r="R315" s="21">
        <f>IF(D315&gt;21,VLOOKUP(D315,Barem!$T$1:$U$141,2,1),0)</f>
        <v>0</v>
      </c>
      <c r="S315" s="152">
        <f>IF(D315&lt;1.609,0,IF(B315="F",VLOOKUP(I315,Barem!$X$2:$Z$13,2,1),VLOOKUP(I315,Barem!$X$14:$Z$25,2,1)))</f>
        <v>0</v>
      </c>
      <c r="T315" s="21">
        <f>VLOOKUP(A315,Participanti!A:C,3,0)</f>
        <v>0</v>
      </c>
      <c r="U315" s="18">
        <f t="shared" si="144"/>
        <v>2.2791666666666668</v>
      </c>
      <c r="V315" s="58" t="s">
        <v>405</v>
      </c>
      <c r="W315" s="77">
        <f t="shared" si="117"/>
        <v>1</v>
      </c>
      <c r="X315" s="1" t="str">
        <f>VLOOKUP(A315,Data_Echipe!A:R,18,0)</f>
        <v>#notSYRious</v>
      </c>
      <c r="Z315" s="115">
        <f t="shared" si="145"/>
        <v>1</v>
      </c>
    </row>
    <row r="316" spans="1:26" x14ac:dyDescent="0.3">
      <c r="A316" s="49" t="s">
        <v>48</v>
      </c>
      <c r="B316" s="1" t="str">
        <f>VLOOKUP(A316,Participanti!A:B,2,0)</f>
        <v>M</v>
      </c>
      <c r="C316" s="74">
        <v>4</v>
      </c>
      <c r="D316" s="50">
        <v>15.17</v>
      </c>
      <c r="E316" s="51">
        <v>7.0370370370370375E-2</v>
      </c>
      <c r="F316" s="51">
        <v>8.2002314814814806E-2</v>
      </c>
      <c r="G316" s="69">
        <f t="shared" si="140"/>
        <v>7.618634259259259E-2</v>
      </c>
      <c r="H316" s="52">
        <v>403</v>
      </c>
      <c r="I316" s="12">
        <f t="shared" si="141"/>
        <v>5.0221715618057076E-3</v>
      </c>
      <c r="J316" s="37">
        <f t="shared" si="142"/>
        <v>3.611904761904762</v>
      </c>
      <c r="K316" s="37">
        <f>IF(J316=0,0,IF(B316="F",VLOOKUP(I316,Barem!$G$2:$H$16,2,1),VLOOKUP(I316,Barem!$G$17:$H$31,2,1)))</f>
        <v>0.25</v>
      </c>
      <c r="L316" s="50">
        <v>3.5</v>
      </c>
      <c r="M316" s="124" t="s">
        <v>207</v>
      </c>
      <c r="N316" s="10">
        <f t="shared" si="139"/>
        <v>0.25</v>
      </c>
      <c r="O316" s="10">
        <f t="shared" si="139"/>
        <v>0.25</v>
      </c>
      <c r="P316" s="10">
        <f t="shared" si="139"/>
        <v>0.5</v>
      </c>
      <c r="Q316" s="40">
        <f t="shared" si="143"/>
        <v>0.26866666666666666</v>
      </c>
      <c r="R316" s="21">
        <f>IF(D316&gt;21,VLOOKUP(D316,Barem!$T$1:$U$141,2,1),0)</f>
        <v>0</v>
      </c>
      <c r="S316" s="152">
        <f>IF(D316&lt;1.609,0,IF(B316="F",VLOOKUP(I316,Barem!$X$2:$Z$13,2,1),VLOOKUP(I316,Barem!$X$14:$Z$25,2,1)))</f>
        <v>0</v>
      </c>
      <c r="T316" s="21">
        <f>VLOOKUP(A316,Participanti!A:C,3,0)</f>
        <v>0.4</v>
      </c>
      <c r="U316" s="18">
        <f t="shared" si="144"/>
        <v>3.3841428571428573</v>
      </c>
      <c r="V316" s="58" t="s">
        <v>405</v>
      </c>
      <c r="W316" s="77">
        <f t="shared" si="117"/>
        <v>1</v>
      </c>
      <c r="X316" s="1" t="str">
        <f>VLOOKUP(A316,Data_Echipe!A:R,18,0)</f>
        <v>#notSYRious</v>
      </c>
      <c r="Z316" s="115">
        <f t="shared" si="145"/>
        <v>1</v>
      </c>
    </row>
    <row r="317" spans="1:26" x14ac:dyDescent="0.3">
      <c r="A317" s="49" t="s">
        <v>227</v>
      </c>
      <c r="B317" s="1" t="str">
        <f>VLOOKUP(A317,Participanti!A:B,2,0)</f>
        <v>M</v>
      </c>
      <c r="C317" s="74">
        <v>4</v>
      </c>
      <c r="D317" s="50">
        <v>62.05</v>
      </c>
      <c r="E317" s="51">
        <v>0.24333333333333332</v>
      </c>
      <c r="F317" s="51">
        <v>0.25546296296296295</v>
      </c>
      <c r="G317" s="69">
        <f t="shared" si="140"/>
        <v>0.24939814814814815</v>
      </c>
      <c r="H317" s="52">
        <v>755</v>
      </c>
      <c r="I317" s="12">
        <f t="shared" si="141"/>
        <v>4.0193093980362311E-3</v>
      </c>
      <c r="J317" s="37">
        <f t="shared" si="142"/>
        <v>5</v>
      </c>
      <c r="K317" s="37">
        <f>IF(J317=0,0,IF(B317="F",VLOOKUP(I317,Barem!$G$2:$H$16,2,1),VLOOKUP(I317,Barem!$G$17:$H$31,2,1)))</f>
        <v>1.5</v>
      </c>
      <c r="L317" s="50">
        <v>3.75</v>
      </c>
      <c r="M317" s="124" t="s">
        <v>106</v>
      </c>
      <c r="N317" s="10">
        <f t="shared" si="139"/>
        <v>0.5</v>
      </c>
      <c r="O317" s="10">
        <f t="shared" si="139"/>
        <v>0.25</v>
      </c>
      <c r="P317" s="10">
        <f t="shared" si="139"/>
        <v>0.25</v>
      </c>
      <c r="Q317" s="40">
        <f t="shared" si="143"/>
        <v>0.5033333333333333</v>
      </c>
      <c r="R317" s="21">
        <f>IF(D317&gt;21,VLOOKUP(D317,Barem!$T$1:$U$141,2,1),0)</f>
        <v>2</v>
      </c>
      <c r="S317" s="152">
        <f>IF(D317&lt;1.609,0,IF(B317="F",VLOOKUP(I317,Barem!$X$2:$Z$13,2,1),VLOOKUP(I317,Barem!$X$14:$Z$25,2,1)))</f>
        <v>0</v>
      </c>
      <c r="T317" s="21">
        <f>VLOOKUP(A317,Participanti!A:C,3,0)</f>
        <v>0</v>
      </c>
      <c r="U317" s="18">
        <f t="shared" si="144"/>
        <v>6.315833333333333</v>
      </c>
      <c r="V317" s="58" t="s">
        <v>405</v>
      </c>
      <c r="W317" s="77">
        <f t="shared" si="117"/>
        <v>1</v>
      </c>
      <c r="X317" s="1" t="str">
        <f>VLOOKUP(A317,Data_Echipe!A:R,18,0)</f>
        <v>UltraHaita lu' Borcan</v>
      </c>
      <c r="Z317" s="115">
        <f t="shared" si="145"/>
        <v>1</v>
      </c>
    </row>
    <row r="318" spans="1:26" x14ac:dyDescent="0.3">
      <c r="A318" s="49" t="s">
        <v>341</v>
      </c>
      <c r="B318" s="1" t="str">
        <f>VLOOKUP(A318,Participanti!A:B,2,0)</f>
        <v>M</v>
      </c>
      <c r="C318" s="74">
        <v>4</v>
      </c>
      <c r="D318" s="50">
        <v>21.04</v>
      </c>
      <c r="E318" s="51">
        <v>0.11273148148148149</v>
      </c>
      <c r="F318" s="51">
        <v>0.11445601851851851</v>
      </c>
      <c r="G318" s="69">
        <f t="shared" si="140"/>
        <v>0.11359374999999999</v>
      </c>
      <c r="H318" s="52">
        <v>741</v>
      </c>
      <c r="I318" s="12">
        <f t="shared" si="141"/>
        <v>5.3989424904942965E-3</v>
      </c>
      <c r="J318" s="37">
        <f t="shared" si="142"/>
        <v>5</v>
      </c>
      <c r="K318" s="37">
        <f>IF(J318=0,0,IF(B318="F",VLOOKUP(I318,Barem!$G$2:$H$16,2,1),VLOOKUP(I318,Barem!$G$17:$H$31,2,1)))</f>
        <v>0.25</v>
      </c>
      <c r="L318" s="50">
        <v>3</v>
      </c>
      <c r="M318" s="124" t="s">
        <v>207</v>
      </c>
      <c r="N318" s="10">
        <f t="shared" si="139"/>
        <v>0.25</v>
      </c>
      <c r="O318" s="10">
        <f t="shared" si="139"/>
        <v>0.25</v>
      </c>
      <c r="P318" s="10">
        <f t="shared" si="139"/>
        <v>0.5</v>
      </c>
      <c r="Q318" s="40">
        <f t="shared" si="143"/>
        <v>0.49399999999999999</v>
      </c>
      <c r="R318" s="21">
        <f>IF(D318&gt;21,VLOOKUP(D318,Barem!$T$1:$U$141,2,1),0)</f>
        <v>0</v>
      </c>
      <c r="S318" s="152">
        <f>IF(D318&lt;1.609,0,IF(B318="F",VLOOKUP(I318,Barem!$X$2:$Z$13,2,1),VLOOKUP(I318,Barem!$X$14:$Z$25,2,1)))</f>
        <v>0</v>
      </c>
      <c r="T318" s="21">
        <f>VLOOKUP(A318,Participanti!A:C,3,0)</f>
        <v>0</v>
      </c>
      <c r="U318" s="18">
        <f t="shared" si="144"/>
        <v>3.3064999999999998</v>
      </c>
      <c r="V318" s="58" t="s">
        <v>405</v>
      </c>
      <c r="W318" s="77">
        <f t="shared" si="117"/>
        <v>1</v>
      </c>
      <c r="X318" s="1" t="str">
        <f>VLOOKUP(A318,Data_Echipe!A:R,18,0)</f>
        <v>The GOATs</v>
      </c>
      <c r="Z318" s="115">
        <f t="shared" si="145"/>
        <v>1</v>
      </c>
    </row>
    <row r="319" spans="1:26" x14ac:dyDescent="0.3">
      <c r="A319" s="49" t="s">
        <v>375</v>
      </c>
      <c r="B319" s="1" t="str">
        <f>VLOOKUP(A319,Participanti!A:B,2,0)</f>
        <v>M</v>
      </c>
      <c r="C319" s="74">
        <v>4</v>
      </c>
      <c r="D319" s="50">
        <v>3.02</v>
      </c>
      <c r="E319" s="51">
        <v>8.518518518518519E-3</v>
      </c>
      <c r="F319" s="51">
        <v>8.518518518518519E-3</v>
      </c>
      <c r="G319" s="69">
        <f t="shared" si="140"/>
        <v>8.518518518518519E-3</v>
      </c>
      <c r="H319" s="52"/>
      <c r="I319" s="12">
        <f t="shared" si="141"/>
        <v>2.8207014961981851E-3</v>
      </c>
      <c r="J319" s="37">
        <f t="shared" si="142"/>
        <v>0.71904761904761905</v>
      </c>
      <c r="K319" s="37">
        <f>IF(J319=0,0,IF(B319="F",VLOOKUP(I319,Barem!$G$2:$H$16,2,1),VLOOKUP(I319,Barem!$G$17:$H$31,2,1)))</f>
        <v>4.5</v>
      </c>
      <c r="L319" s="50">
        <v>1.5</v>
      </c>
      <c r="M319" s="124" t="s">
        <v>107</v>
      </c>
      <c r="N319" s="10">
        <f t="shared" si="139"/>
        <v>0.25</v>
      </c>
      <c r="O319" s="10">
        <f t="shared" si="139"/>
        <v>0.5</v>
      </c>
      <c r="P319" s="10">
        <f t="shared" si="139"/>
        <v>0.25</v>
      </c>
      <c r="Q319" s="40">
        <f t="shared" si="143"/>
        <v>0</v>
      </c>
      <c r="R319" s="21">
        <f>IF(D319&gt;21,VLOOKUP(D319,Barem!$T$1:$U$141,2,1),0)</f>
        <v>0</v>
      </c>
      <c r="S319" s="152">
        <f>IF(D319&lt;1.609,0,IF(B319="F",VLOOKUP(I319,Barem!$X$2:$Z$13,2,1),VLOOKUP(I319,Barem!$X$14:$Z$25,2,1)))</f>
        <v>0</v>
      </c>
      <c r="T319" s="21">
        <f>VLOOKUP(A319,Participanti!A:C,3,0)</f>
        <v>0</v>
      </c>
      <c r="U319" s="18">
        <f t="shared" si="144"/>
        <v>2.8047619047619046</v>
      </c>
      <c r="V319" s="58" t="s">
        <v>405</v>
      </c>
      <c r="W319" s="77">
        <f t="shared" si="117"/>
        <v>1</v>
      </c>
      <c r="X319" s="1" t="e">
        <f>VLOOKUP(A319,Data_Echipe!A:R,18,0)</f>
        <v>#N/A</v>
      </c>
      <c r="Z319" s="115">
        <f t="shared" si="145"/>
        <v>1</v>
      </c>
    </row>
    <row r="320" spans="1:26" x14ac:dyDescent="0.3">
      <c r="A320" s="49" t="s">
        <v>343</v>
      </c>
      <c r="B320" s="1" t="str">
        <f>VLOOKUP(A320,Participanti!A:B,2,0)</f>
        <v>M</v>
      </c>
      <c r="C320" s="74">
        <v>4</v>
      </c>
      <c r="D320" s="50">
        <v>21.21</v>
      </c>
      <c r="E320" s="51">
        <v>6.3217592592592589E-2</v>
      </c>
      <c r="F320" s="51">
        <v>6.3217592592592589E-2</v>
      </c>
      <c r="G320" s="69">
        <f t="shared" si="140"/>
        <v>6.3217592592592589E-2</v>
      </c>
      <c r="H320" s="52"/>
      <c r="I320" s="12">
        <f t="shared" si="141"/>
        <v>2.9805559921071471E-3</v>
      </c>
      <c r="J320" s="37">
        <f t="shared" si="142"/>
        <v>5</v>
      </c>
      <c r="K320" s="37">
        <f>IF(J320=0,0,IF(B320="F",VLOOKUP(I320,Barem!$G$2:$H$16,2,1),VLOOKUP(I320,Barem!$G$17:$H$31,2,1)))</f>
        <v>4</v>
      </c>
      <c r="L320" s="50">
        <v>2.75</v>
      </c>
      <c r="M320" s="124" t="s">
        <v>106</v>
      </c>
      <c r="N320" s="10">
        <f t="shared" si="139"/>
        <v>0.5</v>
      </c>
      <c r="O320" s="10">
        <f t="shared" si="139"/>
        <v>0.25</v>
      </c>
      <c r="P320" s="10">
        <f t="shared" si="139"/>
        <v>0.25</v>
      </c>
      <c r="Q320" s="40">
        <f t="shared" si="143"/>
        <v>0</v>
      </c>
      <c r="R320" s="21">
        <f>IF(D320&gt;21,VLOOKUP(D320,Barem!$T$1:$U$141,2,1),0)</f>
        <v>0</v>
      </c>
      <c r="S320" s="152">
        <f>IF(D320&lt;1.609,0,IF(B320="F",VLOOKUP(I320,Barem!$X$2:$Z$13,2,1),VLOOKUP(I320,Barem!$X$14:$Z$25,2,1)))</f>
        <v>0</v>
      </c>
      <c r="T320" s="21">
        <f>VLOOKUP(A320,Participanti!A:C,3,0)</f>
        <v>0</v>
      </c>
      <c r="U320" s="18">
        <f t="shared" si="144"/>
        <v>4.1875</v>
      </c>
      <c r="V320" s="58" t="s">
        <v>405</v>
      </c>
      <c r="W320" s="77">
        <f t="shared" si="117"/>
        <v>1</v>
      </c>
      <c r="X320" s="1" t="str">
        <f>VLOOKUP(A320,Data_Echipe!A:R,18,0)</f>
        <v>#notSYRious</v>
      </c>
      <c r="Z320" s="115">
        <f t="shared" si="145"/>
        <v>1</v>
      </c>
    </row>
    <row r="321" spans="1:26" x14ac:dyDescent="0.3">
      <c r="A321" s="49" t="s">
        <v>226</v>
      </c>
      <c r="B321" s="1" t="str">
        <f>VLOOKUP(A321,Participanti!A:B,2,0)</f>
        <v>M</v>
      </c>
      <c r="C321" s="74">
        <v>4</v>
      </c>
      <c r="D321" s="50">
        <v>9.31</v>
      </c>
      <c r="E321" s="51">
        <v>4.4884259259259263E-2</v>
      </c>
      <c r="F321" s="51">
        <v>4.50462962962963E-2</v>
      </c>
      <c r="G321" s="69">
        <f t="shared" si="140"/>
        <v>4.4965277777777785E-2</v>
      </c>
      <c r="H321" s="52"/>
      <c r="I321" s="12">
        <f t="shared" si="141"/>
        <v>4.8297827903091067E-3</v>
      </c>
      <c r="J321" s="37">
        <f t="shared" si="142"/>
        <v>2.2166666666666668</v>
      </c>
      <c r="K321" s="37">
        <f>IF(J321=0,0,IF(B321="F",VLOOKUP(I321,Barem!$G$2:$H$16,2,1),VLOOKUP(I321,Barem!$G$17:$H$31,2,1)))</f>
        <v>0.5</v>
      </c>
      <c r="L321" s="50">
        <v>1.5</v>
      </c>
      <c r="M321" s="124" t="s">
        <v>106</v>
      </c>
      <c r="N321" s="10">
        <f t="shared" si="139"/>
        <v>0.5</v>
      </c>
      <c r="O321" s="10">
        <f t="shared" si="139"/>
        <v>0.25</v>
      </c>
      <c r="P321" s="10">
        <f t="shared" si="139"/>
        <v>0.25</v>
      </c>
      <c r="Q321" s="40">
        <f t="shared" si="143"/>
        <v>0</v>
      </c>
      <c r="R321" s="21">
        <f>IF(D321&gt;21,VLOOKUP(D321,Barem!$T$1:$U$141,2,1),0)</f>
        <v>0</v>
      </c>
      <c r="S321" s="152">
        <f>IF(D321&lt;1.609,0,IF(B321="F",VLOOKUP(I321,Barem!$X$2:$Z$13,2,1),VLOOKUP(I321,Barem!$X$14:$Z$25,2,1)))</f>
        <v>0</v>
      </c>
      <c r="T321" s="21">
        <f>VLOOKUP(A321,Participanti!A:C,3,0)</f>
        <v>0</v>
      </c>
      <c r="U321" s="18">
        <f t="shared" si="144"/>
        <v>1.6083333333333334</v>
      </c>
      <c r="V321" s="58" t="s">
        <v>405</v>
      </c>
      <c r="W321" s="77">
        <f t="shared" si="117"/>
        <v>1</v>
      </c>
      <c r="X321" s="1" t="e">
        <f>VLOOKUP(A321,Data_Echipe!A:R,18,0)</f>
        <v>#N/A</v>
      </c>
      <c r="Z321" s="115">
        <f t="shared" si="145"/>
        <v>1</v>
      </c>
    </row>
    <row r="322" spans="1:26" x14ac:dyDescent="0.3">
      <c r="A322" s="49" t="s">
        <v>345</v>
      </c>
      <c r="B322" s="1" t="str">
        <f>VLOOKUP(A322,Participanti!A:B,2,0)</f>
        <v>F</v>
      </c>
      <c r="C322" s="74">
        <v>4</v>
      </c>
      <c r="D322" s="50">
        <v>7.03</v>
      </c>
      <c r="E322" s="51">
        <v>2.7488425925925927E-2</v>
      </c>
      <c r="F322" s="51">
        <v>2.9583333333333336E-2</v>
      </c>
      <c r="G322" s="69">
        <f t="shared" si="140"/>
        <v>2.8535879629629633E-2</v>
      </c>
      <c r="H322" s="52"/>
      <c r="I322" s="12">
        <f t="shared" si="141"/>
        <v>4.0591578420525794E-3</v>
      </c>
      <c r="J322" s="37">
        <f t="shared" si="142"/>
        <v>1.7575000000000001</v>
      </c>
      <c r="K322" s="37">
        <f>IF(J322=0,0,IF(B322="F",VLOOKUP(I322,Barem!$G$2:$H$16,2,1),VLOOKUP(I322,Barem!$G$17:$H$31,2,1)))</f>
        <v>2</v>
      </c>
      <c r="L322" s="50">
        <v>2</v>
      </c>
      <c r="M322" s="124" t="s">
        <v>106</v>
      </c>
      <c r="N322" s="10">
        <f t="shared" si="139"/>
        <v>0.5</v>
      </c>
      <c r="O322" s="10">
        <f t="shared" si="139"/>
        <v>0.25</v>
      </c>
      <c r="P322" s="10">
        <f t="shared" si="139"/>
        <v>0.25</v>
      </c>
      <c r="Q322" s="40">
        <f t="shared" si="143"/>
        <v>0</v>
      </c>
      <c r="R322" s="21">
        <f>IF(D322&gt;21,VLOOKUP(D322,Barem!$T$1:$U$141,2,1),0)</f>
        <v>0</v>
      </c>
      <c r="S322" s="152">
        <f>IF(D322&lt;1.609,0,IF(B322="F",VLOOKUP(I322,Barem!$X$2:$Z$13,2,1),VLOOKUP(I322,Barem!$X$14:$Z$25,2,1)))</f>
        <v>0</v>
      </c>
      <c r="T322" s="21">
        <f>VLOOKUP(A322,Participanti!A:C,3,0)</f>
        <v>0</v>
      </c>
      <c r="U322" s="18">
        <f t="shared" si="144"/>
        <v>1.8787500000000001</v>
      </c>
      <c r="V322" s="58" t="s">
        <v>405</v>
      </c>
      <c r="W322" s="77">
        <f t="shared" ref="W322:W385" si="146">COUNTIFS(A:A,A322,C:C,C322)</f>
        <v>1</v>
      </c>
      <c r="X322" s="1" t="str">
        <f>VLOOKUP(A322,Data_Echipe!A:R,18,0)</f>
        <v>MedgidiaRunning</v>
      </c>
      <c r="Z322" s="115">
        <f t="shared" si="145"/>
        <v>1</v>
      </c>
    </row>
    <row r="323" spans="1:26" x14ac:dyDescent="0.3">
      <c r="A323" s="49" t="s">
        <v>357</v>
      </c>
      <c r="B323" s="1" t="str">
        <f>VLOOKUP(A323,Participanti!A:B,2,0)</f>
        <v>M</v>
      </c>
      <c r="C323" s="74">
        <v>4</v>
      </c>
      <c r="D323" s="50">
        <v>7.96</v>
      </c>
      <c r="E323" s="51">
        <v>3.0879629629629632E-2</v>
      </c>
      <c r="F323" s="51">
        <v>3.0879629629629632E-2</v>
      </c>
      <c r="G323" s="69">
        <f t="shared" si="140"/>
        <v>3.0879629629629632E-2</v>
      </c>
      <c r="H323" s="52">
        <v>219</v>
      </c>
      <c r="I323" s="12">
        <f t="shared" si="141"/>
        <v>3.8793504559836221E-3</v>
      </c>
      <c r="J323" s="37">
        <f t="shared" si="142"/>
        <v>1.8952380952380952</v>
      </c>
      <c r="K323" s="37">
        <f>IF(J323=0,0,IF(B323="F",VLOOKUP(I323,Barem!$G$2:$H$16,2,1),VLOOKUP(I323,Barem!$G$17:$H$31,2,1)))</f>
        <v>1.75</v>
      </c>
      <c r="L323" s="50">
        <v>2.75</v>
      </c>
      <c r="M323" s="124" t="s">
        <v>207</v>
      </c>
      <c r="N323" s="10">
        <f t="shared" si="139"/>
        <v>0.25</v>
      </c>
      <c r="O323" s="10">
        <f t="shared" si="139"/>
        <v>0.25</v>
      </c>
      <c r="P323" s="10">
        <f t="shared" si="139"/>
        <v>0.5</v>
      </c>
      <c r="Q323" s="40">
        <f t="shared" si="143"/>
        <v>0.14599999999999999</v>
      </c>
      <c r="R323" s="21">
        <f>IF(D323&gt;21,VLOOKUP(D323,Barem!$T$1:$U$141,2,1),0)</f>
        <v>0</v>
      </c>
      <c r="S323" s="152">
        <f>IF(D323&lt;1.609,0,IF(B323="F",VLOOKUP(I323,Barem!$X$2:$Z$13,2,1),VLOOKUP(I323,Barem!$X$14:$Z$25,2,1)))</f>
        <v>0</v>
      </c>
      <c r="T323" s="21">
        <f>VLOOKUP(A323,Participanti!A:C,3,0)</f>
        <v>0</v>
      </c>
      <c r="U323" s="18">
        <f t="shared" si="144"/>
        <v>2.4323095238095238</v>
      </c>
      <c r="V323" s="58" t="s">
        <v>405</v>
      </c>
      <c r="W323" s="77">
        <f t="shared" si="146"/>
        <v>1</v>
      </c>
      <c r="X323" s="1" t="e">
        <f>VLOOKUP(A323,Data_Echipe!A:R,18,0)</f>
        <v>#N/A</v>
      </c>
      <c r="Z323" s="115">
        <f t="shared" si="145"/>
        <v>1</v>
      </c>
    </row>
    <row r="324" spans="1:26" x14ac:dyDescent="0.3">
      <c r="A324" s="132" t="s">
        <v>63</v>
      </c>
      <c r="B324" s="133" t="str">
        <f>VLOOKUP(A324,Participanti!A:B,2,0)</f>
        <v>M</v>
      </c>
      <c r="C324" s="134">
        <v>4</v>
      </c>
      <c r="D324" s="135">
        <v>0</v>
      </c>
      <c r="E324" s="136">
        <v>0</v>
      </c>
      <c r="F324" s="136">
        <v>0</v>
      </c>
      <c r="G324" s="137">
        <f t="shared" si="140"/>
        <v>0</v>
      </c>
      <c r="H324" s="138"/>
      <c r="I324" s="139">
        <v>0</v>
      </c>
      <c r="J324" s="140">
        <f t="shared" si="142"/>
        <v>0</v>
      </c>
      <c r="K324" s="140">
        <f>IF(J324=0,0,IF(B324="F",VLOOKUP(I324,Barem!$G$2:$H$16,2,1),VLOOKUP(I324,Barem!$G$17:$H$31,2,1)))</f>
        <v>0</v>
      </c>
      <c r="L324" s="135">
        <v>0</v>
      </c>
      <c r="M324" s="141" t="s">
        <v>459</v>
      </c>
      <c r="N324" s="142">
        <f t="shared" si="139"/>
        <v>0.25</v>
      </c>
      <c r="O324" s="142">
        <f t="shared" si="139"/>
        <v>0.25</v>
      </c>
      <c r="P324" s="142">
        <f t="shared" si="139"/>
        <v>0.25</v>
      </c>
      <c r="Q324" s="143">
        <f t="shared" si="143"/>
        <v>0</v>
      </c>
      <c r="R324" s="144">
        <f>IF(D324&gt;21,VLOOKUP(D324,Barem!$T$1:$U$141,2,1),0)</f>
        <v>0</v>
      </c>
      <c r="S324" s="152">
        <f>IF(D324&lt;1.609,0,IF(B324="F",VLOOKUP(I324,Barem!$X$2:$Z$13,2,1),VLOOKUP(I324,Barem!$X$14:$Z$25,2,1)))</f>
        <v>0</v>
      </c>
      <c r="T324" s="144">
        <f>VLOOKUP(A324,Participanti!A:C,3,0)</f>
        <v>0</v>
      </c>
      <c r="U324" s="143">
        <v>1.5</v>
      </c>
      <c r="V324" s="145" t="s">
        <v>405</v>
      </c>
      <c r="W324" s="146">
        <f t="shared" si="146"/>
        <v>1</v>
      </c>
      <c r="X324" s="133" t="str">
        <f>VLOOKUP(A324,Data_Echipe!A:R,18,0)</f>
        <v>#notSYRious</v>
      </c>
      <c r="Y324" s="133"/>
      <c r="Z324" s="147">
        <f t="shared" si="145"/>
        <v>0</v>
      </c>
    </row>
    <row r="325" spans="1:26" x14ac:dyDescent="0.3">
      <c r="A325" s="132" t="s">
        <v>116</v>
      </c>
      <c r="B325" s="133" t="str">
        <f>VLOOKUP(A325,Participanti!A:B,2,0)</f>
        <v>F</v>
      </c>
      <c r="C325" s="134">
        <v>4</v>
      </c>
      <c r="D325" s="135">
        <v>0</v>
      </c>
      <c r="E325" s="136">
        <v>0</v>
      </c>
      <c r="F325" s="136">
        <v>0</v>
      </c>
      <c r="G325" s="137">
        <f t="shared" si="140"/>
        <v>0</v>
      </c>
      <c r="H325" s="138"/>
      <c r="I325" s="139">
        <v>0</v>
      </c>
      <c r="J325" s="140">
        <f t="shared" si="142"/>
        <v>0</v>
      </c>
      <c r="K325" s="140">
        <f>IF(J325=0,0,IF(B325="F",VLOOKUP(I325,Barem!$G$2:$H$16,2,1),VLOOKUP(I325,Barem!$G$17:$H$31,2,1)))</f>
        <v>0</v>
      </c>
      <c r="L325" s="135">
        <v>0</v>
      </c>
      <c r="M325" s="141" t="s">
        <v>459</v>
      </c>
      <c r="N325" s="142">
        <f t="shared" si="139"/>
        <v>0.25</v>
      </c>
      <c r="O325" s="142">
        <f t="shared" si="139"/>
        <v>0.25</v>
      </c>
      <c r="P325" s="142">
        <f t="shared" si="139"/>
        <v>0.25</v>
      </c>
      <c r="Q325" s="143">
        <f t="shared" si="143"/>
        <v>0</v>
      </c>
      <c r="R325" s="144">
        <f>IF(D325&gt;21,VLOOKUP(D325,Barem!$T$1:$U$141,2,1),0)</f>
        <v>0</v>
      </c>
      <c r="S325" s="152">
        <f>IF(D325&lt;1.609,0,IF(B325="F",VLOOKUP(I325,Barem!$X$2:$Z$13,2,1),VLOOKUP(I325,Barem!$X$14:$Z$25,2,1)))</f>
        <v>0</v>
      </c>
      <c r="T325" s="144">
        <f>VLOOKUP(A325,Participanti!A:C,3,0)</f>
        <v>0</v>
      </c>
      <c r="U325" s="143">
        <v>1.5</v>
      </c>
      <c r="V325" s="145" t="s">
        <v>405</v>
      </c>
      <c r="W325" s="146">
        <f t="shared" si="146"/>
        <v>1</v>
      </c>
      <c r="X325" s="133" t="str">
        <f>VLOOKUP(A325,Data_Echipe!A:R,18,0)</f>
        <v>#notSYRious</v>
      </c>
      <c r="Y325" s="133"/>
      <c r="Z325" s="147">
        <f t="shared" si="145"/>
        <v>0</v>
      </c>
    </row>
    <row r="326" spans="1:26" x14ac:dyDescent="0.3">
      <c r="A326" s="49" t="s">
        <v>205</v>
      </c>
      <c r="B326" s="1" t="str">
        <f>VLOOKUP(A326,Participanti!A:B,2,0)</f>
        <v>M</v>
      </c>
      <c r="C326" s="74">
        <v>4</v>
      </c>
      <c r="D326" s="50">
        <v>14.73</v>
      </c>
      <c r="E326" s="51">
        <v>4.3912037037037034E-2</v>
      </c>
      <c r="F326" s="51">
        <v>4.3912037037037034E-2</v>
      </c>
      <c r="G326" s="69">
        <f t="shared" si="140"/>
        <v>4.3912037037037034E-2</v>
      </c>
      <c r="H326" s="52">
        <v>131</v>
      </c>
      <c r="I326" s="12">
        <f t="shared" si="141"/>
        <v>2.9811294661939601E-3</v>
      </c>
      <c r="J326" s="37">
        <f t="shared" si="142"/>
        <v>3.5071428571428571</v>
      </c>
      <c r="K326" s="37">
        <f>IF(J326=0,0,IF(B326="F",VLOOKUP(I326,Barem!$G$2:$H$16,2,1),VLOOKUP(I326,Barem!$G$17:$H$31,2,1)))</f>
        <v>4</v>
      </c>
      <c r="L326" s="50">
        <v>2.75</v>
      </c>
      <c r="M326" s="124" t="s">
        <v>107</v>
      </c>
      <c r="N326" s="10">
        <f t="shared" si="139"/>
        <v>0.25</v>
      </c>
      <c r="O326" s="10">
        <f t="shared" si="139"/>
        <v>0.5</v>
      </c>
      <c r="P326" s="10">
        <f t="shared" si="139"/>
        <v>0.25</v>
      </c>
      <c r="Q326" s="40">
        <f t="shared" si="143"/>
        <v>8.7333333333333332E-2</v>
      </c>
      <c r="R326" s="21">
        <f>IF(D326&gt;21,VLOOKUP(D326,Barem!$T$1:$U$141,2,1),0)</f>
        <v>0</v>
      </c>
      <c r="S326" s="152">
        <f>IF(D326&lt;1.609,0,IF(B326="F",VLOOKUP(I326,Barem!$X$2:$Z$13,2,1),VLOOKUP(I326,Barem!$X$14:$Z$25,2,1)))</f>
        <v>0</v>
      </c>
      <c r="T326" s="21">
        <f>VLOOKUP(A326,Participanti!A:C,3,0)</f>
        <v>0</v>
      </c>
      <c r="U326" s="18">
        <f t="shared" si="144"/>
        <v>3.6516190476190475</v>
      </c>
      <c r="V326" s="58" t="s">
        <v>405</v>
      </c>
      <c r="W326" s="77">
        <f t="shared" si="146"/>
        <v>1</v>
      </c>
      <c r="X326" s="1" t="str">
        <f>VLOOKUP(A326,Data_Echipe!A:R,18,0)</f>
        <v>Almost Kenyan Runners</v>
      </c>
      <c r="Z326" s="115">
        <f t="shared" si="145"/>
        <v>1</v>
      </c>
    </row>
    <row r="327" spans="1:26" x14ac:dyDescent="0.3">
      <c r="A327" s="49" t="s">
        <v>120</v>
      </c>
      <c r="B327" s="1" t="str">
        <f>VLOOKUP(A327,Participanti!A:B,2,0)</f>
        <v>M</v>
      </c>
      <c r="C327" s="74">
        <v>4</v>
      </c>
      <c r="D327" s="50">
        <v>18.53</v>
      </c>
      <c r="E327" s="51">
        <v>6.6030092592592585E-2</v>
      </c>
      <c r="F327" s="51">
        <v>6.896990740740741E-2</v>
      </c>
      <c r="G327" s="69">
        <f t="shared" si="140"/>
        <v>6.7500000000000004E-2</v>
      </c>
      <c r="H327" s="52">
        <v>87</v>
      </c>
      <c r="I327" s="12">
        <f t="shared" si="141"/>
        <v>3.6427415002698326E-3</v>
      </c>
      <c r="J327" s="37">
        <f t="shared" si="142"/>
        <v>4.4119047619047622</v>
      </c>
      <c r="K327" s="37">
        <f>IF(J327=0,0,IF(B327="F",VLOOKUP(I327,Barem!$G$2:$H$16,2,1),VLOOKUP(I327,Barem!$G$17:$H$31,2,1)))</f>
        <v>2.5</v>
      </c>
      <c r="L327" s="50">
        <v>1.5</v>
      </c>
      <c r="M327" s="124" t="s">
        <v>106</v>
      </c>
      <c r="N327" s="10">
        <f t="shared" si="139"/>
        <v>0.5</v>
      </c>
      <c r="O327" s="10">
        <f t="shared" si="139"/>
        <v>0.25</v>
      </c>
      <c r="P327" s="10">
        <f t="shared" si="139"/>
        <v>0.25</v>
      </c>
      <c r="Q327" s="40">
        <f t="shared" si="143"/>
        <v>5.8000000000000003E-2</v>
      </c>
      <c r="R327" s="21">
        <f>IF(D327&gt;21,VLOOKUP(D327,Barem!$T$1:$U$141,2,1),0)</f>
        <v>0</v>
      </c>
      <c r="S327" s="152">
        <f>IF(D327&lt;1.609,0,IF(B327="F",VLOOKUP(I327,Barem!$X$2:$Z$13,2,1),VLOOKUP(I327,Barem!$X$14:$Z$25,2,1)))</f>
        <v>0</v>
      </c>
      <c r="T327" s="21">
        <f>VLOOKUP(A327,Participanti!A:C,3,0)</f>
        <v>0</v>
      </c>
      <c r="U327" s="18">
        <f t="shared" si="144"/>
        <v>3.2639523809523809</v>
      </c>
      <c r="V327" s="58" t="s">
        <v>405</v>
      </c>
      <c r="W327" s="77">
        <f t="shared" si="146"/>
        <v>1</v>
      </c>
      <c r="X327" s="1" t="str">
        <f>VLOOKUP(A327,Data_Echipe!A:R,18,0)</f>
        <v>Almost Kenyan Runners</v>
      </c>
      <c r="Z327" s="115">
        <f t="shared" si="145"/>
        <v>1</v>
      </c>
    </row>
    <row r="328" spans="1:26" x14ac:dyDescent="0.3">
      <c r="A328" s="49" t="s">
        <v>49</v>
      </c>
      <c r="B328" s="1" t="str">
        <f>VLOOKUP(A328,Participanti!A:B,2,0)</f>
        <v>M</v>
      </c>
      <c r="C328" s="74">
        <v>4</v>
      </c>
      <c r="D328" s="50">
        <v>25.02</v>
      </c>
      <c r="E328" s="51">
        <v>0.13320601851851852</v>
      </c>
      <c r="F328" s="51">
        <v>0.16362268518518519</v>
      </c>
      <c r="G328" s="69">
        <f t="shared" si="140"/>
        <v>0.14841435185185187</v>
      </c>
      <c r="H328" s="52">
        <v>1023</v>
      </c>
      <c r="I328" s="12">
        <f t="shared" si="141"/>
        <v>5.9318286111851269E-3</v>
      </c>
      <c r="J328" s="37">
        <f t="shared" si="142"/>
        <v>5</v>
      </c>
      <c r="K328" s="37">
        <f>IF(J328=0,0,IF(B328="F",VLOOKUP(I328,Barem!$G$2:$H$16,2,1),VLOOKUP(I328,Barem!$G$17:$H$31,2,1)))</f>
        <v>0</v>
      </c>
      <c r="L328" s="50">
        <v>4</v>
      </c>
      <c r="M328" s="124" t="s">
        <v>106</v>
      </c>
      <c r="N328" s="10">
        <f t="shared" si="139"/>
        <v>0.5</v>
      </c>
      <c r="O328" s="10">
        <f t="shared" si="139"/>
        <v>0.25</v>
      </c>
      <c r="P328" s="10">
        <f t="shared" si="139"/>
        <v>0.25</v>
      </c>
      <c r="Q328" s="40">
        <f t="shared" si="143"/>
        <v>0.68200000000000005</v>
      </c>
      <c r="R328" s="21">
        <f>IF(D328&gt;21,VLOOKUP(D328,Barem!$T$1:$U$141,2,1),0)</f>
        <v>0.2</v>
      </c>
      <c r="S328" s="152">
        <f>IF(D328&lt;1.609,0,IF(B328="F",VLOOKUP(I328,Barem!$X$2:$Z$13,2,1),VLOOKUP(I328,Barem!$X$14:$Z$25,2,1)))</f>
        <v>0</v>
      </c>
      <c r="T328" s="21">
        <f>VLOOKUP(A328,Participanti!A:C,3,0)</f>
        <v>0</v>
      </c>
      <c r="U328" s="18">
        <f t="shared" si="144"/>
        <v>4.3820000000000006</v>
      </c>
      <c r="V328" s="58" t="s">
        <v>405</v>
      </c>
      <c r="W328" s="77">
        <f t="shared" si="146"/>
        <v>1</v>
      </c>
      <c r="X328" s="1" t="str">
        <f>VLOOKUP(A328,Data_Echipe!A:R,18,0)</f>
        <v>The GOATs</v>
      </c>
      <c r="Z328" s="115">
        <f t="shared" si="145"/>
        <v>0</v>
      </c>
    </row>
    <row r="329" spans="1:26" x14ac:dyDescent="0.3">
      <c r="A329" s="49" t="s">
        <v>177</v>
      </c>
      <c r="B329" s="1" t="str">
        <f>VLOOKUP(A329,Participanti!A:B,2,0)</f>
        <v>F</v>
      </c>
      <c r="C329" s="74">
        <v>4</v>
      </c>
      <c r="D329" s="50">
        <v>3.02</v>
      </c>
      <c r="E329" s="51">
        <v>1.3460648148148147E-2</v>
      </c>
      <c r="F329" s="51">
        <v>1.554398148148148E-2</v>
      </c>
      <c r="G329" s="69">
        <f t="shared" si="140"/>
        <v>1.4502314814814813E-2</v>
      </c>
      <c r="H329" s="52"/>
      <c r="I329" s="12">
        <f t="shared" si="141"/>
        <v>4.802090998283051E-3</v>
      </c>
      <c r="J329" s="37">
        <f t="shared" si="142"/>
        <v>0.755</v>
      </c>
      <c r="K329" s="37">
        <f>IF(J329=0,0,IF(B329="F",VLOOKUP(I329,Barem!$G$2:$H$16,2,1),VLOOKUP(I329,Barem!$G$17:$H$31,2,1)))</f>
        <v>1</v>
      </c>
      <c r="L329" s="50">
        <v>3.25</v>
      </c>
      <c r="M329" s="124" t="s">
        <v>207</v>
      </c>
      <c r="N329" s="10">
        <f t="shared" si="139"/>
        <v>0.25</v>
      </c>
      <c r="O329" s="10">
        <f t="shared" si="139"/>
        <v>0.25</v>
      </c>
      <c r="P329" s="10">
        <f t="shared" si="139"/>
        <v>0.5</v>
      </c>
      <c r="Q329" s="40">
        <f t="shared" si="143"/>
        <v>0</v>
      </c>
      <c r="R329" s="21">
        <f>IF(D329&gt;21,VLOOKUP(D329,Barem!$T$1:$U$141,2,1),0)</f>
        <v>0</v>
      </c>
      <c r="S329" s="152">
        <f>IF(D329&lt;1.609,0,IF(B329="F",VLOOKUP(I329,Barem!$X$2:$Z$13,2,1),VLOOKUP(I329,Barem!$X$14:$Z$25,2,1)))</f>
        <v>0</v>
      </c>
      <c r="T329" s="21">
        <f>VLOOKUP(A329,Participanti!A:C,3,0)</f>
        <v>0</v>
      </c>
      <c r="U329" s="18">
        <f t="shared" si="144"/>
        <v>2.0637499999999998</v>
      </c>
      <c r="V329" s="58" t="s">
        <v>405</v>
      </c>
      <c r="W329" s="77">
        <f t="shared" si="146"/>
        <v>1</v>
      </c>
      <c r="X329" s="1" t="str">
        <f>VLOOKUP(A329,Data_Echipe!A:R,18,0)</f>
        <v>UltraHaita lu' Borcan</v>
      </c>
      <c r="Z329" s="115">
        <f t="shared" si="145"/>
        <v>1</v>
      </c>
    </row>
    <row r="330" spans="1:26" x14ac:dyDescent="0.3">
      <c r="A330" s="49" t="s">
        <v>346</v>
      </c>
      <c r="B330" s="1" t="str">
        <f>VLOOKUP(A330,Participanti!A:B,2,0)</f>
        <v>M</v>
      </c>
      <c r="C330" s="74">
        <v>4</v>
      </c>
      <c r="D330" s="50">
        <v>42.3</v>
      </c>
      <c r="E330" s="51">
        <v>0.15995370370370371</v>
      </c>
      <c r="F330" s="51">
        <v>0.17547453703703705</v>
      </c>
      <c r="G330" s="69">
        <f t="shared" si="140"/>
        <v>0.16771412037037037</v>
      </c>
      <c r="H330" s="52">
        <v>118</v>
      </c>
      <c r="I330" s="12">
        <f t="shared" si="141"/>
        <v>3.9648728219945717E-3</v>
      </c>
      <c r="J330" s="37">
        <f t="shared" si="142"/>
        <v>5</v>
      </c>
      <c r="K330" s="37">
        <f>IF(J330=0,0,IF(B330="F",VLOOKUP(I330,Barem!$G$2:$H$16,2,1),VLOOKUP(I330,Barem!$G$17:$H$31,2,1)))</f>
        <v>1.75</v>
      </c>
      <c r="L330" s="50">
        <v>1</v>
      </c>
      <c r="M330" s="124" t="s">
        <v>106</v>
      </c>
      <c r="N330" s="10">
        <f t="shared" si="139"/>
        <v>0.5</v>
      </c>
      <c r="O330" s="10">
        <f t="shared" si="139"/>
        <v>0.25</v>
      </c>
      <c r="P330" s="10">
        <f t="shared" si="139"/>
        <v>0.25</v>
      </c>
      <c r="Q330" s="40">
        <f t="shared" si="143"/>
        <v>7.8666666666666663E-2</v>
      </c>
      <c r="R330" s="21">
        <f>IF(D330&gt;21,VLOOKUP(D330,Barem!$T$1:$U$141,2,1),0)</f>
        <v>1</v>
      </c>
      <c r="S330" s="152">
        <f>IF(D330&lt;1.609,0,IF(B330="F",VLOOKUP(I330,Barem!$X$2:$Z$13,2,1),VLOOKUP(I330,Barem!$X$14:$Z$25,2,1)))</f>
        <v>0</v>
      </c>
      <c r="T330" s="21">
        <f>VLOOKUP(A330,Participanti!A:C,3,0)</f>
        <v>0</v>
      </c>
      <c r="U330" s="18">
        <f t="shared" si="144"/>
        <v>4.2661666666666669</v>
      </c>
      <c r="V330" s="58" t="s">
        <v>405</v>
      </c>
      <c r="W330" s="77">
        <f t="shared" si="146"/>
        <v>1</v>
      </c>
      <c r="X330" s="1" t="str">
        <f>VLOOKUP(A330,Data_Echipe!A:R,18,0)</f>
        <v>UltraHaita lu' Borcan</v>
      </c>
      <c r="Z330" s="115">
        <f t="shared" si="145"/>
        <v>1</v>
      </c>
    </row>
    <row r="331" spans="1:26" x14ac:dyDescent="0.3">
      <c r="A331" s="49" t="s">
        <v>291</v>
      </c>
      <c r="B331" s="1" t="str">
        <f>VLOOKUP(A331,Participanti!A:B,2,0)</f>
        <v>F</v>
      </c>
      <c r="C331" s="74">
        <v>4</v>
      </c>
      <c r="D331" s="50">
        <v>5</v>
      </c>
      <c r="E331" s="51">
        <v>1.9317129629629629E-2</v>
      </c>
      <c r="F331" s="51">
        <v>1.982638888888889E-2</v>
      </c>
      <c r="G331" s="69">
        <f t="shared" si="140"/>
        <v>1.9571759259259261E-2</v>
      </c>
      <c r="H331" s="52"/>
      <c r="I331" s="12">
        <f t="shared" si="141"/>
        <v>3.914351851851852E-3</v>
      </c>
      <c r="J331" s="37">
        <f t="shared" si="142"/>
        <v>1.25</v>
      </c>
      <c r="K331" s="37">
        <f>IF(J331=0,0,IF(B331="F",VLOOKUP(I331,Barem!$G$2:$H$16,2,1),VLOOKUP(I331,Barem!$G$17:$H$31,2,1)))</f>
        <v>2.5</v>
      </c>
      <c r="L331" s="50">
        <v>1</v>
      </c>
      <c r="M331" s="124" t="s">
        <v>106</v>
      </c>
      <c r="N331" s="10">
        <f t="shared" si="139"/>
        <v>0.5</v>
      </c>
      <c r="O331" s="10">
        <f t="shared" si="139"/>
        <v>0.25</v>
      </c>
      <c r="P331" s="10">
        <f t="shared" si="139"/>
        <v>0.25</v>
      </c>
      <c r="Q331" s="40">
        <f t="shared" si="143"/>
        <v>0</v>
      </c>
      <c r="R331" s="21">
        <f>IF(D331&gt;21,VLOOKUP(D331,Barem!$T$1:$U$141,2,1),0)</f>
        <v>0</v>
      </c>
      <c r="S331" s="152">
        <f>IF(D331&lt;1.609,0,IF(B331="F",VLOOKUP(I331,Barem!$X$2:$Z$13,2,1),VLOOKUP(I331,Barem!$X$14:$Z$25,2,1)))</f>
        <v>0</v>
      </c>
      <c r="T331" s="21">
        <f>VLOOKUP(A331,Participanti!A:C,3,0)</f>
        <v>0</v>
      </c>
      <c r="U331" s="18">
        <f t="shared" si="144"/>
        <v>1.5</v>
      </c>
      <c r="V331" s="58" t="s">
        <v>405</v>
      </c>
      <c r="W331" s="77">
        <f t="shared" si="146"/>
        <v>1</v>
      </c>
      <c r="X331" s="1" t="str">
        <f>VLOOKUP(A331,Data_Echipe!A:R,18,0)</f>
        <v>#notSYRious</v>
      </c>
      <c r="Z331" s="115">
        <f t="shared" si="145"/>
        <v>1</v>
      </c>
    </row>
    <row r="332" spans="1:26" x14ac:dyDescent="0.3">
      <c r="A332" s="49" t="s">
        <v>359</v>
      </c>
      <c r="B332" s="1" t="str">
        <f>VLOOKUP(A332,Participanti!A:B,2,0)</f>
        <v>M</v>
      </c>
      <c r="C332" s="74">
        <v>4</v>
      </c>
      <c r="D332" s="50">
        <v>15.5</v>
      </c>
      <c r="E332" s="51">
        <v>6.0243055555555557E-2</v>
      </c>
      <c r="F332" s="51">
        <v>6.0763888888888888E-2</v>
      </c>
      <c r="G332" s="69">
        <f t="shared" si="140"/>
        <v>6.0503472222222222E-2</v>
      </c>
      <c r="H332" s="52"/>
      <c r="I332" s="12">
        <f t="shared" si="141"/>
        <v>3.9034498207885303E-3</v>
      </c>
      <c r="J332" s="37">
        <f t="shared" si="142"/>
        <v>3.6904761904761902</v>
      </c>
      <c r="K332" s="37">
        <f>IF(J332=0,0,IF(B332="F",VLOOKUP(I332,Barem!$G$2:$H$16,2,1),VLOOKUP(I332,Barem!$G$17:$H$31,2,1)))</f>
        <v>1.75</v>
      </c>
      <c r="L332" s="50">
        <v>0.75</v>
      </c>
      <c r="M332" s="124" t="s">
        <v>106</v>
      </c>
      <c r="N332" s="10">
        <f t="shared" si="139"/>
        <v>0.5</v>
      </c>
      <c r="O332" s="10">
        <f t="shared" si="139"/>
        <v>0.25</v>
      </c>
      <c r="P332" s="10">
        <f t="shared" si="139"/>
        <v>0.25</v>
      </c>
      <c r="Q332" s="40">
        <f t="shared" si="143"/>
        <v>0</v>
      </c>
      <c r="R332" s="21">
        <f>IF(D332&gt;21,VLOOKUP(D332,Barem!$T$1:$U$141,2,1),0)</f>
        <v>0</v>
      </c>
      <c r="S332" s="152">
        <f>IF(D332&lt;1.609,0,IF(B332="F",VLOOKUP(I332,Barem!$X$2:$Z$13,2,1),VLOOKUP(I332,Barem!$X$14:$Z$25,2,1)))</f>
        <v>0</v>
      </c>
      <c r="T332" s="21">
        <f>VLOOKUP(A332,Participanti!A:C,3,0)</f>
        <v>0</v>
      </c>
      <c r="U332" s="18">
        <f t="shared" si="144"/>
        <v>2.4702380952380949</v>
      </c>
      <c r="V332" s="58" t="s">
        <v>405</v>
      </c>
      <c r="W332" s="77">
        <f t="shared" si="146"/>
        <v>1</v>
      </c>
      <c r="X332" s="1" t="str">
        <f>VLOOKUP(A332,Data_Echipe!A:R,18,0)</f>
        <v>Almost Kenyan Runners</v>
      </c>
      <c r="Z332" s="115">
        <f t="shared" si="145"/>
        <v>1</v>
      </c>
    </row>
    <row r="333" spans="1:26" x14ac:dyDescent="0.3">
      <c r="A333" s="49" t="s">
        <v>283</v>
      </c>
      <c r="B333" s="1" t="str">
        <f>VLOOKUP(A333,Participanti!A:B,2,0)</f>
        <v>M</v>
      </c>
      <c r="C333" s="74">
        <v>4</v>
      </c>
      <c r="D333" s="50">
        <v>50.14</v>
      </c>
      <c r="E333" s="51">
        <v>0.20700231481481482</v>
      </c>
      <c r="F333" s="51">
        <v>0.21278935185185185</v>
      </c>
      <c r="G333" s="69">
        <f t="shared" si="140"/>
        <v>0.20989583333333334</v>
      </c>
      <c r="H333" s="52">
        <v>382</v>
      </c>
      <c r="I333" s="12">
        <f t="shared" si="141"/>
        <v>4.1861953197713068E-3</v>
      </c>
      <c r="J333" s="37">
        <f t="shared" si="142"/>
        <v>5</v>
      </c>
      <c r="K333" s="37">
        <f>IF(J333=0,0,IF(B333="F",VLOOKUP(I333,Barem!$G$2:$H$16,2,1),VLOOKUP(I333,Barem!$G$17:$H$31,2,1)))</f>
        <v>1.25</v>
      </c>
      <c r="L333" s="50">
        <v>2.75</v>
      </c>
      <c r="M333" s="124" t="s">
        <v>106</v>
      </c>
      <c r="N333" s="10">
        <f t="shared" si="139"/>
        <v>0.5</v>
      </c>
      <c r="O333" s="10">
        <f t="shared" si="139"/>
        <v>0.25</v>
      </c>
      <c r="P333" s="10">
        <f t="shared" si="139"/>
        <v>0.25</v>
      </c>
      <c r="Q333" s="40">
        <f t="shared" si="143"/>
        <v>0.25466666666666665</v>
      </c>
      <c r="R333" s="21">
        <f>IF(D333&gt;21,VLOOKUP(D333,Barem!$T$1:$U$141,2,1),0)</f>
        <v>1.4</v>
      </c>
      <c r="S333" s="152">
        <f>IF(D333&lt;1.609,0,IF(B333="F",VLOOKUP(I333,Barem!$X$2:$Z$13,2,1),VLOOKUP(I333,Barem!$X$14:$Z$25,2,1)))</f>
        <v>0</v>
      </c>
      <c r="T333" s="21">
        <f>VLOOKUP(A333,Participanti!A:C,3,0)</f>
        <v>0</v>
      </c>
      <c r="U333" s="18">
        <f t="shared" si="144"/>
        <v>5.1546666666666665</v>
      </c>
      <c r="V333" s="58" t="s">
        <v>405</v>
      </c>
      <c r="W333" s="77">
        <f t="shared" si="146"/>
        <v>1</v>
      </c>
      <c r="X333" s="1" t="str">
        <f>VLOOKUP(A333,Data_Echipe!A:R,18,0)</f>
        <v>The GOATs</v>
      </c>
      <c r="Z333" s="115">
        <f t="shared" si="145"/>
        <v>1</v>
      </c>
    </row>
    <row r="334" spans="1:26" x14ac:dyDescent="0.3">
      <c r="A334" s="49" t="s">
        <v>362</v>
      </c>
      <c r="B334" s="1" t="str">
        <f>VLOOKUP(A334,Participanti!A:B,2,0)</f>
        <v>M</v>
      </c>
      <c r="C334" s="74">
        <v>4</v>
      </c>
      <c r="D334" s="50">
        <v>21.04</v>
      </c>
      <c r="E334" s="51">
        <v>0.1040625</v>
      </c>
      <c r="F334" s="51">
        <v>0.11445601851851851</v>
      </c>
      <c r="G334" s="69">
        <f t="shared" si="140"/>
        <v>0.10925925925925925</v>
      </c>
      <c r="H334" s="52">
        <v>741</v>
      </c>
      <c r="I334" s="12">
        <f t="shared" si="141"/>
        <v>5.1929305731587098E-3</v>
      </c>
      <c r="J334" s="37">
        <f t="shared" si="142"/>
        <v>5</v>
      </c>
      <c r="K334" s="37">
        <f>IF(J334=0,0,IF(B334="F",VLOOKUP(I334,Barem!$G$2:$H$16,2,1),VLOOKUP(I334,Barem!$G$17:$H$31,2,1)))</f>
        <v>0.25</v>
      </c>
      <c r="L334" s="50">
        <v>2.5</v>
      </c>
      <c r="M334" s="124" t="s">
        <v>106</v>
      </c>
      <c r="N334" s="10">
        <f t="shared" si="139"/>
        <v>0.5</v>
      </c>
      <c r="O334" s="10">
        <f t="shared" si="139"/>
        <v>0.25</v>
      </c>
      <c r="P334" s="10">
        <f t="shared" si="139"/>
        <v>0.25</v>
      </c>
      <c r="Q334" s="40">
        <f t="shared" si="143"/>
        <v>0.49399999999999999</v>
      </c>
      <c r="R334" s="21">
        <f>IF(D334&gt;21,VLOOKUP(D334,Barem!$T$1:$U$141,2,1),0)</f>
        <v>0</v>
      </c>
      <c r="S334" s="152">
        <f>IF(D334&lt;1.609,0,IF(B334="F",VLOOKUP(I334,Barem!$X$2:$Z$13,2,1),VLOOKUP(I334,Barem!$X$14:$Z$25,2,1)))</f>
        <v>0</v>
      </c>
      <c r="T334" s="21">
        <f>VLOOKUP(A334,Participanti!A:C,3,0)</f>
        <v>0</v>
      </c>
      <c r="U334" s="18">
        <f t="shared" si="144"/>
        <v>3.6814999999999998</v>
      </c>
      <c r="V334" s="58" t="s">
        <v>405</v>
      </c>
      <c r="W334" s="77">
        <f t="shared" si="146"/>
        <v>1</v>
      </c>
      <c r="X334" s="1" t="e">
        <f>VLOOKUP(A334,Data_Echipe!A:R,18,0)</f>
        <v>#N/A</v>
      </c>
      <c r="Z334" s="115">
        <f t="shared" si="145"/>
        <v>1</v>
      </c>
    </row>
    <row r="335" spans="1:26" x14ac:dyDescent="0.3">
      <c r="A335" s="49" t="s">
        <v>242</v>
      </c>
      <c r="B335" s="1" t="str">
        <f>VLOOKUP(A335,Participanti!A:B,2,0)</f>
        <v>M</v>
      </c>
      <c r="C335" s="74">
        <v>4</v>
      </c>
      <c r="D335" s="50">
        <v>6.13</v>
      </c>
      <c r="E335" s="51">
        <v>2.4328703703703703E-2</v>
      </c>
      <c r="F335" s="51">
        <v>2.4432870370370369E-2</v>
      </c>
      <c r="G335" s="69">
        <f t="shared" si="140"/>
        <v>2.4380787037037034E-2</v>
      </c>
      <c r="H335" s="52"/>
      <c r="I335" s="12">
        <f t="shared" si="141"/>
        <v>3.9772898918494348E-3</v>
      </c>
      <c r="J335" s="37">
        <f t="shared" si="142"/>
        <v>1.4595238095238094</v>
      </c>
      <c r="K335" s="37">
        <f>IF(J335=0,0,IF(B335="F",VLOOKUP(I335,Barem!$G$2:$H$16,2,1),VLOOKUP(I335,Barem!$G$17:$H$31,2,1)))</f>
        <v>1.75</v>
      </c>
      <c r="L335" s="50">
        <v>1</v>
      </c>
      <c r="M335" s="124" t="s">
        <v>106</v>
      </c>
      <c r="N335" s="10">
        <f t="shared" si="139"/>
        <v>0.5</v>
      </c>
      <c r="O335" s="10">
        <f t="shared" si="139"/>
        <v>0.25</v>
      </c>
      <c r="P335" s="10">
        <f t="shared" si="139"/>
        <v>0.25</v>
      </c>
      <c r="Q335" s="40">
        <f t="shared" si="143"/>
        <v>0</v>
      </c>
      <c r="R335" s="21">
        <f>IF(D335&gt;21,VLOOKUP(D335,Barem!$T$1:$U$141,2,1),0)</f>
        <v>0</v>
      </c>
      <c r="S335" s="152">
        <f>IF(D335&lt;1.609,0,IF(B335="F",VLOOKUP(I335,Barem!$X$2:$Z$13,2,1),VLOOKUP(I335,Barem!$X$14:$Z$25,2,1)))</f>
        <v>0</v>
      </c>
      <c r="T335" s="21">
        <f>VLOOKUP(A335,Participanti!A:C,3,0)</f>
        <v>0</v>
      </c>
      <c r="U335" s="18">
        <f t="shared" si="144"/>
        <v>1.4172619047619048</v>
      </c>
      <c r="V335" s="58" t="s">
        <v>405</v>
      </c>
      <c r="W335" s="77">
        <f t="shared" si="146"/>
        <v>1</v>
      </c>
      <c r="X335" s="1" t="e">
        <f>VLOOKUP(A335,Data_Echipe!A:R,18,0)</f>
        <v>#N/A</v>
      </c>
      <c r="Z335" s="115">
        <f t="shared" si="145"/>
        <v>1</v>
      </c>
    </row>
    <row r="336" spans="1:26" x14ac:dyDescent="0.3">
      <c r="A336" s="49" t="s">
        <v>279</v>
      </c>
      <c r="B336" s="1" t="str">
        <f>VLOOKUP(A336,Participanti!A:B,2,0)</f>
        <v>M</v>
      </c>
      <c r="C336" s="74">
        <v>4</v>
      </c>
      <c r="D336" s="50">
        <v>16.010000000000002</v>
      </c>
      <c r="E336" s="51">
        <v>4.4664351851851851E-2</v>
      </c>
      <c r="F336" s="51">
        <v>4.7731481481481486E-2</v>
      </c>
      <c r="G336" s="69">
        <f t="shared" si="140"/>
        <v>4.6197916666666672E-2</v>
      </c>
      <c r="H336" s="52">
        <v>106</v>
      </c>
      <c r="I336" s="12">
        <f t="shared" si="141"/>
        <v>2.8855663127212161E-3</v>
      </c>
      <c r="J336" s="37">
        <f t="shared" si="142"/>
        <v>3.8119047619047621</v>
      </c>
      <c r="K336" s="37">
        <f>IF(J336=0,0,IF(B336="F",VLOOKUP(I336,Barem!$G$2:$H$16,2,1),VLOOKUP(I336,Barem!$G$17:$H$31,2,1)))</f>
        <v>4.5</v>
      </c>
      <c r="L336" s="50">
        <v>2</v>
      </c>
      <c r="M336" s="124" t="s">
        <v>107</v>
      </c>
      <c r="N336" s="10">
        <f t="shared" si="139"/>
        <v>0.25</v>
      </c>
      <c r="O336" s="10">
        <f t="shared" si="139"/>
        <v>0.5</v>
      </c>
      <c r="P336" s="10">
        <f t="shared" si="139"/>
        <v>0.25</v>
      </c>
      <c r="Q336" s="40">
        <f t="shared" si="143"/>
        <v>7.0666666666666669E-2</v>
      </c>
      <c r="R336" s="21">
        <f>IF(D336&gt;21,VLOOKUP(D336,Barem!$T$1:$U$141,2,1),0)</f>
        <v>0</v>
      </c>
      <c r="S336" s="152">
        <f>IF(D336&lt;1.609,0,IF(B336="F",VLOOKUP(I336,Barem!$X$2:$Z$13,2,1),VLOOKUP(I336,Barem!$X$14:$Z$25,2,1)))</f>
        <v>0</v>
      </c>
      <c r="T336" s="21">
        <f>VLOOKUP(A336,Participanti!A:C,3,0)</f>
        <v>0</v>
      </c>
      <c r="U336" s="18">
        <f t="shared" si="144"/>
        <v>3.7736428571428573</v>
      </c>
      <c r="V336" s="58" t="s">
        <v>405</v>
      </c>
      <c r="W336" s="77">
        <f t="shared" si="146"/>
        <v>1</v>
      </c>
      <c r="X336" s="1" t="str">
        <f>VLOOKUP(A336,Data_Echipe!A:R,18,0)</f>
        <v>Almost Kenyan Runners</v>
      </c>
      <c r="Z336" s="115">
        <f t="shared" si="145"/>
        <v>1</v>
      </c>
    </row>
    <row r="337" spans="1:26" x14ac:dyDescent="0.3">
      <c r="A337" s="49" t="s">
        <v>347</v>
      </c>
      <c r="B337" s="1" t="str">
        <f>VLOOKUP(A337,Participanti!A:B,2,0)</f>
        <v>F</v>
      </c>
      <c r="C337" s="74">
        <v>4</v>
      </c>
      <c r="D337" s="50">
        <v>16.14</v>
      </c>
      <c r="E337" s="51">
        <v>6.8715277777777778E-2</v>
      </c>
      <c r="F337" s="51">
        <v>7.5995370370370366E-2</v>
      </c>
      <c r="G337" s="69">
        <f t="shared" si="140"/>
        <v>7.2355324074074079E-2</v>
      </c>
      <c r="H337" s="52">
        <v>204</v>
      </c>
      <c r="I337" s="12">
        <f t="shared" si="141"/>
        <v>4.4829816650603519E-3</v>
      </c>
      <c r="J337" s="37">
        <f t="shared" si="142"/>
        <v>4.0350000000000001</v>
      </c>
      <c r="K337" s="37">
        <f>IF(J337=0,0,IF(B337="F",VLOOKUP(I337,Barem!$G$2:$H$16,2,1),VLOOKUP(I337,Barem!$G$17:$H$31,2,1)))</f>
        <v>1.5</v>
      </c>
      <c r="L337" s="50">
        <v>1.75</v>
      </c>
      <c r="M337" s="124" t="s">
        <v>106</v>
      </c>
      <c r="N337" s="10">
        <f t="shared" si="139"/>
        <v>0.5</v>
      </c>
      <c r="O337" s="10">
        <f t="shared" si="139"/>
        <v>0.25</v>
      </c>
      <c r="P337" s="10">
        <f t="shared" si="139"/>
        <v>0.25</v>
      </c>
      <c r="Q337" s="40">
        <f t="shared" si="143"/>
        <v>0.13600000000000001</v>
      </c>
      <c r="R337" s="21">
        <f>IF(D337&gt;21,VLOOKUP(D337,Barem!$T$1:$U$141,2,1),0)</f>
        <v>0</v>
      </c>
      <c r="S337" s="152">
        <f>IF(D337&lt;1.609,0,IF(B337="F",VLOOKUP(I337,Barem!$X$2:$Z$13,2,1),VLOOKUP(I337,Barem!$X$14:$Z$25,2,1)))</f>
        <v>0</v>
      </c>
      <c r="T337" s="21">
        <f>VLOOKUP(A337,Participanti!A:C,3,0)</f>
        <v>0</v>
      </c>
      <c r="U337" s="18">
        <f t="shared" si="144"/>
        <v>2.9660000000000002</v>
      </c>
      <c r="V337" s="58" t="s">
        <v>405</v>
      </c>
      <c r="W337" s="77">
        <f t="shared" si="146"/>
        <v>1</v>
      </c>
      <c r="X337" s="1" t="str">
        <f>VLOOKUP(A337,Data_Echipe!A:R,18,0)</f>
        <v>MedgidiaRunning</v>
      </c>
      <c r="Z337" s="115">
        <f t="shared" si="145"/>
        <v>1</v>
      </c>
    </row>
    <row r="338" spans="1:26" x14ac:dyDescent="0.3">
      <c r="A338" s="49" t="s">
        <v>354</v>
      </c>
      <c r="B338" s="1" t="str">
        <f>VLOOKUP(A338,Participanti!A:B,2,0)</f>
        <v>M</v>
      </c>
      <c r="C338" s="74">
        <v>4</v>
      </c>
      <c r="D338" s="50">
        <v>5.01</v>
      </c>
      <c r="E338" s="51">
        <v>2.224537037037037E-2</v>
      </c>
      <c r="F338" s="51">
        <v>2.2280092592592591E-2</v>
      </c>
      <c r="G338" s="69">
        <f t="shared" si="140"/>
        <v>2.2262731481481481E-2</v>
      </c>
      <c r="H338" s="52"/>
      <c r="I338" s="12">
        <f t="shared" si="141"/>
        <v>4.4436589783396173E-3</v>
      </c>
      <c r="J338" s="37">
        <f t="shared" si="142"/>
        <v>1.1928571428571428</v>
      </c>
      <c r="K338" s="37">
        <f>IF(J338=0,0,IF(B338="F",VLOOKUP(I338,Barem!$G$2:$H$16,2,1),VLOOKUP(I338,Barem!$G$17:$H$31,2,1)))</f>
        <v>1</v>
      </c>
      <c r="L338" s="50">
        <v>1</v>
      </c>
      <c r="M338" s="124" t="s">
        <v>106</v>
      </c>
      <c r="N338" s="10">
        <f t="shared" si="139"/>
        <v>0.5</v>
      </c>
      <c r="O338" s="10">
        <f t="shared" si="139"/>
        <v>0.25</v>
      </c>
      <c r="P338" s="10">
        <f t="shared" si="139"/>
        <v>0.25</v>
      </c>
      <c r="Q338" s="40">
        <f t="shared" si="143"/>
        <v>0</v>
      </c>
      <c r="R338" s="21">
        <f>IF(D338&gt;21,VLOOKUP(D338,Barem!$T$1:$U$141,2,1),0)</f>
        <v>0</v>
      </c>
      <c r="S338" s="152">
        <f>IF(D338&lt;1.609,0,IF(B338="F",VLOOKUP(I338,Barem!$X$2:$Z$13,2,1),VLOOKUP(I338,Barem!$X$14:$Z$25,2,1)))</f>
        <v>0</v>
      </c>
      <c r="T338" s="21">
        <f>VLOOKUP(A338,Participanti!A:C,3,0)</f>
        <v>0</v>
      </c>
      <c r="U338" s="18">
        <f t="shared" si="144"/>
        <v>1.0964285714285715</v>
      </c>
      <c r="V338" s="58" t="s">
        <v>405</v>
      </c>
      <c r="W338" s="77">
        <f t="shared" si="146"/>
        <v>1</v>
      </c>
      <c r="X338" s="1" t="e">
        <f>VLOOKUP(A338,Data_Echipe!A:R,18,0)</f>
        <v>#N/A</v>
      </c>
      <c r="Z338" s="115">
        <f t="shared" si="145"/>
        <v>1</v>
      </c>
    </row>
    <row r="339" spans="1:26" x14ac:dyDescent="0.3">
      <c r="A339" s="49" t="s">
        <v>293</v>
      </c>
      <c r="B339" s="1" t="str">
        <f>VLOOKUP(A339,Participanti!A:B,2,0)</f>
        <v>M</v>
      </c>
      <c r="C339" s="74">
        <v>4</v>
      </c>
      <c r="D339" s="50">
        <v>25.09</v>
      </c>
      <c r="E339" s="51">
        <v>9.706018518518518E-2</v>
      </c>
      <c r="F339" s="51">
        <v>9.7731481481481475E-2</v>
      </c>
      <c r="G339" s="69">
        <f t="shared" si="140"/>
        <v>9.739583333333332E-2</v>
      </c>
      <c r="H339" s="52">
        <v>132</v>
      </c>
      <c r="I339" s="12">
        <f t="shared" si="141"/>
        <v>3.8818586422213362E-3</v>
      </c>
      <c r="J339" s="37">
        <f t="shared" si="142"/>
        <v>5</v>
      </c>
      <c r="K339" s="37">
        <f>IF(J339=0,0,IF(B339="F",VLOOKUP(I339,Barem!$G$2:$H$16,2,1),VLOOKUP(I339,Barem!$G$17:$H$31,2,1)))</f>
        <v>1.75</v>
      </c>
      <c r="L339" s="50">
        <v>1</v>
      </c>
      <c r="M339" s="124" t="s">
        <v>106</v>
      </c>
      <c r="N339" s="10">
        <f t="shared" si="139"/>
        <v>0.5</v>
      </c>
      <c r="O339" s="10">
        <f t="shared" si="139"/>
        <v>0.25</v>
      </c>
      <c r="P339" s="10">
        <f t="shared" si="139"/>
        <v>0.25</v>
      </c>
      <c r="Q339" s="40">
        <f t="shared" si="143"/>
        <v>8.7999999999999995E-2</v>
      </c>
      <c r="R339" s="21">
        <f>IF(D339&gt;21,VLOOKUP(D339,Barem!$T$1:$U$141,2,1),0)</f>
        <v>0.2</v>
      </c>
      <c r="S339" s="152">
        <f>IF(D339&lt;1.609,0,IF(B339="F",VLOOKUP(I339,Barem!$X$2:$Z$13,2,1),VLOOKUP(I339,Barem!$X$14:$Z$25,2,1)))</f>
        <v>0</v>
      </c>
      <c r="T339" s="21">
        <f>VLOOKUP(A339,Participanti!A:C,3,0)</f>
        <v>0</v>
      </c>
      <c r="U339" s="18">
        <f t="shared" si="144"/>
        <v>3.4755000000000003</v>
      </c>
      <c r="V339" s="58" t="s">
        <v>405</v>
      </c>
      <c r="W339" s="77">
        <f t="shared" si="146"/>
        <v>1</v>
      </c>
      <c r="X339" s="1" t="str">
        <f>VLOOKUP(A339,Data_Echipe!A:R,18,0)</f>
        <v>UltraHaita lu' Borcan</v>
      </c>
      <c r="Z339" s="115">
        <f t="shared" si="145"/>
        <v>1</v>
      </c>
    </row>
    <row r="340" spans="1:26" x14ac:dyDescent="0.3">
      <c r="A340" s="49" t="s">
        <v>108</v>
      </c>
      <c r="B340" s="1" t="str">
        <f>VLOOKUP(A340,Participanti!A:B,2,0)</f>
        <v>M</v>
      </c>
      <c r="C340" s="74">
        <v>4</v>
      </c>
      <c r="D340" s="50">
        <v>12.5</v>
      </c>
      <c r="E340" s="51">
        <v>4.0625000000000001E-2</v>
      </c>
      <c r="F340" s="51">
        <v>4.0625000000000001E-2</v>
      </c>
      <c r="G340" s="69">
        <f t="shared" si="140"/>
        <v>4.0625000000000001E-2</v>
      </c>
      <c r="H340" s="52"/>
      <c r="I340" s="12">
        <f t="shared" si="141"/>
        <v>3.2500000000000003E-3</v>
      </c>
      <c r="J340" s="37">
        <f t="shared" si="142"/>
        <v>2.9761904761904763</v>
      </c>
      <c r="K340" s="37">
        <f>IF(J340=0,0,IF(B340="F",VLOOKUP(I340,Barem!$G$2:$H$16,2,1),VLOOKUP(I340,Barem!$G$17:$H$31,2,1)))</f>
        <v>3.5</v>
      </c>
      <c r="L340" s="50">
        <v>2.75</v>
      </c>
      <c r="M340" s="124" t="s">
        <v>107</v>
      </c>
      <c r="N340" s="10">
        <f t="shared" ref="N340:P379" si="147">IF($M340=N$1,50%,25%)</f>
        <v>0.25</v>
      </c>
      <c r="O340" s="10">
        <f t="shared" si="147"/>
        <v>0.5</v>
      </c>
      <c r="P340" s="10">
        <f t="shared" si="147"/>
        <v>0.25</v>
      </c>
      <c r="Q340" s="40">
        <f t="shared" si="143"/>
        <v>0</v>
      </c>
      <c r="R340" s="21">
        <f>IF(D340&gt;21,VLOOKUP(D340,Barem!$T$1:$U$141,2,1),0)</f>
        <v>0</v>
      </c>
      <c r="S340" s="152">
        <f>IF(D340&lt;1.609,0,IF(B340="F",VLOOKUP(I340,Barem!$X$2:$Z$13,2,1),VLOOKUP(I340,Barem!$X$14:$Z$25,2,1)))</f>
        <v>0</v>
      </c>
      <c r="T340" s="21">
        <f>VLOOKUP(A340,Participanti!A:C,3,0)</f>
        <v>0</v>
      </c>
      <c r="U340" s="18">
        <f t="shared" si="144"/>
        <v>3.1815476190476191</v>
      </c>
      <c r="V340" s="58" t="s">
        <v>405</v>
      </c>
      <c r="W340" s="77">
        <f t="shared" si="146"/>
        <v>1</v>
      </c>
      <c r="X340" s="1" t="str">
        <f>VLOOKUP(A340,Data_Echipe!A:R,18,0)</f>
        <v>UltraHaita lu' Borcan</v>
      </c>
      <c r="Z340" s="115">
        <f t="shared" si="145"/>
        <v>1</v>
      </c>
    </row>
    <row r="341" spans="1:26" x14ac:dyDescent="0.3">
      <c r="A341" s="49" t="s">
        <v>333</v>
      </c>
      <c r="B341" s="1" t="str">
        <f>VLOOKUP(A341,Participanti!A:B,2,0)</f>
        <v>M</v>
      </c>
      <c r="C341" s="74">
        <v>4</v>
      </c>
      <c r="D341" s="50">
        <v>11.44</v>
      </c>
      <c r="E341" s="51">
        <v>4.476851851851852E-2</v>
      </c>
      <c r="F341" s="51">
        <v>4.5069444444444447E-2</v>
      </c>
      <c r="G341" s="69">
        <f t="shared" si="140"/>
        <v>4.4918981481481483E-2</v>
      </c>
      <c r="H341" s="52"/>
      <c r="I341" s="12">
        <f t="shared" si="141"/>
        <v>3.9264843952343956E-3</v>
      </c>
      <c r="J341" s="37">
        <f t="shared" si="142"/>
        <v>2.7238095238095235</v>
      </c>
      <c r="K341" s="37">
        <f>IF(J341=0,0,IF(B341="F",VLOOKUP(I341,Barem!$G$2:$H$16,2,1),VLOOKUP(I341,Barem!$G$17:$H$31,2,1)))</f>
        <v>1.75</v>
      </c>
      <c r="L341" s="50">
        <v>2.25</v>
      </c>
      <c r="M341" s="124" t="s">
        <v>106</v>
      </c>
      <c r="N341" s="10">
        <f t="shared" si="147"/>
        <v>0.5</v>
      </c>
      <c r="O341" s="10">
        <f t="shared" si="147"/>
        <v>0.25</v>
      </c>
      <c r="P341" s="10">
        <f t="shared" si="147"/>
        <v>0.25</v>
      </c>
      <c r="Q341" s="40">
        <f t="shared" si="143"/>
        <v>0</v>
      </c>
      <c r="R341" s="21">
        <f>IF(D341&gt;21,VLOOKUP(D341,Barem!$T$1:$U$141,2,1),0)</f>
        <v>0</v>
      </c>
      <c r="S341" s="152">
        <f>IF(D341&lt;1.609,0,IF(B341="F",VLOOKUP(I341,Barem!$X$2:$Z$13,2,1),VLOOKUP(I341,Barem!$X$14:$Z$25,2,1)))</f>
        <v>0</v>
      </c>
      <c r="T341" s="21">
        <f>VLOOKUP(A341,Participanti!A:C,3,0)</f>
        <v>0</v>
      </c>
      <c r="U341" s="18">
        <f t="shared" si="144"/>
        <v>2.3619047619047615</v>
      </c>
      <c r="V341" s="58" t="s">
        <v>405</v>
      </c>
      <c r="W341" s="77">
        <f t="shared" si="146"/>
        <v>1</v>
      </c>
      <c r="X341" s="1" t="str">
        <f>VLOOKUP(A341,Data_Echipe!A:R,18,0)</f>
        <v>UltraHaita lu' Borcan</v>
      </c>
      <c r="Z341" s="115">
        <f t="shared" si="145"/>
        <v>1</v>
      </c>
    </row>
    <row r="342" spans="1:26" x14ac:dyDescent="0.3">
      <c r="A342" s="49" t="s">
        <v>292</v>
      </c>
      <c r="B342" s="1" t="str">
        <f>VLOOKUP(A342,Participanti!A:B,2,0)</f>
        <v>F</v>
      </c>
      <c r="C342" s="74">
        <v>4</v>
      </c>
      <c r="D342" s="50">
        <v>11.06</v>
      </c>
      <c r="E342" s="51">
        <v>6.5451388888888892E-2</v>
      </c>
      <c r="F342" s="51">
        <v>7.5289351851851857E-2</v>
      </c>
      <c r="G342" s="69">
        <f t="shared" si="140"/>
        <v>7.0370370370370375E-2</v>
      </c>
      <c r="H342" s="52">
        <v>438</v>
      </c>
      <c r="I342" s="12">
        <f t="shared" si="141"/>
        <v>6.3626012993101598E-3</v>
      </c>
      <c r="J342" s="37">
        <f t="shared" si="142"/>
        <v>2.7650000000000001</v>
      </c>
      <c r="K342" s="37">
        <f>IF(J342=0,0,IF(B342="F",VLOOKUP(I342,Barem!$G$2:$H$16,2,1),VLOOKUP(I342,Barem!$G$17:$H$31,2,1)))</f>
        <v>0</v>
      </c>
      <c r="L342" s="50">
        <v>0.5</v>
      </c>
      <c r="M342" s="124" t="s">
        <v>106</v>
      </c>
      <c r="N342" s="10">
        <f t="shared" si="147"/>
        <v>0.5</v>
      </c>
      <c r="O342" s="10">
        <f t="shared" si="147"/>
        <v>0.25</v>
      </c>
      <c r="P342" s="10">
        <f t="shared" si="147"/>
        <v>0.25</v>
      </c>
      <c r="Q342" s="40">
        <f t="shared" si="143"/>
        <v>0.29199999999999998</v>
      </c>
      <c r="R342" s="21">
        <f>IF(D342&gt;21,VLOOKUP(D342,Barem!$T$1:$U$141,2,1),0)</f>
        <v>0</v>
      </c>
      <c r="S342" s="152">
        <f>IF(D342&lt;1.609,0,IF(B342="F",VLOOKUP(I342,Barem!$X$2:$Z$13,2,1),VLOOKUP(I342,Barem!$X$14:$Z$25,2,1)))</f>
        <v>0</v>
      </c>
      <c r="T342" s="21">
        <f>VLOOKUP(A342,Participanti!A:C,3,0)</f>
        <v>0</v>
      </c>
      <c r="U342" s="18">
        <f t="shared" si="144"/>
        <v>1.7995000000000001</v>
      </c>
      <c r="V342" s="58" t="s">
        <v>405</v>
      </c>
      <c r="W342" s="77">
        <f t="shared" si="146"/>
        <v>1</v>
      </c>
      <c r="X342" s="1" t="e">
        <f>VLOOKUP(A342,Data_Echipe!A:R,18,0)</f>
        <v>#N/A</v>
      </c>
      <c r="Z342" s="115">
        <f t="shared" si="145"/>
        <v>0</v>
      </c>
    </row>
    <row r="343" spans="1:26" x14ac:dyDescent="0.3">
      <c r="A343" s="49" t="s">
        <v>41</v>
      </c>
      <c r="B343" s="1" t="str">
        <f>VLOOKUP(A343,Participanti!A:B,2,0)</f>
        <v>M</v>
      </c>
      <c r="C343" s="74">
        <v>4</v>
      </c>
      <c r="D343" s="50">
        <v>6.01</v>
      </c>
      <c r="E343" s="51">
        <v>2.0590277777777777E-2</v>
      </c>
      <c r="F343" s="51">
        <v>2.0590277777777777E-2</v>
      </c>
      <c r="G343" s="69">
        <f t="shared" si="140"/>
        <v>2.0590277777777777E-2</v>
      </c>
      <c r="H343" s="52"/>
      <c r="I343" s="12">
        <f t="shared" si="141"/>
        <v>3.4260029580329083E-3</v>
      </c>
      <c r="J343" s="37">
        <f t="shared" si="142"/>
        <v>1.4309523809523808</v>
      </c>
      <c r="K343" s="37">
        <f>IF(J343=0,0,IF(B343="F",VLOOKUP(I343,Barem!$G$2:$H$16,2,1),VLOOKUP(I343,Barem!$G$17:$H$31,2,1)))</f>
        <v>3</v>
      </c>
      <c r="L343" s="50">
        <v>0.5</v>
      </c>
      <c r="M343" s="124" t="s">
        <v>106</v>
      </c>
      <c r="N343" s="10">
        <f t="shared" si="147"/>
        <v>0.5</v>
      </c>
      <c r="O343" s="10">
        <f t="shared" si="147"/>
        <v>0.25</v>
      </c>
      <c r="P343" s="10">
        <f t="shared" si="147"/>
        <v>0.25</v>
      </c>
      <c r="Q343" s="40">
        <f t="shared" si="143"/>
        <v>0</v>
      </c>
      <c r="R343" s="21">
        <f>IF(D343&gt;21,VLOOKUP(D343,Barem!$T$1:$U$141,2,1),0)</f>
        <v>0</v>
      </c>
      <c r="S343" s="152">
        <f>IF(D343&lt;1.609,0,IF(B343="F",VLOOKUP(I343,Barem!$X$2:$Z$13,2,1),VLOOKUP(I343,Barem!$X$14:$Z$25,2,1)))</f>
        <v>0</v>
      </c>
      <c r="T343" s="21">
        <f>VLOOKUP(A343,Participanti!A:C,3,0)</f>
        <v>0</v>
      </c>
      <c r="U343" s="18">
        <f t="shared" si="144"/>
        <v>1.5904761904761904</v>
      </c>
      <c r="V343" s="58" t="s">
        <v>405</v>
      </c>
      <c r="W343" s="77">
        <f t="shared" si="146"/>
        <v>1</v>
      </c>
      <c r="X343" s="1" t="str">
        <f>VLOOKUP(A343,Data_Echipe!A:R,18,0)</f>
        <v>Almost Kenyan Runners</v>
      </c>
      <c r="Z343" s="115">
        <f t="shared" si="145"/>
        <v>1</v>
      </c>
    </row>
    <row r="344" spans="1:26" x14ac:dyDescent="0.3">
      <c r="A344" s="132" t="s">
        <v>369</v>
      </c>
      <c r="B344" s="133" t="str">
        <f>VLOOKUP(A344,Participanti!A:B,2,0)</f>
        <v>M</v>
      </c>
      <c r="C344" s="134">
        <v>4</v>
      </c>
      <c r="D344" s="135">
        <v>0</v>
      </c>
      <c r="E344" s="136">
        <v>0</v>
      </c>
      <c r="F344" s="136">
        <v>0</v>
      </c>
      <c r="G344" s="137">
        <f t="shared" si="140"/>
        <v>0</v>
      </c>
      <c r="H344" s="138"/>
      <c r="I344" s="139">
        <v>0</v>
      </c>
      <c r="J344" s="140">
        <f t="shared" si="142"/>
        <v>0</v>
      </c>
      <c r="K344" s="140">
        <f>IF(J344=0,0,IF(B344="F",VLOOKUP(I344,Barem!$G$2:$H$16,2,1),VLOOKUP(I344,Barem!$G$17:$H$31,2,1)))</f>
        <v>0</v>
      </c>
      <c r="L344" s="135">
        <v>0</v>
      </c>
      <c r="M344" s="141" t="s">
        <v>459</v>
      </c>
      <c r="N344" s="142">
        <f t="shared" si="147"/>
        <v>0.25</v>
      </c>
      <c r="O344" s="142">
        <f t="shared" si="147"/>
        <v>0.25</v>
      </c>
      <c r="P344" s="142">
        <f t="shared" si="147"/>
        <v>0.25</v>
      </c>
      <c r="Q344" s="143">
        <f t="shared" si="143"/>
        <v>0</v>
      </c>
      <c r="R344" s="144">
        <f>IF(D344&gt;21,VLOOKUP(D344,Barem!$T$1:$U$141,2,1),0)</f>
        <v>0</v>
      </c>
      <c r="S344" s="152">
        <f>IF(D344&lt;1.609,0,IF(B344="F",VLOOKUP(I344,Barem!$X$2:$Z$13,2,1),VLOOKUP(I344,Barem!$X$14:$Z$25,2,1)))</f>
        <v>0</v>
      </c>
      <c r="T344" s="144">
        <f>VLOOKUP(A344,Participanti!A:C,3,0)</f>
        <v>0</v>
      </c>
      <c r="U344" s="143">
        <v>1.5</v>
      </c>
      <c r="V344" s="145" t="s">
        <v>405</v>
      </c>
      <c r="W344" s="146">
        <f t="shared" si="146"/>
        <v>1</v>
      </c>
      <c r="X344" s="133" t="str">
        <f>VLOOKUP(A344,Data_Echipe!A:R,18,0)</f>
        <v>MedgidiaRunning</v>
      </c>
      <c r="Y344" s="133"/>
      <c r="Z344" s="147">
        <f t="shared" si="145"/>
        <v>0</v>
      </c>
    </row>
    <row r="345" spans="1:26" x14ac:dyDescent="0.3">
      <c r="A345" s="49" t="s">
        <v>383</v>
      </c>
      <c r="B345" s="1" t="str">
        <f>VLOOKUP(A345,Participanti!A:B,2,0)</f>
        <v>F</v>
      </c>
      <c r="C345" s="74">
        <v>4</v>
      </c>
      <c r="D345" s="50">
        <v>9</v>
      </c>
      <c r="E345" s="51">
        <v>4.0694444444444443E-2</v>
      </c>
      <c r="F345" s="51">
        <v>5.876157407407407E-2</v>
      </c>
      <c r="G345" s="69">
        <f t="shared" ref="G345:G378" si="148">AVERAGE(E345:F345)</f>
        <v>4.9728009259259257E-2</v>
      </c>
      <c r="H345" s="52"/>
      <c r="I345" s="12">
        <f t="shared" ref="I345:I378" si="149">G345/D345</f>
        <v>5.5253343621399177E-3</v>
      </c>
      <c r="J345" s="37">
        <f t="shared" ref="J345:J378" si="150">IF(B345="F",IF(D345&lt;2.5,0,IF(D345&gt;19.99,5,D345/4)),IF(D345&lt;3,0, IF(D345&gt;20.99,5,D345/4.2)))</f>
        <v>2.25</v>
      </c>
      <c r="K345" s="37">
        <f>IF(J345=0,0,IF(B345="F",VLOOKUP(I345,Barem!$G$2:$H$16,2,1),VLOOKUP(I345,Barem!$G$17:$H$31,2,1)))</f>
        <v>0.25</v>
      </c>
      <c r="L345" s="50">
        <v>1.25</v>
      </c>
      <c r="M345" s="124" t="s">
        <v>106</v>
      </c>
      <c r="N345" s="10">
        <f t="shared" si="147"/>
        <v>0.5</v>
      </c>
      <c r="O345" s="10">
        <f t="shared" si="147"/>
        <v>0.25</v>
      </c>
      <c r="P345" s="10">
        <f t="shared" si="147"/>
        <v>0.25</v>
      </c>
      <c r="Q345" s="40">
        <f t="shared" ref="Q345:Q378" si="151">IF(H345&gt;49,H345/1500,0)</f>
        <v>0</v>
      </c>
      <c r="R345" s="21">
        <f>IF(D345&gt;21,VLOOKUP(D345,Barem!$T$1:$U$141,2,1),0)</f>
        <v>0</v>
      </c>
      <c r="S345" s="152">
        <f>IF(D345&lt;1.609,0,IF(B345="F",VLOOKUP(I345,Barem!$X$2:$Z$13,2,1),VLOOKUP(I345,Barem!$X$14:$Z$25,2,1)))</f>
        <v>0</v>
      </c>
      <c r="T345" s="21">
        <f>VLOOKUP(A345,Participanti!A:C,3,0)</f>
        <v>0</v>
      </c>
      <c r="U345" s="18">
        <f t="shared" ref="U345:U378" si="152">IF(H345&lt;0,0,J345*N345+K345*O345+L345*P345+Q345+R345+S345+T345)</f>
        <v>1.5</v>
      </c>
      <c r="V345" s="58" t="s">
        <v>407</v>
      </c>
      <c r="W345" s="77">
        <f t="shared" si="146"/>
        <v>1</v>
      </c>
      <c r="X345" s="1" t="str">
        <f>VLOOKUP(A345,Data_Echipe!A:R,18,0)</f>
        <v>The GOATs</v>
      </c>
      <c r="Z345" s="115">
        <f t="shared" ref="Z345:Z378" si="153">IF(K345&gt;0,1,0)</f>
        <v>1</v>
      </c>
    </row>
    <row r="346" spans="1:26" x14ac:dyDescent="0.3">
      <c r="A346" s="49" t="s">
        <v>51</v>
      </c>
      <c r="B346" s="1" t="str">
        <f>VLOOKUP(A346,Participanti!A:B,2,0)</f>
        <v>M</v>
      </c>
      <c r="C346" s="74">
        <v>4</v>
      </c>
      <c r="D346" s="50">
        <v>8.2100000000000009</v>
      </c>
      <c r="E346" s="51">
        <v>2.4502314814814814E-2</v>
      </c>
      <c r="F346" s="51">
        <v>2.4502314814814814E-2</v>
      </c>
      <c r="G346" s="69">
        <f t="shared" si="148"/>
        <v>2.4502314814814814E-2</v>
      </c>
      <c r="H346" s="52"/>
      <c r="I346" s="12">
        <f t="shared" si="149"/>
        <v>2.9844476022916943E-3</v>
      </c>
      <c r="J346" s="37">
        <f t="shared" si="150"/>
        <v>1.9547619047619049</v>
      </c>
      <c r="K346" s="37">
        <f>IF(J346=0,0,IF(B346="F",VLOOKUP(I346,Barem!$G$2:$H$16,2,1),VLOOKUP(I346,Barem!$G$17:$H$31,2,1)))</f>
        <v>4</v>
      </c>
      <c r="L346" s="50">
        <v>4</v>
      </c>
      <c r="M346" s="124" t="s">
        <v>107</v>
      </c>
      <c r="N346" s="10">
        <f t="shared" si="147"/>
        <v>0.25</v>
      </c>
      <c r="O346" s="10">
        <f t="shared" si="147"/>
        <v>0.5</v>
      </c>
      <c r="P346" s="10">
        <f t="shared" si="147"/>
        <v>0.25</v>
      </c>
      <c r="Q346" s="40">
        <f t="shared" si="151"/>
        <v>0</v>
      </c>
      <c r="R346" s="21">
        <f>IF(D346&gt;21,VLOOKUP(D346,Barem!$T$1:$U$141,2,1),0)</f>
        <v>0</v>
      </c>
      <c r="S346" s="152">
        <f>IF(D346&lt;1.609,0,IF(B346="F",VLOOKUP(I346,Barem!$X$2:$Z$13,2,1),VLOOKUP(I346,Barem!$X$14:$Z$25,2,1)))</f>
        <v>0</v>
      </c>
      <c r="T346" s="21">
        <f>VLOOKUP(A346,Participanti!A:C,3,0)</f>
        <v>0</v>
      </c>
      <c r="U346" s="18">
        <f t="shared" si="152"/>
        <v>3.4886904761904765</v>
      </c>
      <c r="V346" s="58" t="s">
        <v>407</v>
      </c>
      <c r="W346" s="77">
        <f t="shared" si="146"/>
        <v>1</v>
      </c>
      <c r="X346" s="1" t="str">
        <f>VLOOKUP(A346,Data_Echipe!A:R,18,0)</f>
        <v>The GOATs</v>
      </c>
      <c r="Z346" s="115">
        <f t="shared" si="153"/>
        <v>1</v>
      </c>
    </row>
    <row r="347" spans="1:26" x14ac:dyDescent="0.3">
      <c r="A347" s="49" t="s">
        <v>248</v>
      </c>
      <c r="B347" s="1" t="str">
        <f>VLOOKUP(A347,Participanti!A:B,2,0)</f>
        <v>M</v>
      </c>
      <c r="C347" s="74">
        <v>4</v>
      </c>
      <c r="D347" s="50">
        <v>7</v>
      </c>
      <c r="E347" s="51">
        <v>2.0729166666666667E-2</v>
      </c>
      <c r="F347" s="51">
        <v>2.0810185185185185E-2</v>
      </c>
      <c r="G347" s="69">
        <f t="shared" si="148"/>
        <v>2.0769675925925928E-2</v>
      </c>
      <c r="H347" s="52"/>
      <c r="I347" s="12">
        <f t="shared" si="149"/>
        <v>2.9670965608465613E-3</v>
      </c>
      <c r="J347" s="37">
        <f t="shared" si="150"/>
        <v>1.6666666666666665</v>
      </c>
      <c r="K347" s="37">
        <f>IF(J347=0,0,IF(B347="F",VLOOKUP(I347,Barem!$G$2:$H$16,2,1),VLOOKUP(I347,Barem!$G$17:$H$31,2,1)))</f>
        <v>4</v>
      </c>
      <c r="L347" s="50">
        <v>3.75</v>
      </c>
      <c r="M347" s="124" t="s">
        <v>107</v>
      </c>
      <c r="N347" s="10">
        <f t="shared" si="147"/>
        <v>0.25</v>
      </c>
      <c r="O347" s="10">
        <f t="shared" si="147"/>
        <v>0.5</v>
      </c>
      <c r="P347" s="10">
        <f t="shared" si="147"/>
        <v>0.25</v>
      </c>
      <c r="Q347" s="40">
        <f t="shared" si="151"/>
        <v>0</v>
      </c>
      <c r="R347" s="21">
        <f>IF(D347&gt;21,VLOOKUP(D347,Barem!$T$1:$U$141,2,1),0)</f>
        <v>0</v>
      </c>
      <c r="S347" s="152">
        <f>IF(D347&lt;1.609,0,IF(B347="F",VLOOKUP(I347,Barem!$X$2:$Z$13,2,1),VLOOKUP(I347,Barem!$X$14:$Z$25,2,1)))</f>
        <v>0</v>
      </c>
      <c r="T347" s="21">
        <f>VLOOKUP(A347,Participanti!A:C,3,0)</f>
        <v>0</v>
      </c>
      <c r="U347" s="18">
        <f t="shared" si="152"/>
        <v>3.3541666666666665</v>
      </c>
      <c r="V347" s="58" t="s">
        <v>407</v>
      </c>
      <c r="W347" s="77">
        <f t="shared" si="146"/>
        <v>1</v>
      </c>
      <c r="X347" s="1" t="str">
        <f>VLOOKUP(A347,Data_Echipe!A:R,18,0)</f>
        <v>Almost Kenyan Runners</v>
      </c>
      <c r="Z347" s="115">
        <f t="shared" si="153"/>
        <v>1</v>
      </c>
    </row>
    <row r="348" spans="1:26" x14ac:dyDescent="0.3">
      <c r="A348" s="49" t="s">
        <v>45</v>
      </c>
      <c r="B348" s="1" t="str">
        <f>VLOOKUP(A348,Participanti!A:B,2,0)</f>
        <v>F</v>
      </c>
      <c r="C348" s="74">
        <v>4</v>
      </c>
      <c r="D348" s="50">
        <v>6.5</v>
      </c>
      <c r="E348" s="51">
        <v>2.6782407407407408E-2</v>
      </c>
      <c r="F348" s="51">
        <v>2.9618055555555554E-2</v>
      </c>
      <c r="G348" s="69">
        <f t="shared" si="148"/>
        <v>2.8200231481481479E-2</v>
      </c>
      <c r="H348" s="52"/>
      <c r="I348" s="12">
        <f t="shared" si="149"/>
        <v>4.3384971509971507E-3</v>
      </c>
      <c r="J348" s="37">
        <f t="shared" si="150"/>
        <v>1.625</v>
      </c>
      <c r="K348" s="37">
        <f>IF(J348=0,0,IF(B348="F",VLOOKUP(I348,Barem!$G$2:$H$16,2,1),VLOOKUP(I348,Barem!$G$17:$H$31,2,1)))</f>
        <v>1.75</v>
      </c>
      <c r="L348" s="50">
        <v>4</v>
      </c>
      <c r="M348" s="124" t="s">
        <v>207</v>
      </c>
      <c r="N348" s="10">
        <f t="shared" si="147"/>
        <v>0.25</v>
      </c>
      <c r="O348" s="10">
        <f t="shared" si="147"/>
        <v>0.25</v>
      </c>
      <c r="P348" s="10">
        <f t="shared" si="147"/>
        <v>0.5</v>
      </c>
      <c r="Q348" s="40">
        <f t="shared" si="151"/>
        <v>0</v>
      </c>
      <c r="R348" s="21">
        <f>IF(D348&gt;21,VLOOKUP(D348,Barem!$T$1:$U$141,2,1),0)</f>
        <v>0</v>
      </c>
      <c r="S348" s="152">
        <f>IF(D348&lt;1.609,0,IF(B348="F",VLOOKUP(I348,Barem!$X$2:$Z$13,2,1),VLOOKUP(I348,Barem!$X$14:$Z$25,2,1)))</f>
        <v>0</v>
      </c>
      <c r="T348" s="21">
        <f>VLOOKUP(A348,Participanti!A:C,3,0)</f>
        <v>0</v>
      </c>
      <c r="U348" s="18">
        <f t="shared" si="152"/>
        <v>2.84375</v>
      </c>
      <c r="V348" s="58" t="s">
        <v>407</v>
      </c>
      <c r="W348" s="77">
        <f t="shared" si="146"/>
        <v>1</v>
      </c>
      <c r="X348" s="1" t="e">
        <f>VLOOKUP(A348,Data_Echipe!A:R,18,0)</f>
        <v>#N/A</v>
      </c>
      <c r="Z348" s="115">
        <f t="shared" si="153"/>
        <v>1</v>
      </c>
    </row>
    <row r="349" spans="1:26" x14ac:dyDescent="0.3">
      <c r="A349" s="49" t="s">
        <v>203</v>
      </c>
      <c r="B349" s="1" t="str">
        <f>VLOOKUP(A349,Participanti!A:B,2,0)</f>
        <v>M</v>
      </c>
      <c r="C349" s="74">
        <v>4</v>
      </c>
      <c r="D349" s="50">
        <v>11.33</v>
      </c>
      <c r="E349" s="51">
        <v>3.5914351851851857E-2</v>
      </c>
      <c r="F349" s="51">
        <v>3.7118055555555557E-2</v>
      </c>
      <c r="G349" s="69">
        <f t="shared" si="148"/>
        <v>3.6516203703703703E-2</v>
      </c>
      <c r="H349" s="52"/>
      <c r="I349" s="12">
        <f t="shared" si="149"/>
        <v>3.2229659050047399E-3</v>
      </c>
      <c r="J349" s="37">
        <f t="shared" si="150"/>
        <v>2.6976190476190474</v>
      </c>
      <c r="K349" s="37">
        <f>IF(J349=0,0,IF(B349="F",VLOOKUP(I349,Barem!$G$2:$H$16,2,1),VLOOKUP(I349,Barem!$G$17:$H$31,2,1)))</f>
        <v>3.5</v>
      </c>
      <c r="L349" s="50">
        <v>4</v>
      </c>
      <c r="M349" s="124" t="s">
        <v>107</v>
      </c>
      <c r="N349" s="10">
        <f t="shared" si="147"/>
        <v>0.25</v>
      </c>
      <c r="O349" s="10">
        <f t="shared" si="147"/>
        <v>0.5</v>
      </c>
      <c r="P349" s="10">
        <f t="shared" si="147"/>
        <v>0.25</v>
      </c>
      <c r="Q349" s="40">
        <f t="shared" si="151"/>
        <v>0</v>
      </c>
      <c r="R349" s="21">
        <f>IF(D349&gt;21,VLOOKUP(D349,Barem!$T$1:$U$141,2,1),0)</f>
        <v>0</v>
      </c>
      <c r="S349" s="152">
        <f>IF(D349&lt;1.609,0,IF(B349="F",VLOOKUP(I349,Barem!$X$2:$Z$13,2,1),VLOOKUP(I349,Barem!$X$14:$Z$25,2,1)))</f>
        <v>0</v>
      </c>
      <c r="T349" s="21">
        <f>VLOOKUP(A349,Participanti!A:C,3,0)</f>
        <v>0</v>
      </c>
      <c r="U349" s="18">
        <f t="shared" si="152"/>
        <v>3.424404761904762</v>
      </c>
      <c r="V349" s="58" t="s">
        <v>407</v>
      </c>
      <c r="W349" s="77">
        <f t="shared" si="146"/>
        <v>1</v>
      </c>
      <c r="X349" s="1" t="str">
        <f>VLOOKUP(A349,Data_Echipe!A:R,18,0)</f>
        <v>The GOATs</v>
      </c>
      <c r="Z349" s="115">
        <f t="shared" si="153"/>
        <v>1</v>
      </c>
    </row>
    <row r="350" spans="1:26" x14ac:dyDescent="0.3">
      <c r="A350" s="49" t="s">
        <v>170</v>
      </c>
      <c r="B350" s="1" t="str">
        <f>VLOOKUP(A350,Participanti!A:B,2,0)</f>
        <v>F</v>
      </c>
      <c r="C350" s="74">
        <v>4</v>
      </c>
      <c r="D350" s="50">
        <v>12.77</v>
      </c>
      <c r="E350" s="51">
        <v>4.8657407407407406E-2</v>
      </c>
      <c r="F350" s="51">
        <v>4.87037037037037E-2</v>
      </c>
      <c r="G350" s="69">
        <f t="shared" si="148"/>
        <v>4.8680555555555553E-2</v>
      </c>
      <c r="H350" s="52"/>
      <c r="I350" s="12">
        <f t="shared" si="149"/>
        <v>3.812103019229096E-3</v>
      </c>
      <c r="J350" s="37">
        <f t="shared" si="150"/>
        <v>3.1924999999999999</v>
      </c>
      <c r="K350" s="37">
        <f>IF(J350=0,0,IF(B350="F",VLOOKUP(I350,Barem!$G$2:$H$16,2,1),VLOOKUP(I350,Barem!$G$17:$H$31,2,1)))</f>
        <v>3</v>
      </c>
      <c r="L350" s="50">
        <v>2</v>
      </c>
      <c r="M350" s="124" t="s">
        <v>106</v>
      </c>
      <c r="N350" s="10">
        <f t="shared" si="147"/>
        <v>0.5</v>
      </c>
      <c r="O350" s="10">
        <f t="shared" si="147"/>
        <v>0.25</v>
      </c>
      <c r="P350" s="10">
        <f t="shared" si="147"/>
        <v>0.25</v>
      </c>
      <c r="Q350" s="40">
        <f t="shared" si="151"/>
        <v>0</v>
      </c>
      <c r="R350" s="21">
        <f>IF(D350&gt;21,VLOOKUP(D350,Barem!$T$1:$U$141,2,1),0)</f>
        <v>0</v>
      </c>
      <c r="S350" s="152">
        <f>IF(D350&lt;1.609,0,IF(B350="F",VLOOKUP(I350,Barem!$X$2:$Z$13,2,1),VLOOKUP(I350,Barem!$X$14:$Z$25,2,1)))</f>
        <v>0</v>
      </c>
      <c r="T350" s="21">
        <f>VLOOKUP(A350,Participanti!A:C,3,0)</f>
        <v>0</v>
      </c>
      <c r="U350" s="18">
        <f t="shared" si="152"/>
        <v>2.8462499999999999</v>
      </c>
      <c r="V350" s="58" t="s">
        <v>407</v>
      </c>
      <c r="W350" s="77">
        <f t="shared" si="146"/>
        <v>1</v>
      </c>
      <c r="X350" s="1" t="str">
        <f>VLOOKUP(A350,Data_Echipe!A:R,18,0)</f>
        <v>Almost Kenyan Runners</v>
      </c>
      <c r="Z350" s="115">
        <f t="shared" si="153"/>
        <v>1</v>
      </c>
    </row>
    <row r="351" spans="1:26" x14ac:dyDescent="0.3">
      <c r="A351" s="49" t="s">
        <v>122</v>
      </c>
      <c r="B351" s="1" t="str">
        <f>VLOOKUP(A351,Participanti!A:B,2,0)</f>
        <v>M</v>
      </c>
      <c r="C351" s="74">
        <v>4</v>
      </c>
      <c r="D351" s="50">
        <v>9.25</v>
      </c>
      <c r="E351" s="51">
        <v>3.4166666666666672E-2</v>
      </c>
      <c r="F351" s="51">
        <v>3.4583333333333334E-2</v>
      </c>
      <c r="G351" s="69">
        <f t="shared" si="148"/>
        <v>3.4375000000000003E-2</v>
      </c>
      <c r="H351" s="52"/>
      <c r="I351" s="12">
        <f t="shared" si="149"/>
        <v>3.7162162162162164E-3</v>
      </c>
      <c r="J351" s="37">
        <f t="shared" si="150"/>
        <v>2.2023809523809521</v>
      </c>
      <c r="K351" s="37">
        <f>IF(J351=0,0,IF(B351="F",VLOOKUP(I351,Barem!$G$2:$H$16,2,1),VLOOKUP(I351,Barem!$G$17:$H$31,2,1)))</f>
        <v>2</v>
      </c>
      <c r="L351" s="50">
        <v>2.25</v>
      </c>
      <c r="M351" s="124" t="s">
        <v>106</v>
      </c>
      <c r="N351" s="10">
        <f t="shared" si="147"/>
        <v>0.5</v>
      </c>
      <c r="O351" s="10">
        <f t="shared" si="147"/>
        <v>0.25</v>
      </c>
      <c r="P351" s="10">
        <f t="shared" si="147"/>
        <v>0.25</v>
      </c>
      <c r="Q351" s="40">
        <f t="shared" si="151"/>
        <v>0</v>
      </c>
      <c r="R351" s="21">
        <f>IF(D351&gt;21,VLOOKUP(D351,Barem!$T$1:$U$141,2,1),0)</f>
        <v>0</v>
      </c>
      <c r="S351" s="152">
        <f>IF(D351&lt;1.609,0,IF(B351="F",VLOOKUP(I351,Barem!$X$2:$Z$13,2,1),VLOOKUP(I351,Barem!$X$14:$Z$25,2,1)))</f>
        <v>0</v>
      </c>
      <c r="T351" s="21">
        <f>VLOOKUP(A351,Participanti!A:C,3,0)</f>
        <v>0</v>
      </c>
      <c r="U351" s="18">
        <f t="shared" si="152"/>
        <v>2.1636904761904763</v>
      </c>
      <c r="V351" s="58" t="s">
        <v>407</v>
      </c>
      <c r="W351" s="77">
        <f t="shared" si="146"/>
        <v>1</v>
      </c>
      <c r="X351" s="1" t="str">
        <f>VLOOKUP(A351,Data_Echipe!A:R,18,0)</f>
        <v>#notSYRious</v>
      </c>
      <c r="Z351" s="115">
        <f t="shared" si="153"/>
        <v>1</v>
      </c>
    </row>
    <row r="352" spans="1:26" x14ac:dyDescent="0.3">
      <c r="A352" s="49" t="s">
        <v>373</v>
      </c>
      <c r="B352" s="1" t="str">
        <f>VLOOKUP(A352,Participanti!A:B,2,0)</f>
        <v>F</v>
      </c>
      <c r="C352" s="74">
        <v>4</v>
      </c>
      <c r="D352" s="50">
        <v>6.03</v>
      </c>
      <c r="E352" s="51">
        <v>2.7418981481481485E-2</v>
      </c>
      <c r="F352" s="51">
        <v>3.6979166666666667E-2</v>
      </c>
      <c r="G352" s="69">
        <f t="shared" si="148"/>
        <v>3.2199074074074074E-2</v>
      </c>
      <c r="H352" s="52"/>
      <c r="I352" s="12">
        <f t="shared" si="149"/>
        <v>5.3398132792825993E-3</v>
      </c>
      <c r="J352" s="37">
        <f t="shared" si="150"/>
        <v>1.5075000000000001</v>
      </c>
      <c r="K352" s="37">
        <f>IF(J352=0,0,IF(B352="F",VLOOKUP(I352,Barem!$G$2:$H$16,2,1),VLOOKUP(I352,Barem!$G$17:$H$31,2,1)))</f>
        <v>0.25</v>
      </c>
      <c r="L352" s="50">
        <v>3</v>
      </c>
      <c r="M352" s="124" t="s">
        <v>207</v>
      </c>
      <c r="N352" s="10">
        <f t="shared" si="147"/>
        <v>0.25</v>
      </c>
      <c r="O352" s="10">
        <f t="shared" si="147"/>
        <v>0.25</v>
      </c>
      <c r="P352" s="10">
        <f t="shared" si="147"/>
        <v>0.5</v>
      </c>
      <c r="Q352" s="40">
        <f t="shared" si="151"/>
        <v>0</v>
      </c>
      <c r="R352" s="21">
        <f>IF(D352&gt;21,VLOOKUP(D352,Barem!$T$1:$U$141,2,1),0)</f>
        <v>0</v>
      </c>
      <c r="S352" s="152">
        <f>IF(D352&lt;1.609,0,IF(B352="F",VLOOKUP(I352,Barem!$X$2:$Z$13,2,1),VLOOKUP(I352,Barem!$X$14:$Z$25,2,1)))</f>
        <v>0</v>
      </c>
      <c r="T352" s="21">
        <f>VLOOKUP(A352,Participanti!A:C,3,0)</f>
        <v>0</v>
      </c>
      <c r="U352" s="18">
        <f t="shared" si="152"/>
        <v>1.9393750000000001</v>
      </c>
      <c r="V352" s="58" t="s">
        <v>407</v>
      </c>
      <c r="W352" s="77">
        <f t="shared" si="146"/>
        <v>1</v>
      </c>
      <c r="X352" s="1" t="e">
        <f>VLOOKUP(A352,Data_Echipe!A:R,18,0)</f>
        <v>#N/A</v>
      </c>
      <c r="Z352" s="115">
        <f t="shared" si="153"/>
        <v>1</v>
      </c>
    </row>
    <row r="353" spans="1:26" x14ac:dyDescent="0.3">
      <c r="A353" s="49" t="s">
        <v>374</v>
      </c>
      <c r="B353" s="1" t="str">
        <f>VLOOKUP(A353,Participanti!A:B,2,0)</f>
        <v>M</v>
      </c>
      <c r="C353" s="74">
        <v>4</v>
      </c>
      <c r="D353" s="50">
        <v>23.02</v>
      </c>
      <c r="E353" s="51">
        <v>9.0636574074074064E-2</v>
      </c>
      <c r="F353" s="51">
        <v>9.2500000000000013E-2</v>
      </c>
      <c r="G353" s="69">
        <f t="shared" si="148"/>
        <v>9.1568287037037038E-2</v>
      </c>
      <c r="H353" s="52">
        <v>457</v>
      </c>
      <c r="I353" s="12">
        <f t="shared" si="149"/>
        <v>3.9777709399234163E-3</v>
      </c>
      <c r="J353" s="37">
        <f t="shared" si="150"/>
        <v>5</v>
      </c>
      <c r="K353" s="37">
        <f>IF(J353=0,0,IF(B353="F",VLOOKUP(I353,Barem!$G$2:$H$16,2,1),VLOOKUP(I353,Barem!$G$17:$H$31,2,1)))</f>
        <v>1.75</v>
      </c>
      <c r="L353" s="50">
        <v>1</v>
      </c>
      <c r="M353" s="124" t="s">
        <v>106</v>
      </c>
      <c r="N353" s="10">
        <f t="shared" si="147"/>
        <v>0.5</v>
      </c>
      <c r="O353" s="10">
        <f t="shared" si="147"/>
        <v>0.25</v>
      </c>
      <c r="P353" s="10">
        <f t="shared" si="147"/>
        <v>0.25</v>
      </c>
      <c r="Q353" s="40">
        <f t="shared" si="151"/>
        <v>0.30466666666666664</v>
      </c>
      <c r="R353" s="21">
        <f>IF(D353&gt;21,VLOOKUP(D353,Barem!$T$1:$U$141,2,1),0)</f>
        <v>0.1</v>
      </c>
      <c r="S353" s="152">
        <f>IF(D353&lt;1.609,0,IF(B353="F",VLOOKUP(I353,Barem!$X$2:$Z$13,2,1),VLOOKUP(I353,Barem!$X$14:$Z$25,2,1)))</f>
        <v>0</v>
      </c>
      <c r="T353" s="21">
        <f>VLOOKUP(A353,Participanti!A:C,3,0)</f>
        <v>0</v>
      </c>
      <c r="U353" s="18">
        <f t="shared" si="152"/>
        <v>3.592166666666667</v>
      </c>
      <c r="V353" s="58" t="s">
        <v>407</v>
      </c>
      <c r="W353" s="77">
        <f t="shared" si="146"/>
        <v>1</v>
      </c>
      <c r="X353" s="1" t="e">
        <f>VLOOKUP(A353,Data_Echipe!A:R,18,0)</f>
        <v>#N/A</v>
      </c>
      <c r="Z353" s="115">
        <f t="shared" si="153"/>
        <v>1</v>
      </c>
    </row>
    <row r="354" spans="1:26" x14ac:dyDescent="0.3">
      <c r="A354" s="49" t="s">
        <v>78</v>
      </c>
      <c r="B354" s="1" t="str">
        <f>VLOOKUP(A354,Participanti!A:B,2,0)</f>
        <v>M</v>
      </c>
      <c r="C354" s="74">
        <v>4</v>
      </c>
      <c r="D354" s="50">
        <v>35.82</v>
      </c>
      <c r="E354" s="51">
        <v>0.33849537037037036</v>
      </c>
      <c r="F354" s="51">
        <v>0.41175925925925921</v>
      </c>
      <c r="G354" s="69">
        <f t="shared" si="148"/>
        <v>0.37512731481481476</v>
      </c>
      <c r="H354" s="52">
        <v>1884</v>
      </c>
      <c r="I354" s="12">
        <f t="shared" si="149"/>
        <v>1.0472566019397398E-2</v>
      </c>
      <c r="J354" s="37">
        <f t="shared" si="150"/>
        <v>5</v>
      </c>
      <c r="K354" s="37">
        <f>IF(J354=0,0,IF(B354="F",VLOOKUP(I354,Barem!$G$2:$H$16,2,1),VLOOKUP(I354,Barem!$G$17:$H$31,2,1)))</f>
        <v>0</v>
      </c>
      <c r="L354" s="50">
        <v>4.5</v>
      </c>
      <c r="M354" s="124" t="s">
        <v>207</v>
      </c>
      <c r="N354" s="10">
        <f t="shared" si="147"/>
        <v>0.25</v>
      </c>
      <c r="O354" s="10">
        <f t="shared" si="147"/>
        <v>0.25</v>
      </c>
      <c r="P354" s="10">
        <f t="shared" si="147"/>
        <v>0.5</v>
      </c>
      <c r="Q354" s="40">
        <f t="shared" si="151"/>
        <v>1.256</v>
      </c>
      <c r="R354" s="21">
        <f>IF(D354&gt;21,VLOOKUP(D354,Barem!$T$1:$U$141,2,1),0)</f>
        <v>0.7</v>
      </c>
      <c r="S354" s="152">
        <f>IF(D354&lt;1.609,0,IF(B354="F",VLOOKUP(I354,Barem!$X$2:$Z$13,2,1),VLOOKUP(I354,Barem!$X$14:$Z$25,2,1)))</f>
        <v>0</v>
      </c>
      <c r="T354" s="21">
        <f>VLOOKUP(A354,Participanti!A:C,3,0)</f>
        <v>0.4</v>
      </c>
      <c r="U354" s="18">
        <f t="shared" si="152"/>
        <v>5.8560000000000008</v>
      </c>
      <c r="V354" s="58" t="s">
        <v>407</v>
      </c>
      <c r="W354" s="77">
        <f t="shared" si="146"/>
        <v>1</v>
      </c>
      <c r="X354" s="1" t="str">
        <f>VLOOKUP(A354,Data_Echipe!A:R,18,0)</f>
        <v>Almost Kenyan Runners</v>
      </c>
      <c r="Z354" s="115">
        <f t="shared" si="153"/>
        <v>0</v>
      </c>
    </row>
    <row r="355" spans="1:26" x14ac:dyDescent="0.3">
      <c r="A355" s="49" t="s">
        <v>376</v>
      </c>
      <c r="B355" s="1" t="str">
        <f>VLOOKUP(A355,Participanti!A:B,2,0)</f>
        <v>M</v>
      </c>
      <c r="C355" s="74">
        <v>4</v>
      </c>
      <c r="D355" s="50">
        <v>17.239999999999998</v>
      </c>
      <c r="E355" s="51">
        <v>4.8657407407407406E-2</v>
      </c>
      <c r="F355" s="51">
        <v>4.8761574074074075E-2</v>
      </c>
      <c r="G355" s="69">
        <f t="shared" si="148"/>
        <v>4.8709490740740741E-2</v>
      </c>
      <c r="H355" s="52"/>
      <c r="I355" s="12">
        <f t="shared" si="149"/>
        <v>2.8253764930824096E-3</v>
      </c>
      <c r="J355" s="37">
        <f t="shared" si="150"/>
        <v>4.1047619047619044</v>
      </c>
      <c r="K355" s="37">
        <f>IF(J355=0,0,IF(B355="F",VLOOKUP(I355,Barem!$G$2:$H$16,2,1),VLOOKUP(I355,Barem!$G$17:$H$31,2,1)))</f>
        <v>4.5</v>
      </c>
      <c r="L355" s="50">
        <v>1</v>
      </c>
      <c r="M355" s="124" t="s">
        <v>106</v>
      </c>
      <c r="N355" s="10">
        <f t="shared" si="147"/>
        <v>0.5</v>
      </c>
      <c r="O355" s="10">
        <f t="shared" si="147"/>
        <v>0.25</v>
      </c>
      <c r="P355" s="10">
        <f t="shared" si="147"/>
        <v>0.25</v>
      </c>
      <c r="Q355" s="40">
        <f t="shared" si="151"/>
        <v>0</v>
      </c>
      <c r="R355" s="21">
        <f>IF(D355&gt;21,VLOOKUP(D355,Barem!$T$1:$U$141,2,1),0)</f>
        <v>0</v>
      </c>
      <c r="S355" s="152">
        <f>IF(D355&lt;1.609,0,IF(B355="F",VLOOKUP(I355,Barem!$X$2:$Z$13,2,1),VLOOKUP(I355,Barem!$X$14:$Z$25,2,1)))</f>
        <v>0</v>
      </c>
      <c r="T355" s="21">
        <f>VLOOKUP(A355,Participanti!A:C,3,0)</f>
        <v>0</v>
      </c>
      <c r="U355" s="18">
        <f t="shared" si="152"/>
        <v>3.4273809523809522</v>
      </c>
      <c r="V355" s="58" t="s">
        <v>407</v>
      </c>
      <c r="W355" s="77">
        <f t="shared" si="146"/>
        <v>1</v>
      </c>
      <c r="X355" s="1" t="e">
        <f>VLOOKUP(A355,Data_Echipe!A:R,18,0)</f>
        <v>#N/A</v>
      </c>
      <c r="Z355" s="115">
        <f t="shared" si="153"/>
        <v>1</v>
      </c>
    </row>
    <row r="356" spans="1:26" x14ac:dyDescent="0.3">
      <c r="A356" s="49" t="s">
        <v>300</v>
      </c>
      <c r="B356" s="1" t="str">
        <f>VLOOKUP(A356,Participanti!A:B,2,0)</f>
        <v>M</v>
      </c>
      <c r="C356" s="74">
        <v>4</v>
      </c>
      <c r="D356" s="50">
        <v>25.07</v>
      </c>
      <c r="E356" s="51">
        <v>9.3344907407407404E-2</v>
      </c>
      <c r="F356" s="51">
        <v>9.9236111111111122E-2</v>
      </c>
      <c r="G356" s="69">
        <f t="shared" si="148"/>
        <v>9.6290509259259263E-2</v>
      </c>
      <c r="H356" s="52"/>
      <c r="I356" s="12">
        <f t="shared" si="149"/>
        <v>3.8408659457223478E-3</v>
      </c>
      <c r="J356" s="37">
        <f t="shared" si="150"/>
        <v>5</v>
      </c>
      <c r="K356" s="37">
        <f>IF(J356=0,0,IF(B356="F",VLOOKUP(I356,Barem!$G$2:$H$16,2,1),VLOOKUP(I356,Barem!$G$17:$H$31,2,1)))</f>
        <v>1.75</v>
      </c>
      <c r="L356" s="50">
        <v>1.75</v>
      </c>
      <c r="M356" s="124" t="s">
        <v>106</v>
      </c>
      <c r="N356" s="10">
        <f t="shared" si="147"/>
        <v>0.5</v>
      </c>
      <c r="O356" s="10">
        <f t="shared" si="147"/>
        <v>0.25</v>
      </c>
      <c r="P356" s="10">
        <f t="shared" si="147"/>
        <v>0.25</v>
      </c>
      <c r="Q356" s="40">
        <f t="shared" si="151"/>
        <v>0</v>
      </c>
      <c r="R356" s="21">
        <f>IF(D356&gt;21,VLOOKUP(D356,Barem!$T$1:$U$141,2,1),0)</f>
        <v>0.2</v>
      </c>
      <c r="S356" s="152">
        <f>IF(D356&lt;1.609,0,IF(B356="F",VLOOKUP(I356,Barem!$X$2:$Z$13,2,1),VLOOKUP(I356,Barem!$X$14:$Z$25,2,1)))</f>
        <v>0</v>
      </c>
      <c r="T356" s="21">
        <f>VLOOKUP(A356,Participanti!A:C,3,0)</f>
        <v>0</v>
      </c>
      <c r="U356" s="18">
        <f t="shared" si="152"/>
        <v>3.5750000000000002</v>
      </c>
      <c r="V356" s="58" t="s">
        <v>399</v>
      </c>
      <c r="W356" s="77">
        <f t="shared" si="146"/>
        <v>1</v>
      </c>
      <c r="X356" s="1" t="str">
        <f>VLOOKUP(A356,Data_Echipe!A:R,18,0)</f>
        <v>#notSYRious</v>
      </c>
      <c r="Z356" s="115">
        <f t="shared" si="153"/>
        <v>1</v>
      </c>
    </row>
    <row r="357" spans="1:26" x14ac:dyDescent="0.3">
      <c r="A357" s="49" t="s">
        <v>336</v>
      </c>
      <c r="B357" s="1" t="str">
        <f>VLOOKUP(A357,Participanti!A:B,2,0)</f>
        <v>M</v>
      </c>
      <c r="C357" s="74">
        <v>5</v>
      </c>
      <c r="D357" s="50">
        <v>27.04</v>
      </c>
      <c r="E357" s="51">
        <v>0.11623842592592593</v>
      </c>
      <c r="F357" s="51">
        <v>0.11623842592592593</v>
      </c>
      <c r="G357" s="69">
        <f t="shared" si="148"/>
        <v>0.11623842592592593</v>
      </c>
      <c r="H357" s="52"/>
      <c r="I357" s="12">
        <f t="shared" si="149"/>
        <v>4.2987583552487399E-3</v>
      </c>
      <c r="J357" s="37">
        <f t="shared" si="150"/>
        <v>5</v>
      </c>
      <c r="K357" s="37">
        <f>IF(J357=0,0,IF(B357="F",VLOOKUP(I357,Barem!$G$2:$H$16,2,1),VLOOKUP(I357,Barem!$G$17:$H$31,2,1)))</f>
        <v>1.25</v>
      </c>
      <c r="L357" s="50">
        <v>1</v>
      </c>
      <c r="M357" s="124" t="s">
        <v>107</v>
      </c>
      <c r="N357" s="10">
        <f t="shared" si="147"/>
        <v>0.25</v>
      </c>
      <c r="O357" s="10">
        <f t="shared" si="147"/>
        <v>0.5</v>
      </c>
      <c r="P357" s="10">
        <f t="shared" si="147"/>
        <v>0.25</v>
      </c>
      <c r="Q357" s="40">
        <f t="shared" si="151"/>
        <v>0</v>
      </c>
      <c r="R357" s="21">
        <f>IF(D357&gt;21,VLOOKUP(D357,Barem!$T$1:$U$141,2,1),0)</f>
        <v>0.3</v>
      </c>
      <c r="S357" s="152">
        <f>IF(D357&lt;1.609,0,IF(B357="F",VLOOKUP(I357,Barem!$X$2:$Z$13,2,1),VLOOKUP(I357,Barem!$X$14:$Z$25,2,1)))</f>
        <v>0</v>
      </c>
      <c r="T357" s="21">
        <f>VLOOKUP(A357,Participanti!A:C,3,0)</f>
        <v>0</v>
      </c>
      <c r="U357" s="18">
        <f t="shared" si="152"/>
        <v>2.4249999999999998</v>
      </c>
      <c r="V357" s="58" t="s">
        <v>429</v>
      </c>
      <c r="W357" s="77">
        <f t="shared" si="146"/>
        <v>1</v>
      </c>
      <c r="X357" s="1" t="e">
        <f>VLOOKUP(A357,Data_Echipe!A:R,18,0)</f>
        <v>#N/A</v>
      </c>
      <c r="Z357" s="115">
        <f t="shared" si="153"/>
        <v>1</v>
      </c>
    </row>
    <row r="358" spans="1:26" x14ac:dyDescent="0.3">
      <c r="A358" s="49" t="s">
        <v>356</v>
      </c>
      <c r="B358" s="1" t="str">
        <f>VLOOKUP(A358,Participanti!A:B,2,0)</f>
        <v>M</v>
      </c>
      <c r="C358" s="74">
        <v>5</v>
      </c>
      <c r="D358" s="50">
        <v>20.010000000000002</v>
      </c>
      <c r="E358" s="51">
        <v>8.0486111111111105E-2</v>
      </c>
      <c r="F358" s="51">
        <v>8.3865740740740755E-2</v>
      </c>
      <c r="G358" s="69">
        <f t="shared" si="148"/>
        <v>8.217592592592593E-2</v>
      </c>
      <c r="H358" s="52">
        <v>203</v>
      </c>
      <c r="I358" s="12">
        <f t="shared" si="149"/>
        <v>4.1067429248338796E-3</v>
      </c>
      <c r="J358" s="37">
        <f t="shared" si="150"/>
        <v>4.7642857142857142</v>
      </c>
      <c r="K358" s="37">
        <f>IF(J358=0,0,IF(B358="F",VLOOKUP(I358,Barem!$G$2:$H$16,2,1),VLOOKUP(I358,Barem!$G$17:$H$31,2,1)))</f>
        <v>1.5</v>
      </c>
      <c r="L358" s="50">
        <v>2.5</v>
      </c>
      <c r="M358" s="124" t="s">
        <v>106</v>
      </c>
      <c r="N358" s="10">
        <f t="shared" si="147"/>
        <v>0.5</v>
      </c>
      <c r="O358" s="10">
        <f t="shared" si="147"/>
        <v>0.25</v>
      </c>
      <c r="P358" s="10">
        <f t="shared" si="147"/>
        <v>0.25</v>
      </c>
      <c r="Q358" s="40">
        <f t="shared" si="151"/>
        <v>0.13533333333333333</v>
      </c>
      <c r="R358" s="21">
        <f>IF(D358&gt;21,VLOOKUP(D358,Barem!$T$1:$U$141,2,1),0)</f>
        <v>0</v>
      </c>
      <c r="S358" s="152">
        <f>IF(D358&lt;1.609,0,IF(B358="F",VLOOKUP(I358,Barem!$X$2:$Z$13,2,1),VLOOKUP(I358,Barem!$X$14:$Z$25,2,1)))</f>
        <v>0</v>
      </c>
      <c r="T358" s="21">
        <f>VLOOKUP(A358,Participanti!A:C,3,0)</f>
        <v>0</v>
      </c>
      <c r="U358" s="18">
        <f t="shared" si="152"/>
        <v>3.5174761904761906</v>
      </c>
      <c r="V358" s="58" t="s">
        <v>429</v>
      </c>
      <c r="W358" s="77">
        <f t="shared" si="146"/>
        <v>1</v>
      </c>
      <c r="X358" s="1" t="str">
        <f>VLOOKUP(A358,Data_Echipe!A:R,18,0)</f>
        <v>MedgidiaRunning</v>
      </c>
      <c r="Z358" s="115">
        <f t="shared" si="153"/>
        <v>1</v>
      </c>
    </row>
    <row r="359" spans="1:26" x14ac:dyDescent="0.3">
      <c r="A359" s="49" t="s">
        <v>333</v>
      </c>
      <c r="B359" s="1" t="str">
        <f>VLOOKUP(A359,Participanti!A:B,2,0)</f>
        <v>M</v>
      </c>
      <c r="C359" s="74">
        <v>5</v>
      </c>
      <c r="D359" s="50">
        <v>11.34</v>
      </c>
      <c r="E359" s="51">
        <v>4.1400462962962965E-2</v>
      </c>
      <c r="F359" s="51">
        <v>4.1458333333333333E-2</v>
      </c>
      <c r="G359" s="69">
        <f t="shared" si="148"/>
        <v>4.1429398148148153E-2</v>
      </c>
      <c r="H359" s="52"/>
      <c r="I359" s="12">
        <f t="shared" si="149"/>
        <v>3.6533860800836114E-3</v>
      </c>
      <c r="J359" s="37">
        <f t="shared" si="150"/>
        <v>2.6999999999999997</v>
      </c>
      <c r="K359" s="37">
        <f>IF(J359=0,0,IF(B359="F",VLOOKUP(I359,Barem!$G$2:$H$16,2,1),VLOOKUP(I359,Barem!$G$17:$H$31,2,1)))</f>
        <v>2.5</v>
      </c>
      <c r="L359" s="50">
        <v>1.25</v>
      </c>
      <c r="M359" s="124" t="s">
        <v>107</v>
      </c>
      <c r="N359" s="10">
        <f t="shared" si="147"/>
        <v>0.25</v>
      </c>
      <c r="O359" s="10">
        <f t="shared" si="147"/>
        <v>0.5</v>
      </c>
      <c r="P359" s="10">
        <f t="shared" si="147"/>
        <v>0.25</v>
      </c>
      <c r="Q359" s="40">
        <f t="shared" si="151"/>
        <v>0</v>
      </c>
      <c r="R359" s="21">
        <f>IF(D359&gt;21,VLOOKUP(D359,Barem!$T$1:$U$141,2,1),0)</f>
        <v>0</v>
      </c>
      <c r="S359" s="152">
        <f>IF(D359&lt;1.609,0,IF(B359="F",VLOOKUP(I359,Barem!$X$2:$Z$13,2,1),VLOOKUP(I359,Barem!$X$14:$Z$25,2,1)))</f>
        <v>0</v>
      </c>
      <c r="T359" s="21">
        <f>VLOOKUP(A359,Participanti!A:C,3,0)</f>
        <v>0</v>
      </c>
      <c r="U359" s="18">
        <f t="shared" si="152"/>
        <v>2.2374999999999998</v>
      </c>
      <c r="V359" s="58" t="s">
        <v>429</v>
      </c>
      <c r="W359" s="77">
        <f t="shared" si="146"/>
        <v>1</v>
      </c>
      <c r="X359" s="1" t="str">
        <f>VLOOKUP(A359,Data_Echipe!A:R,18,0)</f>
        <v>UltraHaita lu' Borcan</v>
      </c>
      <c r="Z359" s="115">
        <f t="shared" si="153"/>
        <v>1</v>
      </c>
    </row>
    <row r="360" spans="1:26" x14ac:dyDescent="0.3">
      <c r="A360" s="49" t="s">
        <v>431</v>
      </c>
      <c r="B360" s="1" t="str">
        <f>VLOOKUP(A360,Participanti!A:B,2,0)</f>
        <v>F</v>
      </c>
      <c r="C360" s="74">
        <v>5</v>
      </c>
      <c r="D360" s="50">
        <v>1.06</v>
      </c>
      <c r="E360" s="51">
        <v>4.3055555555555555E-3</v>
      </c>
      <c r="F360" s="51">
        <v>4.3055555555555555E-3</v>
      </c>
      <c r="G360" s="69">
        <f t="shared" si="148"/>
        <v>4.3055555555555555E-3</v>
      </c>
      <c r="H360" s="52"/>
      <c r="I360" s="12">
        <f t="shared" si="149"/>
        <v>4.0618448637316559E-3</v>
      </c>
      <c r="J360" s="37">
        <f t="shared" si="150"/>
        <v>0</v>
      </c>
      <c r="K360" s="37">
        <f>IF(J360=0,0,IF(B360="F",VLOOKUP(I360,Barem!$G$2:$H$16,2,1),VLOOKUP(I360,Barem!$G$17:$H$31,2,1)))</f>
        <v>0</v>
      </c>
      <c r="L360" s="50">
        <v>3.5</v>
      </c>
      <c r="M360" s="124" t="s">
        <v>207</v>
      </c>
      <c r="N360" s="10">
        <f t="shared" si="147"/>
        <v>0.25</v>
      </c>
      <c r="O360" s="10">
        <f t="shared" si="147"/>
        <v>0.25</v>
      </c>
      <c r="P360" s="10">
        <f t="shared" si="147"/>
        <v>0.5</v>
      </c>
      <c r="Q360" s="40">
        <f t="shared" si="151"/>
        <v>0</v>
      </c>
      <c r="R360" s="21">
        <f>IF(D360&gt;21,VLOOKUP(D360,Barem!$T$1:$U$141,2,1),0)</f>
        <v>0</v>
      </c>
      <c r="S360" s="152">
        <f>IF(D360&lt;1.609,0,IF(B360="F",VLOOKUP(I360,Barem!$X$2:$Z$13,2,1),VLOOKUP(I360,Barem!$X$14:$Z$25,2,1)))</f>
        <v>0</v>
      </c>
      <c r="T360" s="21">
        <f>VLOOKUP(A360,Participanti!A:C,3,0)</f>
        <v>0.4</v>
      </c>
      <c r="U360" s="18">
        <f t="shared" si="152"/>
        <v>2.15</v>
      </c>
      <c r="V360" s="58" t="s">
        <v>429</v>
      </c>
      <c r="W360" s="77">
        <f t="shared" si="146"/>
        <v>1</v>
      </c>
      <c r="X360" s="1" t="e">
        <f>VLOOKUP(A360,Data_Echipe!A:R,18,0)</f>
        <v>#N/A</v>
      </c>
      <c r="Z360" s="115">
        <f t="shared" si="153"/>
        <v>0</v>
      </c>
    </row>
    <row r="361" spans="1:26" x14ac:dyDescent="0.3">
      <c r="A361" s="49" t="s">
        <v>47</v>
      </c>
      <c r="B361" s="1" t="str">
        <f>VLOOKUP(A361,Participanti!A:B,2,0)</f>
        <v>M</v>
      </c>
      <c r="C361" s="74">
        <v>5</v>
      </c>
      <c r="D361" s="50">
        <v>5.03</v>
      </c>
      <c r="E361" s="51">
        <v>1.9699074074074074E-2</v>
      </c>
      <c r="F361" s="51">
        <v>2.0162037037037037E-2</v>
      </c>
      <c r="G361" s="69">
        <f t="shared" si="148"/>
        <v>1.9930555555555556E-2</v>
      </c>
      <c r="H361" s="52"/>
      <c r="I361" s="12">
        <f t="shared" si="149"/>
        <v>3.962337088579633E-3</v>
      </c>
      <c r="J361" s="37">
        <f t="shared" si="150"/>
        <v>1.1976190476190476</v>
      </c>
      <c r="K361" s="37">
        <f>IF(J361=0,0,IF(B361="F",VLOOKUP(I361,Barem!$G$2:$H$16,2,1),VLOOKUP(I361,Barem!$G$17:$H$31,2,1)))</f>
        <v>1.75</v>
      </c>
      <c r="L361" s="50">
        <v>3.75</v>
      </c>
      <c r="M361" s="124" t="s">
        <v>207</v>
      </c>
      <c r="N361" s="10">
        <f t="shared" si="147"/>
        <v>0.25</v>
      </c>
      <c r="O361" s="10">
        <f t="shared" si="147"/>
        <v>0.25</v>
      </c>
      <c r="P361" s="10">
        <f t="shared" si="147"/>
        <v>0.5</v>
      </c>
      <c r="Q361" s="40">
        <f t="shared" si="151"/>
        <v>0</v>
      </c>
      <c r="R361" s="21">
        <f>IF(D361&gt;21,VLOOKUP(D361,Barem!$T$1:$U$141,2,1),0)</f>
        <v>0</v>
      </c>
      <c r="S361" s="152">
        <f>IF(D361&lt;1.609,0,IF(B361="F",VLOOKUP(I361,Barem!$X$2:$Z$13,2,1),VLOOKUP(I361,Barem!$X$14:$Z$25,2,1)))</f>
        <v>0</v>
      </c>
      <c r="T361" s="21">
        <f>VLOOKUP(A361,Participanti!A:C,3,0)</f>
        <v>0</v>
      </c>
      <c r="U361" s="18">
        <f t="shared" si="152"/>
        <v>2.611904761904762</v>
      </c>
      <c r="V361" s="58" t="s">
        <v>429</v>
      </c>
      <c r="W361" s="77">
        <f t="shared" si="146"/>
        <v>1</v>
      </c>
      <c r="X361" s="1" t="str">
        <f>VLOOKUP(A361,Data_Echipe!A:R,18,0)</f>
        <v>The GOATs</v>
      </c>
      <c r="Z361" s="115">
        <f t="shared" si="153"/>
        <v>1</v>
      </c>
    </row>
    <row r="362" spans="1:26" x14ac:dyDescent="0.3">
      <c r="A362" s="49" t="s">
        <v>340</v>
      </c>
      <c r="B362" s="1" t="str">
        <f>VLOOKUP(A362,Participanti!A:B,2,0)</f>
        <v>M</v>
      </c>
      <c r="C362" s="74">
        <v>5</v>
      </c>
      <c r="D362" s="50">
        <v>8.1</v>
      </c>
      <c r="E362" s="51">
        <v>2.8136574074074074E-2</v>
      </c>
      <c r="F362" s="51">
        <v>3.1793981481481479E-2</v>
      </c>
      <c r="G362" s="69">
        <f t="shared" si="148"/>
        <v>2.9965277777777778E-2</v>
      </c>
      <c r="H362" s="52">
        <v>250</v>
      </c>
      <c r="I362" s="12">
        <f t="shared" si="149"/>
        <v>3.6994170096021949E-3</v>
      </c>
      <c r="J362" s="37">
        <f t="shared" si="150"/>
        <v>1.9285714285714284</v>
      </c>
      <c r="K362" s="37">
        <f>IF(J362=0,0,IF(B362="F",VLOOKUP(I362,Barem!$G$2:$H$16,2,1),VLOOKUP(I362,Barem!$G$17:$H$31,2,1)))</f>
        <v>2</v>
      </c>
      <c r="L362" s="50">
        <v>1.25</v>
      </c>
      <c r="M362" s="124" t="s">
        <v>107</v>
      </c>
      <c r="N362" s="10">
        <f t="shared" si="147"/>
        <v>0.25</v>
      </c>
      <c r="O362" s="10">
        <f t="shared" si="147"/>
        <v>0.5</v>
      </c>
      <c r="P362" s="10">
        <f t="shared" si="147"/>
        <v>0.25</v>
      </c>
      <c r="Q362" s="40">
        <f t="shared" si="151"/>
        <v>0.16666666666666666</v>
      </c>
      <c r="R362" s="21">
        <f>IF(D362&gt;21,VLOOKUP(D362,Barem!$T$1:$U$141,2,1),0)</f>
        <v>0</v>
      </c>
      <c r="S362" s="152">
        <f>IF(D362&lt;1.609,0,IF(B362="F",VLOOKUP(I362,Barem!$X$2:$Z$13,2,1),VLOOKUP(I362,Barem!$X$14:$Z$25,2,1)))</f>
        <v>0</v>
      </c>
      <c r="T362" s="21">
        <f>VLOOKUP(A362,Participanti!A:C,3,0)</f>
        <v>0</v>
      </c>
      <c r="U362" s="18">
        <f t="shared" si="152"/>
        <v>1.9613095238095239</v>
      </c>
      <c r="V362" s="58" t="s">
        <v>429</v>
      </c>
      <c r="W362" s="77">
        <f t="shared" si="146"/>
        <v>1</v>
      </c>
      <c r="X362" s="1" t="e">
        <f>VLOOKUP(A362,Data_Echipe!A:R,18,0)</f>
        <v>#N/A</v>
      </c>
      <c r="Z362" s="115">
        <f t="shared" si="153"/>
        <v>1</v>
      </c>
    </row>
    <row r="363" spans="1:26" x14ac:dyDescent="0.3">
      <c r="A363" s="49" t="s">
        <v>357</v>
      </c>
      <c r="B363" s="1" t="str">
        <f>VLOOKUP(A363,Participanti!A:B,2,0)</f>
        <v>M</v>
      </c>
      <c r="C363" s="74">
        <v>5</v>
      </c>
      <c r="D363" s="50">
        <v>23.44</v>
      </c>
      <c r="E363" s="51">
        <v>8.5127314814814822E-2</v>
      </c>
      <c r="F363" s="51">
        <v>8.5127314814814822E-2</v>
      </c>
      <c r="G363" s="69">
        <f t="shared" si="148"/>
        <v>8.5127314814814822E-2</v>
      </c>
      <c r="H363" s="52">
        <v>103</v>
      </c>
      <c r="I363" s="12">
        <f t="shared" si="149"/>
        <v>3.6317113828845914E-3</v>
      </c>
      <c r="J363" s="37">
        <f t="shared" si="150"/>
        <v>5</v>
      </c>
      <c r="K363" s="37">
        <f>IF(J363=0,0,IF(B363="F",VLOOKUP(I363,Barem!$G$2:$H$16,2,1),VLOOKUP(I363,Barem!$G$17:$H$31,2,1)))</f>
        <v>2.5</v>
      </c>
      <c r="L363" s="50">
        <v>2</v>
      </c>
      <c r="M363" s="124" t="s">
        <v>106</v>
      </c>
      <c r="N363" s="10">
        <f t="shared" si="147"/>
        <v>0.5</v>
      </c>
      <c r="O363" s="10">
        <f t="shared" si="147"/>
        <v>0.25</v>
      </c>
      <c r="P363" s="10">
        <f t="shared" si="147"/>
        <v>0.25</v>
      </c>
      <c r="Q363" s="40">
        <f t="shared" si="151"/>
        <v>6.8666666666666668E-2</v>
      </c>
      <c r="R363" s="21">
        <f>IF(D363&gt;21,VLOOKUP(D363,Barem!$T$1:$U$141,2,1),0)</f>
        <v>0.1</v>
      </c>
      <c r="S363" s="152">
        <f>IF(D363&lt;1.609,0,IF(B363="F",VLOOKUP(I363,Barem!$X$2:$Z$13,2,1),VLOOKUP(I363,Barem!$X$14:$Z$25,2,1)))</f>
        <v>0</v>
      </c>
      <c r="T363" s="21">
        <f>VLOOKUP(A363,Participanti!A:C,3,0)</f>
        <v>0</v>
      </c>
      <c r="U363" s="18">
        <f t="shared" si="152"/>
        <v>3.7936666666666667</v>
      </c>
      <c r="V363" s="58" t="s">
        <v>432</v>
      </c>
      <c r="W363" s="77">
        <f t="shared" si="146"/>
        <v>1</v>
      </c>
      <c r="X363" s="1" t="e">
        <f>VLOOKUP(A363,Data_Echipe!A:R,18,0)</f>
        <v>#N/A</v>
      </c>
      <c r="Z363" s="115">
        <f t="shared" si="153"/>
        <v>1</v>
      </c>
    </row>
    <row r="364" spans="1:26" x14ac:dyDescent="0.3">
      <c r="A364" s="49" t="s">
        <v>292</v>
      </c>
      <c r="B364" s="1" t="str">
        <f>VLOOKUP(A364,Participanti!A:B,2,0)</f>
        <v>F</v>
      </c>
      <c r="C364" s="74">
        <v>5</v>
      </c>
      <c r="D364" s="50">
        <v>14.02</v>
      </c>
      <c r="E364" s="51">
        <v>8.0335648148148142E-2</v>
      </c>
      <c r="F364" s="51">
        <v>9.3807870370370375E-2</v>
      </c>
      <c r="G364" s="69">
        <f t="shared" si="148"/>
        <v>8.7071759259259252E-2</v>
      </c>
      <c r="H364" s="52">
        <v>445</v>
      </c>
      <c r="I364" s="12">
        <f t="shared" si="149"/>
        <v>6.2105391768373219E-3</v>
      </c>
      <c r="J364" s="37">
        <f t="shared" si="150"/>
        <v>3.5049999999999999</v>
      </c>
      <c r="K364" s="37">
        <f>IF(J364=0,0,IF(B364="F",VLOOKUP(I364,Barem!$G$2:$H$16,2,1),VLOOKUP(I364,Barem!$G$17:$H$31,2,1)))</f>
        <v>0.25</v>
      </c>
      <c r="L364" s="50">
        <v>1</v>
      </c>
      <c r="M364" s="124" t="s">
        <v>107</v>
      </c>
      <c r="N364" s="10">
        <f t="shared" si="147"/>
        <v>0.25</v>
      </c>
      <c r="O364" s="10">
        <f t="shared" si="147"/>
        <v>0.5</v>
      </c>
      <c r="P364" s="10">
        <f t="shared" si="147"/>
        <v>0.25</v>
      </c>
      <c r="Q364" s="40">
        <f t="shared" si="151"/>
        <v>0.29666666666666669</v>
      </c>
      <c r="R364" s="21">
        <f>IF(D364&gt;21,VLOOKUP(D364,Barem!$T$1:$U$141,2,1),0)</f>
        <v>0</v>
      </c>
      <c r="S364" s="152">
        <f>IF(D364&lt;1.609,0,IF(B364="F",VLOOKUP(I364,Barem!$X$2:$Z$13,2,1),VLOOKUP(I364,Barem!$X$14:$Z$25,2,1)))</f>
        <v>0</v>
      </c>
      <c r="T364" s="21">
        <f>VLOOKUP(A364,Participanti!A:C,3,0)</f>
        <v>0</v>
      </c>
      <c r="U364" s="18">
        <f t="shared" si="152"/>
        <v>1.5479166666666666</v>
      </c>
      <c r="V364" s="58" t="s">
        <v>432</v>
      </c>
      <c r="W364" s="77">
        <f t="shared" si="146"/>
        <v>1</v>
      </c>
      <c r="X364" s="1" t="e">
        <f>VLOOKUP(A364,Data_Echipe!A:R,18,0)</f>
        <v>#N/A</v>
      </c>
      <c r="Z364" s="115">
        <f t="shared" si="153"/>
        <v>1</v>
      </c>
    </row>
    <row r="365" spans="1:26" x14ac:dyDescent="0.3">
      <c r="A365" s="49" t="s">
        <v>433</v>
      </c>
      <c r="B365" s="1" t="str">
        <f>VLOOKUP(A365,Participanti!A:B,2,0)</f>
        <v>M</v>
      </c>
      <c r="C365" s="74">
        <v>5</v>
      </c>
      <c r="D365" s="50">
        <v>10.199999999999999</v>
      </c>
      <c r="E365" s="51">
        <v>4.08912037037037E-2</v>
      </c>
      <c r="F365" s="51">
        <v>4.08912037037037E-2</v>
      </c>
      <c r="G365" s="69">
        <f t="shared" si="148"/>
        <v>4.08912037037037E-2</v>
      </c>
      <c r="H365" s="52"/>
      <c r="I365" s="12">
        <f t="shared" si="149"/>
        <v>4.0089415395787942E-3</v>
      </c>
      <c r="J365" s="37">
        <f t="shared" si="150"/>
        <v>2.4285714285714284</v>
      </c>
      <c r="K365" s="37">
        <f>IF(J365=0,0,IF(B365="F",VLOOKUP(I365,Barem!$G$2:$H$16,2,1),VLOOKUP(I365,Barem!$G$17:$H$31,2,1)))</f>
        <v>1.5</v>
      </c>
      <c r="L365" s="50">
        <v>1.5</v>
      </c>
      <c r="M365" s="124" t="s">
        <v>207</v>
      </c>
      <c r="N365" s="10">
        <f t="shared" si="147"/>
        <v>0.25</v>
      </c>
      <c r="O365" s="10">
        <f t="shared" si="147"/>
        <v>0.25</v>
      </c>
      <c r="P365" s="10">
        <f t="shared" si="147"/>
        <v>0.5</v>
      </c>
      <c r="Q365" s="40">
        <f t="shared" si="151"/>
        <v>0</v>
      </c>
      <c r="R365" s="21">
        <f>IF(D365&gt;21,VLOOKUP(D365,Barem!$T$1:$U$141,2,1),0)</f>
        <v>0</v>
      </c>
      <c r="S365" s="152">
        <f>IF(D365&lt;1.609,0,IF(B365="F",VLOOKUP(I365,Barem!$X$2:$Z$13,2,1),VLOOKUP(I365,Barem!$X$14:$Z$25,2,1)))</f>
        <v>0</v>
      </c>
      <c r="T365" s="21">
        <f>VLOOKUP(A365,Participanti!A:C,3,0)</f>
        <v>0</v>
      </c>
      <c r="U365" s="18">
        <f t="shared" si="152"/>
        <v>1.7321428571428572</v>
      </c>
      <c r="V365" s="58" t="s">
        <v>432</v>
      </c>
      <c r="W365" s="77">
        <f t="shared" si="146"/>
        <v>1</v>
      </c>
      <c r="X365" s="1" t="e">
        <f>VLOOKUP(A365,Data_Echipe!A:R,18,0)</f>
        <v>#N/A</v>
      </c>
      <c r="Z365" s="115">
        <f t="shared" si="153"/>
        <v>1</v>
      </c>
    </row>
    <row r="366" spans="1:26" x14ac:dyDescent="0.3">
      <c r="A366" s="49" t="s">
        <v>136</v>
      </c>
      <c r="B366" s="1" t="str">
        <f>VLOOKUP(A366,Participanti!A:B,2,0)</f>
        <v>F</v>
      </c>
      <c r="C366" s="74">
        <v>5</v>
      </c>
      <c r="D366" s="50">
        <v>12.94</v>
      </c>
      <c r="E366" s="51">
        <v>7.7719907407407404E-2</v>
      </c>
      <c r="F366" s="51">
        <v>8.3055555555555563E-2</v>
      </c>
      <c r="G366" s="69">
        <f t="shared" si="148"/>
        <v>8.0387731481481484E-2</v>
      </c>
      <c r="H366" s="52">
        <v>448</v>
      </c>
      <c r="I366" s="12">
        <f t="shared" si="149"/>
        <v>6.2123440093880596E-3</v>
      </c>
      <c r="J366" s="37">
        <f t="shared" si="150"/>
        <v>3.2349999999999999</v>
      </c>
      <c r="K366" s="37">
        <f>IF(J366=0,0,IF(B366="F",VLOOKUP(I366,Barem!$G$2:$H$16,2,1),VLOOKUP(I366,Barem!$G$17:$H$31,2,1)))</f>
        <v>0.25</v>
      </c>
      <c r="L366" s="50">
        <v>3</v>
      </c>
      <c r="M366" s="124" t="s">
        <v>106</v>
      </c>
      <c r="N366" s="10">
        <f t="shared" si="147"/>
        <v>0.5</v>
      </c>
      <c r="O366" s="10">
        <f t="shared" si="147"/>
        <v>0.25</v>
      </c>
      <c r="P366" s="10">
        <f t="shared" si="147"/>
        <v>0.25</v>
      </c>
      <c r="Q366" s="40">
        <f t="shared" si="151"/>
        <v>0.29866666666666669</v>
      </c>
      <c r="R366" s="21">
        <f>IF(D366&gt;21,VLOOKUP(D366,Barem!$T$1:$U$141,2,1),0)</f>
        <v>0</v>
      </c>
      <c r="S366" s="152">
        <f>IF(D366&lt;1.609,0,IF(B366="F",VLOOKUP(I366,Barem!$X$2:$Z$13,2,1),VLOOKUP(I366,Barem!$X$14:$Z$25,2,1)))</f>
        <v>0</v>
      </c>
      <c r="T366" s="21">
        <f>VLOOKUP(A366,Participanti!A:C,3,0)</f>
        <v>0</v>
      </c>
      <c r="U366" s="18">
        <f t="shared" si="152"/>
        <v>2.7286666666666664</v>
      </c>
      <c r="V366" s="58" t="s">
        <v>432</v>
      </c>
      <c r="W366" s="77">
        <f t="shared" si="146"/>
        <v>1</v>
      </c>
      <c r="X366" s="1" t="e">
        <f>VLOOKUP(A366,Data_Echipe!A:R,18,0)</f>
        <v>#N/A</v>
      </c>
      <c r="Z366" s="115">
        <f t="shared" si="153"/>
        <v>1</v>
      </c>
    </row>
    <row r="367" spans="1:26" x14ac:dyDescent="0.3">
      <c r="A367" s="49" t="s">
        <v>347</v>
      </c>
      <c r="B367" s="1" t="str">
        <f>VLOOKUP(A367,Participanti!A:B,2,0)</f>
        <v>F</v>
      </c>
      <c r="C367" s="74">
        <v>5</v>
      </c>
      <c r="D367" s="50">
        <v>2.61</v>
      </c>
      <c r="E367" s="51">
        <v>8.6226851851851846E-3</v>
      </c>
      <c r="F367" s="51">
        <v>8.6921296296296312E-3</v>
      </c>
      <c r="G367" s="69">
        <f t="shared" si="148"/>
        <v>8.6574074074074088E-3</v>
      </c>
      <c r="H367" s="52"/>
      <c r="I367" s="12">
        <f t="shared" si="149"/>
        <v>3.3170143323400037E-3</v>
      </c>
      <c r="J367" s="37">
        <f t="shared" si="150"/>
        <v>0.65249999999999997</v>
      </c>
      <c r="K367" s="37">
        <f>IF(J367=0,0,IF(B367="F",VLOOKUP(I367,Barem!$G$2:$H$16,2,1),VLOOKUP(I367,Barem!$G$17:$H$31,2,1)))</f>
        <v>4</v>
      </c>
      <c r="L367" s="50">
        <v>1.25</v>
      </c>
      <c r="M367" s="124" t="s">
        <v>107</v>
      </c>
      <c r="N367" s="10">
        <f t="shared" si="147"/>
        <v>0.25</v>
      </c>
      <c r="O367" s="10">
        <f t="shared" si="147"/>
        <v>0.5</v>
      </c>
      <c r="P367" s="10">
        <f t="shared" si="147"/>
        <v>0.25</v>
      </c>
      <c r="Q367" s="40">
        <f t="shared" si="151"/>
        <v>0</v>
      </c>
      <c r="R367" s="21">
        <f>IF(D367&gt;21,VLOOKUP(D367,Barem!$T$1:$U$141,2,1),0)</f>
        <v>0</v>
      </c>
      <c r="S367" s="152">
        <f>IF(D367&lt;1.609,0,IF(B367="F",VLOOKUP(I367,Barem!$X$2:$Z$13,2,1),VLOOKUP(I367,Barem!$X$14:$Z$25,2,1)))</f>
        <v>0</v>
      </c>
      <c r="T367" s="21">
        <f>VLOOKUP(A367,Participanti!A:C,3,0)</f>
        <v>0</v>
      </c>
      <c r="U367" s="18">
        <f t="shared" si="152"/>
        <v>2.475625</v>
      </c>
      <c r="V367" s="58" t="s">
        <v>434</v>
      </c>
      <c r="W367" s="77">
        <f t="shared" si="146"/>
        <v>1</v>
      </c>
      <c r="X367" s="1" t="str">
        <f>VLOOKUP(A367,Data_Echipe!A:R,18,0)</f>
        <v>MedgidiaRunning</v>
      </c>
      <c r="Z367" s="115">
        <f t="shared" si="153"/>
        <v>1</v>
      </c>
    </row>
    <row r="368" spans="1:26" x14ac:dyDescent="0.3">
      <c r="A368" s="49" t="s">
        <v>430</v>
      </c>
      <c r="B368" s="1" t="str">
        <f>VLOOKUP(A368,Participanti!A:B,2,0)</f>
        <v>M</v>
      </c>
      <c r="C368" s="74">
        <v>5</v>
      </c>
      <c r="D368" s="50">
        <v>8</v>
      </c>
      <c r="E368" s="51">
        <v>2.7731481481481478E-2</v>
      </c>
      <c r="F368" s="51">
        <v>2.7731481481481478E-2</v>
      </c>
      <c r="G368" s="69">
        <f t="shared" si="148"/>
        <v>2.7731481481481478E-2</v>
      </c>
      <c r="H368" s="52"/>
      <c r="I368" s="12">
        <f t="shared" si="149"/>
        <v>3.4664351851851848E-3</v>
      </c>
      <c r="J368" s="37">
        <f t="shared" si="150"/>
        <v>1.9047619047619047</v>
      </c>
      <c r="K368" s="37">
        <f>IF(J368=0,0,IF(B368="F",VLOOKUP(I368,Barem!$G$2:$H$16,2,1),VLOOKUP(I368,Barem!$G$17:$H$31,2,1)))</f>
        <v>3</v>
      </c>
      <c r="L368" s="50">
        <v>1</v>
      </c>
      <c r="M368" s="124" t="s">
        <v>107</v>
      </c>
      <c r="N368" s="10">
        <f t="shared" si="147"/>
        <v>0.25</v>
      </c>
      <c r="O368" s="10">
        <f t="shared" si="147"/>
        <v>0.5</v>
      </c>
      <c r="P368" s="10">
        <f t="shared" si="147"/>
        <v>0.25</v>
      </c>
      <c r="Q368" s="40">
        <f t="shared" si="151"/>
        <v>0</v>
      </c>
      <c r="R368" s="21">
        <f>IF(D368&gt;21,VLOOKUP(D368,Barem!$T$1:$U$141,2,1),0)</f>
        <v>0</v>
      </c>
      <c r="S368" s="152">
        <f>IF(D368&lt;1.609,0,IF(B368="F",VLOOKUP(I368,Barem!$X$2:$Z$13,2,1),VLOOKUP(I368,Barem!$X$14:$Z$25,2,1)))</f>
        <v>0</v>
      </c>
      <c r="T368" s="21">
        <f>VLOOKUP(A368,Participanti!A:C,3,0)</f>
        <v>0</v>
      </c>
      <c r="U368" s="18">
        <f t="shared" si="152"/>
        <v>2.2261904761904763</v>
      </c>
      <c r="V368" s="58" t="s">
        <v>434</v>
      </c>
      <c r="W368" s="77">
        <f t="shared" si="146"/>
        <v>1</v>
      </c>
      <c r="X368" s="1" t="e">
        <f>VLOOKUP(A368,Data_Echipe!A:R,18,0)</f>
        <v>#N/A</v>
      </c>
      <c r="Z368" s="115">
        <f t="shared" si="153"/>
        <v>1</v>
      </c>
    </row>
    <row r="369" spans="1:26" x14ac:dyDescent="0.3">
      <c r="A369" s="49" t="s">
        <v>368</v>
      </c>
      <c r="B369" s="1" t="str">
        <f>VLOOKUP(A369,Participanti!A:B,2,0)</f>
        <v>M</v>
      </c>
      <c r="C369" s="74">
        <v>5</v>
      </c>
      <c r="D369" s="50">
        <v>10.4</v>
      </c>
      <c r="E369" s="51">
        <v>3.2152777777777773E-2</v>
      </c>
      <c r="F369" s="51">
        <v>3.2638888888888891E-2</v>
      </c>
      <c r="G369" s="69">
        <f t="shared" si="148"/>
        <v>3.2395833333333332E-2</v>
      </c>
      <c r="H369" s="52"/>
      <c r="I369" s="12">
        <f t="shared" si="149"/>
        <v>3.1149839743589741E-3</v>
      </c>
      <c r="J369" s="37">
        <f t="shared" si="150"/>
        <v>2.4761904761904763</v>
      </c>
      <c r="K369" s="37">
        <f>IF(J369=0,0,IF(B369="F",VLOOKUP(I369,Barem!$G$2:$H$16,2,1),VLOOKUP(I369,Barem!$G$17:$H$31,2,1)))</f>
        <v>4</v>
      </c>
      <c r="L369" s="50">
        <v>2</v>
      </c>
      <c r="M369" s="124" t="s">
        <v>107</v>
      </c>
      <c r="N369" s="10">
        <f t="shared" si="147"/>
        <v>0.25</v>
      </c>
      <c r="O369" s="10">
        <f t="shared" si="147"/>
        <v>0.5</v>
      </c>
      <c r="P369" s="10">
        <f t="shared" si="147"/>
        <v>0.25</v>
      </c>
      <c r="Q369" s="40">
        <f t="shared" si="151"/>
        <v>0</v>
      </c>
      <c r="R369" s="21">
        <f>IF(D369&gt;21,VLOOKUP(D369,Barem!$T$1:$U$141,2,1),0)</f>
        <v>0</v>
      </c>
      <c r="S369" s="152">
        <f>IF(D369&lt;1.609,0,IF(B369="F",VLOOKUP(I369,Barem!$X$2:$Z$13,2,1),VLOOKUP(I369,Barem!$X$14:$Z$25,2,1)))</f>
        <v>0</v>
      </c>
      <c r="T369" s="21">
        <f>VLOOKUP(A369,Participanti!A:C,3,0)</f>
        <v>0</v>
      </c>
      <c r="U369" s="18">
        <f t="shared" si="152"/>
        <v>3.1190476190476191</v>
      </c>
      <c r="V369" s="58" t="s">
        <v>434</v>
      </c>
      <c r="W369" s="77">
        <f t="shared" si="146"/>
        <v>1</v>
      </c>
      <c r="X369" s="1" t="str">
        <f>VLOOKUP(A369,Data_Echipe!A:R,18,0)</f>
        <v>Almost Kenyan Runners</v>
      </c>
      <c r="Z369" s="115">
        <f t="shared" si="153"/>
        <v>1</v>
      </c>
    </row>
    <row r="370" spans="1:26" x14ac:dyDescent="0.3">
      <c r="A370" s="49" t="s">
        <v>339</v>
      </c>
      <c r="B370" s="1" t="str">
        <f>VLOOKUP(A370,Participanti!A:B,2,0)</f>
        <v>M</v>
      </c>
      <c r="C370" s="74">
        <v>5</v>
      </c>
      <c r="D370" s="50">
        <v>4.57</v>
      </c>
      <c r="E370" s="51">
        <v>1.4872685185185185E-2</v>
      </c>
      <c r="F370" s="51">
        <v>1.4872685185185185E-2</v>
      </c>
      <c r="G370" s="69">
        <f t="shared" si="148"/>
        <v>1.4872685185185185E-2</v>
      </c>
      <c r="H370" s="52"/>
      <c r="I370" s="12">
        <f t="shared" si="149"/>
        <v>3.2544168895372394E-3</v>
      </c>
      <c r="J370" s="37">
        <f t="shared" si="150"/>
        <v>1.0880952380952382</v>
      </c>
      <c r="K370" s="37">
        <f>IF(J370=0,0,IF(B370="F",VLOOKUP(I370,Barem!$G$2:$H$16,2,1),VLOOKUP(I370,Barem!$G$17:$H$31,2,1)))</f>
        <v>3.5</v>
      </c>
      <c r="L370" s="50">
        <v>2</v>
      </c>
      <c r="M370" s="124" t="s">
        <v>107</v>
      </c>
      <c r="N370" s="10">
        <f t="shared" si="147"/>
        <v>0.25</v>
      </c>
      <c r="O370" s="10">
        <f t="shared" si="147"/>
        <v>0.5</v>
      </c>
      <c r="P370" s="10">
        <f t="shared" si="147"/>
        <v>0.25</v>
      </c>
      <c r="Q370" s="40">
        <f t="shared" si="151"/>
        <v>0</v>
      </c>
      <c r="R370" s="21">
        <f>IF(D370&gt;21,VLOOKUP(D370,Barem!$T$1:$U$141,2,1),0)</f>
        <v>0</v>
      </c>
      <c r="S370" s="152">
        <f>IF(D370&lt;1.609,0,IF(B370="F",VLOOKUP(I370,Barem!$X$2:$Z$13,2,1),VLOOKUP(I370,Barem!$X$14:$Z$25,2,1)))</f>
        <v>0</v>
      </c>
      <c r="T370" s="21">
        <f>VLOOKUP(A370,Participanti!A:C,3,0)</f>
        <v>0</v>
      </c>
      <c r="U370" s="18">
        <f t="shared" si="152"/>
        <v>2.5220238095238097</v>
      </c>
      <c r="V370" s="58" t="s">
        <v>434</v>
      </c>
      <c r="W370" s="77">
        <f t="shared" si="146"/>
        <v>1</v>
      </c>
      <c r="X370" s="1" t="str">
        <f>VLOOKUP(A370,Data_Echipe!A:R,18,0)</f>
        <v>MedgidiaRunning</v>
      </c>
      <c r="Z370" s="115">
        <f t="shared" si="153"/>
        <v>1</v>
      </c>
    </row>
    <row r="371" spans="1:26" x14ac:dyDescent="0.3">
      <c r="A371" s="49" t="s">
        <v>132</v>
      </c>
      <c r="B371" s="1" t="str">
        <f>VLOOKUP(A371,Participanti!A:B,2,0)</f>
        <v>F</v>
      </c>
      <c r="C371" s="74">
        <v>5</v>
      </c>
      <c r="D371" s="50">
        <v>6.1</v>
      </c>
      <c r="E371" s="51">
        <v>2.5636574074074072E-2</v>
      </c>
      <c r="F371" s="51">
        <v>2.6678240740740738E-2</v>
      </c>
      <c r="G371" s="69">
        <f t="shared" si="148"/>
        <v>2.6157407407407407E-2</v>
      </c>
      <c r="H371" s="52">
        <v>55</v>
      </c>
      <c r="I371" s="12">
        <f t="shared" si="149"/>
        <v>4.2880995749848211E-3</v>
      </c>
      <c r="J371" s="37">
        <f t="shared" si="150"/>
        <v>1.5249999999999999</v>
      </c>
      <c r="K371" s="37">
        <f>IF(J371=0,0,IF(B371="F",VLOOKUP(I371,Barem!$G$2:$H$16,2,1),VLOOKUP(I371,Barem!$G$17:$H$31,2,1)))</f>
        <v>1.75</v>
      </c>
      <c r="L371" s="50">
        <v>4</v>
      </c>
      <c r="M371" s="124" t="s">
        <v>207</v>
      </c>
      <c r="N371" s="10">
        <f t="shared" si="147"/>
        <v>0.25</v>
      </c>
      <c r="O371" s="10">
        <f t="shared" si="147"/>
        <v>0.25</v>
      </c>
      <c r="P371" s="10">
        <f t="shared" si="147"/>
        <v>0.5</v>
      </c>
      <c r="Q371" s="40">
        <f t="shared" si="151"/>
        <v>3.6666666666666667E-2</v>
      </c>
      <c r="R371" s="21">
        <f>IF(D371&gt;21,VLOOKUP(D371,Barem!$T$1:$U$141,2,1),0)</f>
        <v>0</v>
      </c>
      <c r="S371" s="152">
        <f>IF(D371&lt;1.609,0,IF(B371="F",VLOOKUP(I371,Barem!$X$2:$Z$13,2,1),VLOOKUP(I371,Barem!$X$14:$Z$25,2,1)))</f>
        <v>0</v>
      </c>
      <c r="T371" s="21">
        <f>VLOOKUP(A371,Participanti!A:C,3,0)</f>
        <v>0</v>
      </c>
      <c r="U371" s="18">
        <f t="shared" si="152"/>
        <v>2.8554166666666667</v>
      </c>
      <c r="V371" s="58" t="s">
        <v>434</v>
      </c>
      <c r="W371" s="77">
        <f t="shared" si="146"/>
        <v>1</v>
      </c>
      <c r="X371" s="1" t="str">
        <f>VLOOKUP(A371,Data_Echipe!A:R,18,0)</f>
        <v>MedgidiaRunning</v>
      </c>
      <c r="Z371" s="115">
        <f t="shared" si="153"/>
        <v>1</v>
      </c>
    </row>
    <row r="372" spans="1:26" x14ac:dyDescent="0.3">
      <c r="A372" s="49" t="s">
        <v>291</v>
      </c>
      <c r="B372" s="1" t="str">
        <f>VLOOKUP(A372,Participanti!A:B,2,0)</f>
        <v>F</v>
      </c>
      <c r="C372" s="74">
        <v>5</v>
      </c>
      <c r="D372" s="50">
        <v>20</v>
      </c>
      <c r="E372" s="51">
        <v>0.16697916666666668</v>
      </c>
      <c r="F372" s="51">
        <v>0.16954861111111111</v>
      </c>
      <c r="G372" s="69">
        <f t="shared" si="148"/>
        <v>0.16826388888888888</v>
      </c>
      <c r="H372" s="52">
        <v>794</v>
      </c>
      <c r="I372" s="12">
        <f t="shared" si="149"/>
        <v>8.4131944444444436E-3</v>
      </c>
      <c r="J372" s="37">
        <f t="shared" si="150"/>
        <v>5</v>
      </c>
      <c r="K372" s="37">
        <f>IF(J372=0,0,IF(B372="F",VLOOKUP(I372,Barem!$G$2:$H$16,2,1),VLOOKUP(I372,Barem!$G$17:$H$31,2,1)))</f>
        <v>0</v>
      </c>
      <c r="L372" s="50">
        <v>3.25</v>
      </c>
      <c r="M372" s="124" t="s">
        <v>106</v>
      </c>
      <c r="N372" s="10">
        <f t="shared" si="147"/>
        <v>0.5</v>
      </c>
      <c r="O372" s="10">
        <f t="shared" si="147"/>
        <v>0.25</v>
      </c>
      <c r="P372" s="10">
        <f t="shared" si="147"/>
        <v>0.25</v>
      </c>
      <c r="Q372" s="40">
        <f t="shared" si="151"/>
        <v>0.52933333333333332</v>
      </c>
      <c r="R372" s="21">
        <f>IF(D372&gt;21,VLOOKUP(D372,Barem!$T$1:$U$141,2,1),0)</f>
        <v>0</v>
      </c>
      <c r="S372" s="152">
        <f>IF(D372&lt;1.609,0,IF(B372="F",VLOOKUP(I372,Barem!$X$2:$Z$13,2,1),VLOOKUP(I372,Barem!$X$14:$Z$25,2,1)))</f>
        <v>0</v>
      </c>
      <c r="T372" s="21">
        <f>VLOOKUP(A372,Participanti!A:C,3,0)</f>
        <v>0</v>
      </c>
      <c r="U372" s="18">
        <f t="shared" si="152"/>
        <v>3.8418333333333332</v>
      </c>
      <c r="V372" s="58" t="s">
        <v>434</v>
      </c>
      <c r="W372" s="77">
        <f t="shared" si="146"/>
        <v>1</v>
      </c>
      <c r="X372" s="1" t="str">
        <f>VLOOKUP(A372,Data_Echipe!A:R,18,0)</f>
        <v>#notSYRious</v>
      </c>
      <c r="Z372" s="115">
        <f t="shared" si="153"/>
        <v>0</v>
      </c>
    </row>
    <row r="373" spans="1:26" x14ac:dyDescent="0.3">
      <c r="A373" s="49" t="s">
        <v>59</v>
      </c>
      <c r="B373" s="1" t="str">
        <f>VLOOKUP(A373,Participanti!A:B,2,0)</f>
        <v>M</v>
      </c>
      <c r="C373" s="74">
        <v>5</v>
      </c>
      <c r="D373" s="50">
        <v>12.43</v>
      </c>
      <c r="E373" s="51">
        <v>4.2256944444444444E-2</v>
      </c>
      <c r="F373" s="51">
        <v>4.2256944444444444E-2</v>
      </c>
      <c r="G373" s="69">
        <f t="shared" si="148"/>
        <v>4.2256944444444444E-2</v>
      </c>
      <c r="H373" s="52"/>
      <c r="I373" s="12">
        <f t="shared" si="149"/>
        <v>3.3995932779118622E-3</v>
      </c>
      <c r="J373" s="37">
        <f t="shared" si="150"/>
        <v>2.9595238095238092</v>
      </c>
      <c r="K373" s="37">
        <f>IF(J373=0,0,IF(B373="F",VLOOKUP(I373,Barem!$G$2:$H$16,2,1),VLOOKUP(I373,Barem!$G$17:$H$31,2,1)))</f>
        <v>3</v>
      </c>
      <c r="L373" s="50">
        <v>2.25</v>
      </c>
      <c r="M373" s="124" t="s">
        <v>107</v>
      </c>
      <c r="N373" s="10">
        <f t="shared" si="147"/>
        <v>0.25</v>
      </c>
      <c r="O373" s="10">
        <f t="shared" si="147"/>
        <v>0.5</v>
      </c>
      <c r="P373" s="10">
        <f t="shared" si="147"/>
        <v>0.25</v>
      </c>
      <c r="Q373" s="40">
        <f t="shared" si="151"/>
        <v>0</v>
      </c>
      <c r="R373" s="21">
        <f>IF(D373&gt;21,VLOOKUP(D373,Barem!$T$1:$U$141,2,1),0)</f>
        <v>0</v>
      </c>
      <c r="S373" s="152">
        <f>IF(D373&lt;1.609,0,IF(B373="F",VLOOKUP(I373,Barem!$X$2:$Z$13,2,1),VLOOKUP(I373,Barem!$X$14:$Z$25,2,1)))</f>
        <v>0</v>
      </c>
      <c r="T373" s="21">
        <f>VLOOKUP(A373,Participanti!A:C,3,0)</f>
        <v>0</v>
      </c>
      <c r="U373" s="18">
        <f t="shared" si="152"/>
        <v>2.8023809523809522</v>
      </c>
      <c r="V373" s="58" t="s">
        <v>435</v>
      </c>
      <c r="W373" s="77">
        <f t="shared" si="146"/>
        <v>1</v>
      </c>
      <c r="X373" s="1" t="str">
        <f>VLOOKUP(A373,Data_Echipe!A:R,18,0)</f>
        <v>Almost Kenyan Runners</v>
      </c>
      <c r="Z373" s="115">
        <f t="shared" si="153"/>
        <v>1</v>
      </c>
    </row>
    <row r="374" spans="1:26" x14ac:dyDescent="0.3">
      <c r="A374" s="49" t="s">
        <v>355</v>
      </c>
      <c r="B374" s="1" t="str">
        <f>VLOOKUP(A374,Participanti!A:B,2,0)</f>
        <v>F</v>
      </c>
      <c r="C374" s="74">
        <v>5</v>
      </c>
      <c r="D374" s="50">
        <v>3.02</v>
      </c>
      <c r="E374" s="51">
        <v>1.0856481481481481E-2</v>
      </c>
      <c r="F374" s="51">
        <v>1.0856481481481481E-2</v>
      </c>
      <c r="G374" s="69">
        <f t="shared" si="148"/>
        <v>1.0856481481481481E-2</v>
      </c>
      <c r="H374" s="52"/>
      <c r="I374" s="12">
        <f t="shared" si="149"/>
        <v>3.5948614177090995E-3</v>
      </c>
      <c r="J374" s="37">
        <f t="shared" si="150"/>
        <v>0.755</v>
      </c>
      <c r="K374" s="37">
        <f>IF(J374=0,0,IF(B374="F",VLOOKUP(I374,Barem!$G$2:$H$16,2,1),VLOOKUP(I374,Barem!$G$17:$H$31,2,1)))</f>
        <v>3.5</v>
      </c>
      <c r="L374" s="50">
        <v>2.75</v>
      </c>
      <c r="M374" s="124" t="s">
        <v>107</v>
      </c>
      <c r="N374" s="10">
        <f t="shared" si="147"/>
        <v>0.25</v>
      </c>
      <c r="O374" s="10">
        <f t="shared" si="147"/>
        <v>0.5</v>
      </c>
      <c r="P374" s="10">
        <f t="shared" si="147"/>
        <v>0.25</v>
      </c>
      <c r="Q374" s="40">
        <f t="shared" si="151"/>
        <v>0</v>
      </c>
      <c r="R374" s="21">
        <f>IF(D374&gt;21,VLOOKUP(D374,Barem!$T$1:$U$141,2,1),0)</f>
        <v>0</v>
      </c>
      <c r="S374" s="152">
        <f>IF(D374&lt;1.609,0,IF(B374="F",VLOOKUP(I374,Barem!$X$2:$Z$13,2,1),VLOOKUP(I374,Barem!$X$14:$Z$25,2,1)))</f>
        <v>0</v>
      </c>
      <c r="T374" s="21">
        <f>VLOOKUP(A374,Participanti!A:C,3,0)</f>
        <v>0</v>
      </c>
      <c r="U374" s="18">
        <f t="shared" si="152"/>
        <v>2.6262499999999998</v>
      </c>
      <c r="V374" s="58" t="s">
        <v>435</v>
      </c>
      <c r="W374" s="77">
        <f t="shared" si="146"/>
        <v>1</v>
      </c>
      <c r="X374" s="1" t="str">
        <f>VLOOKUP(A374,Data_Echipe!A:R,18,0)</f>
        <v>#notSYRious</v>
      </c>
      <c r="Z374" s="115">
        <f t="shared" si="153"/>
        <v>1</v>
      </c>
    </row>
    <row r="375" spans="1:26" x14ac:dyDescent="0.3">
      <c r="A375" s="49" t="s">
        <v>387</v>
      </c>
      <c r="B375" s="1" t="str">
        <f>VLOOKUP(A375,Participanti!A:B,2,0)</f>
        <v>F</v>
      </c>
      <c r="C375" s="74">
        <v>5</v>
      </c>
      <c r="D375" s="50">
        <v>7.01</v>
      </c>
      <c r="E375" s="51">
        <v>2.525462962962963E-2</v>
      </c>
      <c r="F375" s="51">
        <v>2.525462962962963E-2</v>
      </c>
      <c r="G375" s="69">
        <f t="shared" si="148"/>
        <v>2.525462962962963E-2</v>
      </c>
      <c r="H375" s="52"/>
      <c r="I375" s="12">
        <f t="shared" si="149"/>
        <v>3.602657579119776E-3</v>
      </c>
      <c r="J375" s="37">
        <f t="shared" si="150"/>
        <v>1.7524999999999999</v>
      </c>
      <c r="K375" s="37">
        <f>IF(J375=0,0,IF(B375="F",VLOOKUP(I375,Barem!$G$2:$H$16,2,1),VLOOKUP(I375,Barem!$G$17:$H$31,2,1)))</f>
        <v>3.5</v>
      </c>
      <c r="L375" s="50">
        <v>1.75</v>
      </c>
      <c r="M375" s="124" t="s">
        <v>107</v>
      </c>
      <c r="N375" s="10">
        <f t="shared" si="147"/>
        <v>0.25</v>
      </c>
      <c r="O375" s="10">
        <f t="shared" si="147"/>
        <v>0.5</v>
      </c>
      <c r="P375" s="10">
        <f t="shared" si="147"/>
        <v>0.25</v>
      </c>
      <c r="Q375" s="40">
        <f t="shared" si="151"/>
        <v>0</v>
      </c>
      <c r="R375" s="21">
        <f>IF(D375&gt;21,VLOOKUP(D375,Barem!$T$1:$U$141,2,1),0)</f>
        <v>0</v>
      </c>
      <c r="S375" s="152">
        <f>IF(D375&lt;1.609,0,IF(B375="F",VLOOKUP(I375,Barem!$X$2:$Z$13,2,1),VLOOKUP(I375,Barem!$X$14:$Z$25,2,1)))</f>
        <v>0</v>
      </c>
      <c r="T375" s="21">
        <f>VLOOKUP(A375,Participanti!A:C,3,0)</f>
        <v>0</v>
      </c>
      <c r="U375" s="18">
        <f t="shared" si="152"/>
        <v>2.6256249999999999</v>
      </c>
      <c r="V375" s="58" t="s">
        <v>435</v>
      </c>
      <c r="W375" s="77">
        <f t="shared" si="146"/>
        <v>1</v>
      </c>
      <c r="X375" s="1" t="str">
        <f>VLOOKUP(A375,Data_Echipe!A:R,18,0)</f>
        <v>#notSYRious</v>
      </c>
      <c r="Z375" s="115">
        <f t="shared" si="153"/>
        <v>1</v>
      </c>
    </row>
    <row r="376" spans="1:26" x14ac:dyDescent="0.3">
      <c r="A376" s="49" t="s">
        <v>204</v>
      </c>
      <c r="B376" s="1" t="str">
        <f>VLOOKUP(A376,Participanti!A:B,2,0)</f>
        <v>M</v>
      </c>
      <c r="C376" s="74">
        <v>5</v>
      </c>
      <c r="D376" s="50">
        <v>5.72</v>
      </c>
      <c r="E376" s="51">
        <v>2.5717592592592594E-2</v>
      </c>
      <c r="F376" s="51">
        <v>3.0127314814814815E-2</v>
      </c>
      <c r="G376" s="69">
        <f t="shared" si="148"/>
        <v>2.7922453703703706E-2</v>
      </c>
      <c r="H376" s="52"/>
      <c r="I376" s="12">
        <f t="shared" si="149"/>
        <v>4.8815478502978512E-3</v>
      </c>
      <c r="J376" s="37">
        <f t="shared" si="150"/>
        <v>1.3619047619047617</v>
      </c>
      <c r="K376" s="37">
        <f>IF(J376=0,0,IF(B376="F",VLOOKUP(I376,Barem!$G$2:$H$16,2,1),VLOOKUP(I376,Barem!$G$17:$H$31,2,1)))</f>
        <v>0.25</v>
      </c>
      <c r="L376" s="50">
        <v>2.5</v>
      </c>
      <c r="M376" s="124" t="s">
        <v>107</v>
      </c>
      <c r="N376" s="10">
        <f t="shared" si="147"/>
        <v>0.25</v>
      </c>
      <c r="O376" s="10">
        <f t="shared" si="147"/>
        <v>0.5</v>
      </c>
      <c r="P376" s="10">
        <f t="shared" si="147"/>
        <v>0.25</v>
      </c>
      <c r="Q376" s="40">
        <f t="shared" si="151"/>
        <v>0</v>
      </c>
      <c r="R376" s="21">
        <f>IF(D376&gt;21,VLOOKUP(D376,Barem!$T$1:$U$141,2,1),0)</f>
        <v>0</v>
      </c>
      <c r="S376" s="152">
        <f>IF(D376&lt;1.609,0,IF(B376="F",VLOOKUP(I376,Barem!$X$2:$Z$13,2,1),VLOOKUP(I376,Barem!$X$14:$Z$25,2,1)))</f>
        <v>0</v>
      </c>
      <c r="T376" s="21">
        <f>VLOOKUP(A376,Participanti!A:C,3,0)</f>
        <v>0</v>
      </c>
      <c r="U376" s="18">
        <f t="shared" si="152"/>
        <v>1.0904761904761904</v>
      </c>
      <c r="V376" s="58" t="s">
        <v>435</v>
      </c>
      <c r="W376" s="77">
        <f t="shared" si="146"/>
        <v>1</v>
      </c>
      <c r="X376" s="1" t="e">
        <f>VLOOKUP(A376,Data_Echipe!A:R,18,0)</f>
        <v>#N/A</v>
      </c>
      <c r="Z376" s="115">
        <f t="shared" si="153"/>
        <v>1</v>
      </c>
    </row>
    <row r="377" spans="1:26" x14ac:dyDescent="0.3">
      <c r="A377" s="49" t="s">
        <v>124</v>
      </c>
      <c r="B377" s="1" t="str">
        <f>VLOOKUP(A377,Participanti!A:B,2,0)</f>
        <v>M</v>
      </c>
      <c r="C377" s="74">
        <v>5</v>
      </c>
      <c r="D377" s="50">
        <v>30.04</v>
      </c>
      <c r="E377" s="51">
        <v>7.8391203703703713E-2</v>
      </c>
      <c r="F377" s="51">
        <v>7.8807870370370361E-2</v>
      </c>
      <c r="G377" s="69">
        <f t="shared" si="148"/>
        <v>7.8599537037037037E-2</v>
      </c>
      <c r="H377" s="52"/>
      <c r="I377" s="12">
        <f t="shared" si="149"/>
        <v>2.6164959066923114E-3</v>
      </c>
      <c r="J377" s="37">
        <f t="shared" si="150"/>
        <v>5</v>
      </c>
      <c r="K377" s="37">
        <f>IF(J377=0,0,IF(B377="F",VLOOKUP(I377,Barem!$G$2:$H$16,2,1),VLOOKUP(I377,Barem!$G$17:$H$31,2,1)))</f>
        <v>5</v>
      </c>
      <c r="L377" s="50">
        <v>3.25</v>
      </c>
      <c r="M377" s="124" t="s">
        <v>106</v>
      </c>
      <c r="N377" s="10">
        <f t="shared" si="147"/>
        <v>0.5</v>
      </c>
      <c r="O377" s="10">
        <f t="shared" si="147"/>
        <v>0.25</v>
      </c>
      <c r="P377" s="10">
        <f t="shared" si="147"/>
        <v>0.25</v>
      </c>
      <c r="Q377" s="40">
        <f t="shared" si="151"/>
        <v>0</v>
      </c>
      <c r="R377" s="21">
        <f>IF(D377&gt;21,VLOOKUP(D377,Barem!$T$1:$U$141,2,1),0)</f>
        <v>0.4</v>
      </c>
      <c r="S377" s="152">
        <f>IF(D377&lt;1.609,0,IF(B377="F",VLOOKUP(I377,Barem!$X$2:$Z$13,2,1),VLOOKUP(I377,Barem!$X$14:$Z$25,2,1)))</f>
        <v>0.89999999999999991</v>
      </c>
      <c r="T377" s="21">
        <f>VLOOKUP(A377,Participanti!A:C,3,0)</f>
        <v>0</v>
      </c>
      <c r="U377" s="18">
        <f t="shared" si="152"/>
        <v>5.8625000000000007</v>
      </c>
      <c r="V377" s="58" t="s">
        <v>435</v>
      </c>
      <c r="W377" s="77">
        <f t="shared" si="146"/>
        <v>1</v>
      </c>
      <c r="X377" s="1" t="str">
        <f>VLOOKUP(A377,Data_Echipe!A:R,18,0)</f>
        <v>#notSYRious</v>
      </c>
      <c r="Z377" s="115">
        <f t="shared" si="153"/>
        <v>1</v>
      </c>
    </row>
    <row r="378" spans="1:26" x14ac:dyDescent="0.3">
      <c r="A378" s="49" t="s">
        <v>252</v>
      </c>
      <c r="B378" s="1" t="str">
        <f>VLOOKUP(A378,Participanti!A:B,2,0)</f>
        <v>M</v>
      </c>
      <c r="C378" s="74">
        <v>5</v>
      </c>
      <c r="D378" s="50">
        <v>18.07</v>
      </c>
      <c r="E378" s="51">
        <v>7.12037037037037E-2</v>
      </c>
      <c r="F378" s="51">
        <v>7.1562499999999987E-2</v>
      </c>
      <c r="G378" s="69">
        <f t="shared" si="148"/>
        <v>7.1383101851851843E-2</v>
      </c>
      <c r="H378" s="52">
        <v>583</v>
      </c>
      <c r="I378" s="12">
        <f t="shared" si="149"/>
        <v>3.9503653487466435E-3</v>
      </c>
      <c r="J378" s="37">
        <f t="shared" si="150"/>
        <v>4.3023809523809522</v>
      </c>
      <c r="K378" s="37">
        <f>IF(J378=0,0,IF(B378="F",VLOOKUP(I378,Barem!$G$2:$H$16,2,1),VLOOKUP(I378,Barem!$G$17:$H$31,2,1)))</f>
        <v>1.75</v>
      </c>
      <c r="L378" s="50">
        <v>2.75</v>
      </c>
      <c r="M378" s="124" t="s">
        <v>207</v>
      </c>
      <c r="N378" s="10">
        <f t="shared" si="147"/>
        <v>0.25</v>
      </c>
      <c r="O378" s="10">
        <f t="shared" si="147"/>
        <v>0.25</v>
      </c>
      <c r="P378" s="10">
        <f t="shared" si="147"/>
        <v>0.5</v>
      </c>
      <c r="Q378" s="40">
        <f t="shared" si="151"/>
        <v>0.38866666666666666</v>
      </c>
      <c r="R378" s="21">
        <f>IF(D378&gt;21,VLOOKUP(D378,Barem!$T$1:$U$141,2,1),0)</f>
        <v>0</v>
      </c>
      <c r="S378" s="152">
        <f>IF(D378&lt;1.609,0,IF(B378="F",VLOOKUP(I378,Barem!$X$2:$Z$13,2,1),VLOOKUP(I378,Barem!$X$14:$Z$25,2,1)))</f>
        <v>0</v>
      </c>
      <c r="T378" s="21">
        <f>VLOOKUP(A378,Participanti!A:C,3,0)</f>
        <v>0</v>
      </c>
      <c r="U378" s="18">
        <f t="shared" si="152"/>
        <v>3.2767619047619045</v>
      </c>
      <c r="V378" s="58" t="s">
        <v>436</v>
      </c>
      <c r="W378" s="77">
        <f t="shared" si="146"/>
        <v>1</v>
      </c>
      <c r="X378" s="1" t="str">
        <f>VLOOKUP(A378,Data_Echipe!A:R,18,0)</f>
        <v>UltraHaita lu' Borcan</v>
      </c>
      <c r="Z378" s="115">
        <f t="shared" si="153"/>
        <v>1</v>
      </c>
    </row>
    <row r="379" spans="1:26" x14ac:dyDescent="0.3">
      <c r="A379" s="49" t="s">
        <v>345</v>
      </c>
      <c r="B379" s="1" t="str">
        <f>VLOOKUP(A379,Participanti!A:B,2,0)</f>
        <v>F</v>
      </c>
      <c r="C379" s="74">
        <v>5</v>
      </c>
      <c r="D379" s="50">
        <v>13.1</v>
      </c>
      <c r="E379" s="51">
        <v>5.1076388888888886E-2</v>
      </c>
      <c r="F379" s="51">
        <v>5.4027777777777779E-2</v>
      </c>
      <c r="G379" s="69">
        <f t="shared" ref="G379:G397" si="154">AVERAGE(E379:F379)</f>
        <v>5.2552083333333333E-2</v>
      </c>
      <c r="H379" s="52">
        <v>87</v>
      </c>
      <c r="I379" s="12">
        <f t="shared" ref="I379:I397" si="155">G379/D379</f>
        <v>4.0116094147582696E-3</v>
      </c>
      <c r="J379" s="37">
        <f t="shared" ref="J379:J397" si="156">IF(B379="F",IF(D379&lt;2.5,0,IF(D379&gt;19.99,5,D379/4)),IF(D379&lt;3,0, IF(D379&gt;20.99,5,D379/4.2)))</f>
        <v>3.2749999999999999</v>
      </c>
      <c r="K379" s="37">
        <f>IF(J379=0,0,IF(B379="F",VLOOKUP(I379,Barem!$G$2:$H$16,2,1),VLOOKUP(I379,Barem!$G$17:$H$31,2,1)))</f>
        <v>2</v>
      </c>
      <c r="L379" s="50">
        <v>1.75</v>
      </c>
      <c r="M379" s="124" t="s">
        <v>107</v>
      </c>
      <c r="N379" s="10">
        <f t="shared" si="147"/>
        <v>0.25</v>
      </c>
      <c r="O379" s="10">
        <f t="shared" si="147"/>
        <v>0.5</v>
      </c>
      <c r="P379" s="10">
        <f t="shared" si="147"/>
        <v>0.25</v>
      </c>
      <c r="Q379" s="40">
        <f t="shared" ref="Q379:Q397" si="157">IF(H379&gt;49,H379/1500,0)</f>
        <v>5.8000000000000003E-2</v>
      </c>
      <c r="R379" s="21">
        <f>IF(D379&gt;21,VLOOKUP(D379,Barem!$T$1:$U$141,2,1),0)</f>
        <v>0</v>
      </c>
      <c r="S379" s="152">
        <f>IF(D379&lt;1.609,0,IF(B379="F",VLOOKUP(I379,Barem!$X$2:$Z$13,2,1),VLOOKUP(I379,Barem!$X$14:$Z$25,2,1)))</f>
        <v>0</v>
      </c>
      <c r="T379" s="21">
        <f>VLOOKUP(A379,Participanti!A:C,3,0)</f>
        <v>0</v>
      </c>
      <c r="U379" s="18">
        <f t="shared" ref="U379:U397" si="158">IF(H379&lt;0,0,J379*N379+K379*O379+L379*P379+Q379+R379+S379+T379)</f>
        <v>2.3142499999999999</v>
      </c>
      <c r="V379" s="58" t="s">
        <v>436</v>
      </c>
      <c r="W379" s="77">
        <f t="shared" si="146"/>
        <v>1</v>
      </c>
      <c r="X379" s="1" t="str">
        <f>VLOOKUP(A379,Data_Echipe!A:R,18,0)</f>
        <v>MedgidiaRunning</v>
      </c>
      <c r="Z379" s="115">
        <f t="shared" ref="Z379:Z397" si="159">IF(K379&gt;0,1,0)</f>
        <v>1</v>
      </c>
    </row>
    <row r="380" spans="1:26" x14ac:dyDescent="0.3">
      <c r="A380" s="49" t="s">
        <v>351</v>
      </c>
      <c r="B380" s="1" t="str">
        <f>VLOOKUP(A380,Participanti!A:B,2,0)</f>
        <v>F</v>
      </c>
      <c r="C380" s="74">
        <v>5</v>
      </c>
      <c r="D380" s="50">
        <v>19.010000000000002</v>
      </c>
      <c r="E380" s="51">
        <v>7.5451388888888887E-2</v>
      </c>
      <c r="F380" s="51">
        <v>8.0439814814814811E-2</v>
      </c>
      <c r="G380" s="69">
        <f t="shared" si="154"/>
        <v>7.7945601851851842E-2</v>
      </c>
      <c r="H380" s="52"/>
      <c r="I380" s="12">
        <f t="shared" si="155"/>
        <v>4.10024207532098E-3</v>
      </c>
      <c r="J380" s="37">
        <f t="shared" si="156"/>
        <v>4.7525000000000004</v>
      </c>
      <c r="K380" s="37">
        <f>IF(J380=0,0,IF(B380="F",VLOOKUP(I380,Barem!$G$2:$H$16,2,1),VLOOKUP(I380,Barem!$G$17:$H$31,2,1)))</f>
        <v>2</v>
      </c>
      <c r="L380" s="50">
        <v>1.5</v>
      </c>
      <c r="M380" s="124" t="s">
        <v>106</v>
      </c>
      <c r="N380" s="10">
        <f t="shared" ref="N380:P398" si="160">IF($M380=N$1,50%,25%)</f>
        <v>0.5</v>
      </c>
      <c r="O380" s="10">
        <f t="shared" si="160"/>
        <v>0.25</v>
      </c>
      <c r="P380" s="10">
        <f t="shared" si="160"/>
        <v>0.25</v>
      </c>
      <c r="Q380" s="40">
        <f t="shared" si="157"/>
        <v>0</v>
      </c>
      <c r="R380" s="21">
        <f>IF(D380&gt;21,VLOOKUP(D380,Barem!$T$1:$U$141,2,1),0)</f>
        <v>0</v>
      </c>
      <c r="S380" s="152">
        <f>IF(D380&lt;1.609,0,IF(B380="F",VLOOKUP(I380,Barem!$X$2:$Z$13,2,1),VLOOKUP(I380,Barem!$X$14:$Z$25,2,1)))</f>
        <v>0</v>
      </c>
      <c r="T380" s="21">
        <f>VLOOKUP(A380,Participanti!A:C,3,0)</f>
        <v>0</v>
      </c>
      <c r="U380" s="18">
        <f t="shared" si="158"/>
        <v>3.2512500000000002</v>
      </c>
      <c r="V380" s="58" t="s">
        <v>436</v>
      </c>
      <c r="W380" s="77">
        <f t="shared" si="146"/>
        <v>1</v>
      </c>
      <c r="X380" s="1" t="e">
        <f>VLOOKUP(A380,Data_Echipe!A:R,18,0)</f>
        <v>#N/A</v>
      </c>
      <c r="Z380" s="115">
        <f t="shared" si="159"/>
        <v>1</v>
      </c>
    </row>
    <row r="381" spans="1:26" x14ac:dyDescent="0.3">
      <c r="A381" s="49" t="s">
        <v>125</v>
      </c>
      <c r="B381" s="1" t="str">
        <f>VLOOKUP(A381,Participanti!A:B,2,0)</f>
        <v>M</v>
      </c>
      <c r="C381" s="74">
        <v>5</v>
      </c>
      <c r="D381" s="50">
        <v>12.04</v>
      </c>
      <c r="E381" s="51">
        <v>3.3310185185185186E-2</v>
      </c>
      <c r="F381" s="51">
        <v>3.3310185185185186E-2</v>
      </c>
      <c r="G381" s="69">
        <f t="shared" si="154"/>
        <v>3.3310185185185186E-2</v>
      </c>
      <c r="H381" s="52"/>
      <c r="I381" s="12">
        <f t="shared" si="155"/>
        <v>2.7666266765103975E-3</v>
      </c>
      <c r="J381" s="37">
        <f t="shared" si="156"/>
        <v>2.8666666666666663</v>
      </c>
      <c r="K381" s="37">
        <f>IF(J381=0,0,IF(B381="F",VLOOKUP(I381,Barem!$G$2:$H$16,2,1),VLOOKUP(I381,Barem!$G$17:$H$31,2,1)))</f>
        <v>5</v>
      </c>
      <c r="L381" s="50">
        <v>1.25</v>
      </c>
      <c r="M381" s="124" t="s">
        <v>107</v>
      </c>
      <c r="N381" s="10">
        <f t="shared" si="160"/>
        <v>0.25</v>
      </c>
      <c r="O381" s="10">
        <f t="shared" si="160"/>
        <v>0.5</v>
      </c>
      <c r="P381" s="10">
        <f t="shared" si="160"/>
        <v>0.25</v>
      </c>
      <c r="Q381" s="40">
        <f t="shared" si="157"/>
        <v>0</v>
      </c>
      <c r="R381" s="21">
        <f>IF(D381&gt;21,VLOOKUP(D381,Barem!$T$1:$U$141,2,1),0)</f>
        <v>0</v>
      </c>
      <c r="S381" s="152">
        <f>IF(D381&lt;1.609,0,IF(B381="F",VLOOKUP(I381,Barem!$X$2:$Z$13,2,1),VLOOKUP(I381,Barem!$X$14:$Z$25,2,1)))</f>
        <v>0.15000000000000002</v>
      </c>
      <c r="T381" s="21">
        <f>VLOOKUP(A381,Participanti!A:C,3,0)</f>
        <v>0</v>
      </c>
      <c r="U381" s="18">
        <f t="shared" si="158"/>
        <v>3.6791666666666667</v>
      </c>
      <c r="V381" s="58" t="s">
        <v>436</v>
      </c>
      <c r="W381" s="77">
        <f t="shared" si="146"/>
        <v>1</v>
      </c>
      <c r="X381" s="1" t="str">
        <f>VLOOKUP(A381,Data_Echipe!A:R,18,0)</f>
        <v>The GOATs</v>
      </c>
      <c r="Z381" s="115">
        <f t="shared" si="159"/>
        <v>1</v>
      </c>
    </row>
    <row r="382" spans="1:26" x14ac:dyDescent="0.3">
      <c r="A382" s="49" t="s">
        <v>275</v>
      </c>
      <c r="B382" s="1" t="str">
        <f>VLOOKUP(A382,Participanti!A:B,2,0)</f>
        <v>M</v>
      </c>
      <c r="C382" s="74">
        <v>5</v>
      </c>
      <c r="D382" s="50">
        <v>23.02</v>
      </c>
      <c r="E382" s="51">
        <v>7.1979166666666664E-2</v>
      </c>
      <c r="F382" s="51">
        <v>9.1608796296296299E-2</v>
      </c>
      <c r="G382" s="69">
        <f t="shared" si="154"/>
        <v>8.1793981481481481E-2</v>
      </c>
      <c r="H382" s="52">
        <v>54</v>
      </c>
      <c r="I382" s="12">
        <f t="shared" si="155"/>
        <v>3.5531703510634873E-3</v>
      </c>
      <c r="J382" s="37">
        <f t="shared" si="156"/>
        <v>5</v>
      </c>
      <c r="K382" s="37">
        <f>IF(J382=0,0,IF(B382="F",VLOOKUP(I382,Barem!$G$2:$H$16,2,1),VLOOKUP(I382,Barem!$G$17:$H$31,2,1)))</f>
        <v>2.5</v>
      </c>
      <c r="L382" s="50">
        <v>2.25</v>
      </c>
      <c r="M382" s="124" t="s">
        <v>107</v>
      </c>
      <c r="N382" s="10">
        <f t="shared" si="160"/>
        <v>0.25</v>
      </c>
      <c r="O382" s="10">
        <f t="shared" si="160"/>
        <v>0.5</v>
      </c>
      <c r="P382" s="10">
        <f t="shared" si="160"/>
        <v>0.25</v>
      </c>
      <c r="Q382" s="40">
        <f t="shared" si="157"/>
        <v>3.5999999999999997E-2</v>
      </c>
      <c r="R382" s="21">
        <f>IF(D382&gt;21,VLOOKUP(D382,Barem!$T$1:$U$141,2,1),0)</f>
        <v>0.1</v>
      </c>
      <c r="S382" s="152">
        <f>IF(D382&lt;1.609,0,IF(B382="F",VLOOKUP(I382,Barem!$X$2:$Z$13,2,1),VLOOKUP(I382,Barem!$X$14:$Z$25,2,1)))</f>
        <v>0</v>
      </c>
      <c r="T382" s="21">
        <f>VLOOKUP(A382,Participanti!A:C,3,0)</f>
        <v>0</v>
      </c>
      <c r="U382" s="18">
        <f t="shared" si="158"/>
        <v>3.1985000000000001</v>
      </c>
      <c r="V382" s="58" t="s">
        <v>436</v>
      </c>
      <c r="W382" s="77">
        <f t="shared" si="146"/>
        <v>1</v>
      </c>
      <c r="X382" s="1" t="e">
        <f>VLOOKUP(A382,Data_Echipe!A:R,18,0)</f>
        <v>#N/A</v>
      </c>
      <c r="Z382" s="115">
        <f t="shared" si="159"/>
        <v>1</v>
      </c>
    </row>
    <row r="383" spans="1:26" x14ac:dyDescent="0.3">
      <c r="A383" s="49" t="s">
        <v>346</v>
      </c>
      <c r="B383" s="1" t="str">
        <f>VLOOKUP(A383,Participanti!A:B,2,0)</f>
        <v>M</v>
      </c>
      <c r="C383" s="74">
        <v>5</v>
      </c>
      <c r="D383" s="50">
        <v>90.13</v>
      </c>
      <c r="E383" s="51">
        <v>0.34451388888888884</v>
      </c>
      <c r="F383" s="51">
        <v>0.40931712962962963</v>
      </c>
      <c r="G383" s="69">
        <f t="shared" si="154"/>
        <v>0.37691550925925921</v>
      </c>
      <c r="H383" s="52">
        <v>263</v>
      </c>
      <c r="I383" s="12">
        <f t="shared" si="155"/>
        <v>4.1819095668396674E-3</v>
      </c>
      <c r="J383" s="37">
        <f t="shared" si="156"/>
        <v>5</v>
      </c>
      <c r="K383" s="37">
        <f>IF(J383=0,0,IF(B383="F",VLOOKUP(I383,Barem!$G$2:$H$16,2,1),VLOOKUP(I383,Barem!$G$17:$H$31,2,1)))</f>
        <v>1.25</v>
      </c>
      <c r="L383" s="50">
        <v>3.25</v>
      </c>
      <c r="M383" s="124" t="s">
        <v>106</v>
      </c>
      <c r="N383" s="10">
        <f t="shared" si="160"/>
        <v>0.5</v>
      </c>
      <c r="O383" s="10">
        <f t="shared" si="160"/>
        <v>0.25</v>
      </c>
      <c r="P383" s="10">
        <f t="shared" si="160"/>
        <v>0.25</v>
      </c>
      <c r="Q383" s="40">
        <f t="shared" si="157"/>
        <v>0.17533333333333334</v>
      </c>
      <c r="R383" s="21">
        <f>IF(D383&gt;21,VLOOKUP(D383,Barem!$T$1:$U$141,2,1),0)</f>
        <v>3.4</v>
      </c>
      <c r="S383" s="152">
        <f>IF(D383&lt;1.609,0,IF(B383="F",VLOOKUP(I383,Barem!$X$2:$Z$13,2,1),VLOOKUP(I383,Barem!$X$14:$Z$25,2,1)))</f>
        <v>0</v>
      </c>
      <c r="T383" s="21">
        <f>VLOOKUP(A383,Participanti!A:C,3,0)</f>
        <v>0</v>
      </c>
      <c r="U383" s="18">
        <f t="shared" si="158"/>
        <v>7.200333333333333</v>
      </c>
      <c r="V383" s="58" t="s">
        <v>436</v>
      </c>
      <c r="W383" s="77">
        <f t="shared" si="146"/>
        <v>1</v>
      </c>
      <c r="X383" s="1" t="str">
        <f>VLOOKUP(A383,Data_Echipe!A:R,18,0)</f>
        <v>UltraHaita lu' Borcan</v>
      </c>
      <c r="Z383" s="115">
        <f t="shared" si="159"/>
        <v>1</v>
      </c>
    </row>
    <row r="384" spans="1:26" x14ac:dyDescent="0.3">
      <c r="A384" s="49" t="s">
        <v>203</v>
      </c>
      <c r="B384" s="1" t="str">
        <f>VLOOKUP(A384,Participanti!A:B,2,0)</f>
        <v>M</v>
      </c>
      <c r="C384" s="74">
        <v>5</v>
      </c>
      <c r="D384" s="50">
        <v>35.340000000000003</v>
      </c>
      <c r="E384" s="51">
        <v>0.14298611111111112</v>
      </c>
      <c r="F384" s="51">
        <v>0.14534722222222221</v>
      </c>
      <c r="G384" s="69">
        <f t="shared" si="154"/>
        <v>0.14416666666666667</v>
      </c>
      <c r="H384" s="52">
        <v>72</v>
      </c>
      <c r="I384" s="12">
        <f t="shared" si="155"/>
        <v>4.0794189775514049E-3</v>
      </c>
      <c r="J384" s="37">
        <f t="shared" si="156"/>
        <v>5</v>
      </c>
      <c r="K384" s="37">
        <f>IF(J384=0,0,IF(B384="F",VLOOKUP(I384,Barem!$G$2:$H$16,2,1),VLOOKUP(I384,Barem!$G$17:$H$31,2,1)))</f>
        <v>1.5</v>
      </c>
      <c r="L384" s="50">
        <v>4</v>
      </c>
      <c r="M384" s="124" t="s">
        <v>106</v>
      </c>
      <c r="N384" s="10">
        <f t="shared" si="160"/>
        <v>0.5</v>
      </c>
      <c r="O384" s="10">
        <f t="shared" si="160"/>
        <v>0.25</v>
      </c>
      <c r="P384" s="10">
        <f t="shared" si="160"/>
        <v>0.25</v>
      </c>
      <c r="Q384" s="40">
        <f t="shared" si="157"/>
        <v>4.8000000000000001E-2</v>
      </c>
      <c r="R384" s="21">
        <f>IF(D384&gt;21,VLOOKUP(D384,Barem!$T$1:$U$141,2,1),0)</f>
        <v>0.7</v>
      </c>
      <c r="S384" s="152">
        <f>IF(D384&lt;1.609,0,IF(B384="F",VLOOKUP(I384,Barem!$X$2:$Z$13,2,1),VLOOKUP(I384,Barem!$X$14:$Z$25,2,1)))</f>
        <v>0</v>
      </c>
      <c r="T384" s="21">
        <f>VLOOKUP(A384,Participanti!A:C,3,0)</f>
        <v>0</v>
      </c>
      <c r="U384" s="18">
        <f t="shared" si="158"/>
        <v>4.6230000000000002</v>
      </c>
      <c r="V384" s="58" t="s">
        <v>436</v>
      </c>
      <c r="W384" s="77">
        <f t="shared" si="146"/>
        <v>1</v>
      </c>
      <c r="X384" s="1" t="str">
        <f>VLOOKUP(A384,Data_Echipe!A:R,18,0)</f>
        <v>The GOATs</v>
      </c>
      <c r="Z384" s="115">
        <f t="shared" si="159"/>
        <v>1</v>
      </c>
    </row>
    <row r="385" spans="1:26" x14ac:dyDescent="0.3">
      <c r="A385" s="49" t="s">
        <v>288</v>
      </c>
      <c r="B385" s="1" t="str">
        <f>VLOOKUP(A385,Participanti!A:B,2,0)</f>
        <v>M</v>
      </c>
      <c r="C385" s="74">
        <v>5</v>
      </c>
      <c r="D385" s="50">
        <v>12.57</v>
      </c>
      <c r="E385" s="51">
        <v>4.9791666666666672E-2</v>
      </c>
      <c r="F385" s="51">
        <v>5.4282407407407411E-2</v>
      </c>
      <c r="G385" s="69">
        <f t="shared" si="154"/>
        <v>5.2037037037037041E-2</v>
      </c>
      <c r="H385" s="52">
        <v>133</v>
      </c>
      <c r="I385" s="12">
        <f t="shared" si="155"/>
        <v>4.1397801938772502E-3</v>
      </c>
      <c r="J385" s="37">
        <f t="shared" si="156"/>
        <v>2.9928571428571429</v>
      </c>
      <c r="K385" s="37">
        <f>IF(J385=0,0,IF(B385="F",VLOOKUP(I385,Barem!$G$2:$H$16,2,1),VLOOKUP(I385,Barem!$G$17:$H$31,2,1)))</f>
        <v>1.5</v>
      </c>
      <c r="L385" s="50">
        <v>2</v>
      </c>
      <c r="M385" s="124" t="s">
        <v>107</v>
      </c>
      <c r="N385" s="10">
        <f t="shared" si="160"/>
        <v>0.25</v>
      </c>
      <c r="O385" s="10">
        <f t="shared" si="160"/>
        <v>0.5</v>
      </c>
      <c r="P385" s="10">
        <f t="shared" si="160"/>
        <v>0.25</v>
      </c>
      <c r="Q385" s="40">
        <f t="shared" si="157"/>
        <v>8.8666666666666671E-2</v>
      </c>
      <c r="R385" s="21">
        <f>IF(D385&gt;21,VLOOKUP(D385,Barem!$T$1:$U$141,2,1),0)</f>
        <v>0</v>
      </c>
      <c r="S385" s="152">
        <f>IF(D385&lt;1.609,0,IF(B385="F",VLOOKUP(I385,Barem!$X$2:$Z$13,2,1),VLOOKUP(I385,Barem!$X$14:$Z$25,2,1)))</f>
        <v>0</v>
      </c>
      <c r="T385" s="21">
        <f>VLOOKUP(A385,Participanti!A:C,3,0)</f>
        <v>0</v>
      </c>
      <c r="U385" s="18">
        <f t="shared" si="158"/>
        <v>2.0868809523809526</v>
      </c>
      <c r="V385" s="58" t="s">
        <v>436</v>
      </c>
      <c r="W385" s="77">
        <f t="shared" si="146"/>
        <v>1</v>
      </c>
      <c r="X385" s="1" t="e">
        <f>VLOOKUP(A385,Data_Echipe!A:R,18,0)</f>
        <v>#N/A</v>
      </c>
      <c r="Z385" s="115">
        <f t="shared" si="159"/>
        <v>1</v>
      </c>
    </row>
    <row r="386" spans="1:26" x14ac:dyDescent="0.3">
      <c r="A386" s="49" t="s">
        <v>335</v>
      </c>
      <c r="B386" s="1" t="str">
        <f>VLOOKUP(A386,Participanti!A:B,2,0)</f>
        <v>M</v>
      </c>
      <c r="C386" s="74">
        <v>5</v>
      </c>
      <c r="D386" s="50">
        <v>11.01</v>
      </c>
      <c r="E386" s="51">
        <v>3.8449074074074073E-2</v>
      </c>
      <c r="F386" s="51">
        <v>3.8449074074074073E-2</v>
      </c>
      <c r="G386" s="69">
        <f t="shared" si="154"/>
        <v>3.8449074074074073E-2</v>
      </c>
      <c r="H386" s="52">
        <v>209</v>
      </c>
      <c r="I386" s="12">
        <f t="shared" si="155"/>
        <v>3.4921956470548659E-3</v>
      </c>
      <c r="J386" s="37">
        <f t="shared" si="156"/>
        <v>2.6214285714285714</v>
      </c>
      <c r="K386" s="37">
        <f>IF(J386=0,0,IF(B386="F",VLOOKUP(I386,Barem!$G$2:$H$16,2,1),VLOOKUP(I386,Barem!$G$17:$H$31,2,1)))</f>
        <v>2.5</v>
      </c>
      <c r="L386" s="50">
        <v>0.5</v>
      </c>
      <c r="M386" s="124" t="s">
        <v>107</v>
      </c>
      <c r="N386" s="10">
        <f t="shared" si="160"/>
        <v>0.25</v>
      </c>
      <c r="O386" s="10">
        <f t="shared" si="160"/>
        <v>0.5</v>
      </c>
      <c r="P386" s="10">
        <f t="shared" si="160"/>
        <v>0.25</v>
      </c>
      <c r="Q386" s="40">
        <f t="shared" si="157"/>
        <v>0.13933333333333334</v>
      </c>
      <c r="R386" s="21">
        <f>IF(D386&gt;21,VLOOKUP(D386,Barem!$T$1:$U$141,2,1),0)</f>
        <v>0</v>
      </c>
      <c r="S386" s="152">
        <f>IF(D386&lt;1.609,0,IF(B386="F",VLOOKUP(I386,Barem!$X$2:$Z$13,2,1),VLOOKUP(I386,Barem!$X$14:$Z$25,2,1)))</f>
        <v>0</v>
      </c>
      <c r="T386" s="21">
        <f>VLOOKUP(A386,Participanti!A:C,3,0)</f>
        <v>0.4</v>
      </c>
      <c r="U386" s="18">
        <f t="shared" si="158"/>
        <v>2.5696904761904764</v>
      </c>
      <c r="V386" s="58" t="s">
        <v>437</v>
      </c>
      <c r="W386" s="77">
        <f t="shared" ref="W386:W449" si="161">COUNTIFS(A:A,A386,C:C,C386)</f>
        <v>1</v>
      </c>
      <c r="X386" s="1" t="e">
        <f>VLOOKUP(A386,Data_Echipe!A:R,18,0)</f>
        <v>#N/A</v>
      </c>
      <c r="Z386" s="115">
        <f t="shared" si="159"/>
        <v>1</v>
      </c>
    </row>
    <row r="387" spans="1:26" x14ac:dyDescent="0.3">
      <c r="A387" s="49" t="s">
        <v>396</v>
      </c>
      <c r="B387" s="1" t="str">
        <f>VLOOKUP(A387,Participanti!A:B,2,0)</f>
        <v>F</v>
      </c>
      <c r="C387" s="74">
        <v>5</v>
      </c>
      <c r="D387" s="50">
        <v>9.0399999999999991</v>
      </c>
      <c r="E387" s="51">
        <v>4.1782407407407407E-2</v>
      </c>
      <c r="F387" s="51">
        <v>4.1817129629629628E-2</v>
      </c>
      <c r="G387" s="69">
        <f t="shared" si="154"/>
        <v>4.1799768518518521E-2</v>
      </c>
      <c r="H387" s="52">
        <v>57</v>
      </c>
      <c r="I387" s="12">
        <f t="shared" si="155"/>
        <v>4.6238681989511643E-3</v>
      </c>
      <c r="J387" s="37">
        <f t="shared" si="156"/>
        <v>2.2599999999999998</v>
      </c>
      <c r="K387" s="37">
        <f>IF(J387=0,0,IF(B387="F",VLOOKUP(I387,Barem!$G$2:$H$16,2,1),VLOOKUP(I387,Barem!$G$17:$H$31,2,1)))</f>
        <v>1.25</v>
      </c>
      <c r="L387" s="50">
        <v>2.5</v>
      </c>
      <c r="M387" s="124" t="s">
        <v>207</v>
      </c>
      <c r="N387" s="10">
        <f t="shared" si="160"/>
        <v>0.25</v>
      </c>
      <c r="O387" s="10">
        <f t="shared" si="160"/>
        <v>0.25</v>
      </c>
      <c r="P387" s="10">
        <f t="shared" si="160"/>
        <v>0.5</v>
      </c>
      <c r="Q387" s="40">
        <f t="shared" si="157"/>
        <v>3.7999999999999999E-2</v>
      </c>
      <c r="R387" s="21">
        <f>IF(D387&gt;21,VLOOKUP(D387,Barem!$T$1:$U$141,2,1),0)</f>
        <v>0</v>
      </c>
      <c r="S387" s="152">
        <f>IF(D387&lt;1.609,0,IF(B387="F",VLOOKUP(I387,Barem!$X$2:$Z$13,2,1),VLOOKUP(I387,Barem!$X$14:$Z$25,2,1)))</f>
        <v>0</v>
      </c>
      <c r="T387" s="21">
        <f>VLOOKUP(A387,Participanti!A:C,3,0)</f>
        <v>0</v>
      </c>
      <c r="U387" s="18">
        <f t="shared" si="158"/>
        <v>2.1654999999999998</v>
      </c>
      <c r="V387" s="58" t="s">
        <v>437</v>
      </c>
      <c r="W387" s="77">
        <f t="shared" si="161"/>
        <v>1</v>
      </c>
      <c r="X387" s="1" t="str">
        <f>VLOOKUP(A387,Data_Echipe!A:R,18,0)</f>
        <v>MedgidiaRunning</v>
      </c>
      <c r="Z387" s="115">
        <f t="shared" si="159"/>
        <v>1</v>
      </c>
    </row>
    <row r="388" spans="1:26" x14ac:dyDescent="0.3">
      <c r="A388" s="49" t="s">
        <v>343</v>
      </c>
      <c r="B388" s="1" t="str">
        <f>VLOOKUP(A388,Participanti!A:B,2,0)</f>
        <v>M</v>
      </c>
      <c r="C388" s="74">
        <v>5</v>
      </c>
      <c r="D388" s="50">
        <v>18.010000000000002</v>
      </c>
      <c r="E388" s="51">
        <v>5.5520833333333332E-2</v>
      </c>
      <c r="F388" s="51">
        <v>5.5520833333333332E-2</v>
      </c>
      <c r="G388" s="69">
        <f t="shared" si="154"/>
        <v>5.5520833333333332E-2</v>
      </c>
      <c r="H388" s="52">
        <v>136</v>
      </c>
      <c r="I388" s="12">
        <f t="shared" si="155"/>
        <v>3.08277808624838E-3</v>
      </c>
      <c r="J388" s="37">
        <f t="shared" si="156"/>
        <v>4.288095238095238</v>
      </c>
      <c r="K388" s="37">
        <f>IF(J388=0,0,IF(B388="F",VLOOKUP(I388,Barem!$G$2:$H$16,2,1),VLOOKUP(I388,Barem!$G$17:$H$31,2,1)))</f>
        <v>4</v>
      </c>
      <c r="L388" s="50">
        <v>3.25</v>
      </c>
      <c r="M388" s="124" t="s">
        <v>207</v>
      </c>
      <c r="N388" s="10">
        <f t="shared" si="160"/>
        <v>0.25</v>
      </c>
      <c r="O388" s="10">
        <f t="shared" si="160"/>
        <v>0.25</v>
      </c>
      <c r="P388" s="10">
        <f t="shared" si="160"/>
        <v>0.5</v>
      </c>
      <c r="Q388" s="40">
        <f t="shared" si="157"/>
        <v>9.0666666666666673E-2</v>
      </c>
      <c r="R388" s="21">
        <f>IF(D388&gt;21,VLOOKUP(D388,Barem!$T$1:$U$141,2,1),0)</f>
        <v>0</v>
      </c>
      <c r="S388" s="152">
        <f>IF(D388&lt;1.609,0,IF(B388="F",VLOOKUP(I388,Barem!$X$2:$Z$13,2,1),VLOOKUP(I388,Barem!$X$14:$Z$25,2,1)))</f>
        <v>0</v>
      </c>
      <c r="T388" s="21">
        <f>VLOOKUP(A388,Participanti!A:C,3,0)</f>
        <v>0</v>
      </c>
      <c r="U388" s="18">
        <f t="shared" si="158"/>
        <v>3.7876904761904759</v>
      </c>
      <c r="V388" s="58" t="s">
        <v>437</v>
      </c>
      <c r="W388" s="77">
        <f t="shared" si="161"/>
        <v>1</v>
      </c>
      <c r="X388" s="1" t="str">
        <f>VLOOKUP(A388,Data_Echipe!A:R,18,0)</f>
        <v>#notSYRious</v>
      </c>
      <c r="Z388" s="115">
        <f t="shared" si="159"/>
        <v>1</v>
      </c>
    </row>
    <row r="389" spans="1:26" x14ac:dyDescent="0.3">
      <c r="A389" s="49" t="s">
        <v>227</v>
      </c>
      <c r="B389" s="1" t="str">
        <f>VLOOKUP(A389,Participanti!A:B,2,0)</f>
        <v>M</v>
      </c>
      <c r="C389" s="74">
        <v>5</v>
      </c>
      <c r="D389" s="50">
        <v>75.05</v>
      </c>
      <c r="E389" s="51">
        <v>0.29696759259259259</v>
      </c>
      <c r="F389" s="51">
        <v>0.30405092592592592</v>
      </c>
      <c r="G389" s="69">
        <f t="shared" si="154"/>
        <v>0.30050925925925925</v>
      </c>
      <c r="H389" s="52">
        <v>1035</v>
      </c>
      <c r="I389" s="12">
        <f t="shared" si="155"/>
        <v>4.0041207096503566E-3</v>
      </c>
      <c r="J389" s="37">
        <f t="shared" si="156"/>
        <v>5</v>
      </c>
      <c r="K389" s="37">
        <f>IF(J389=0,0,IF(B389="F",VLOOKUP(I389,Barem!$G$2:$H$16,2,1),VLOOKUP(I389,Barem!$G$17:$H$31,2,1)))</f>
        <v>1.75</v>
      </c>
      <c r="L389" s="50">
        <v>4</v>
      </c>
      <c r="M389" s="124" t="s">
        <v>106</v>
      </c>
      <c r="N389" s="10">
        <f t="shared" si="160"/>
        <v>0.5</v>
      </c>
      <c r="O389" s="10">
        <f t="shared" si="160"/>
        <v>0.25</v>
      </c>
      <c r="P389" s="10">
        <f t="shared" si="160"/>
        <v>0.25</v>
      </c>
      <c r="Q389" s="40">
        <f t="shared" si="157"/>
        <v>0.69</v>
      </c>
      <c r="R389" s="21">
        <f>IF(D389&gt;21,VLOOKUP(D389,Barem!$T$1:$U$141,2,1),0)</f>
        <v>2.7</v>
      </c>
      <c r="S389" s="152">
        <f>IF(D389&lt;1.609,0,IF(B389="F",VLOOKUP(I389,Barem!$X$2:$Z$13,2,1),VLOOKUP(I389,Barem!$X$14:$Z$25,2,1)))</f>
        <v>0</v>
      </c>
      <c r="T389" s="21">
        <f>VLOOKUP(A389,Participanti!A:C,3,0)</f>
        <v>0</v>
      </c>
      <c r="U389" s="18">
        <f t="shared" si="158"/>
        <v>7.3274999999999997</v>
      </c>
      <c r="V389" s="58" t="s">
        <v>437</v>
      </c>
      <c r="W389" s="77">
        <f t="shared" si="161"/>
        <v>1</v>
      </c>
      <c r="X389" s="1" t="str">
        <f>VLOOKUP(A389,Data_Echipe!A:R,18,0)</f>
        <v>UltraHaita lu' Borcan</v>
      </c>
      <c r="Z389" s="115">
        <f t="shared" si="159"/>
        <v>1</v>
      </c>
    </row>
    <row r="390" spans="1:26" x14ac:dyDescent="0.3">
      <c r="A390" s="49" t="s">
        <v>293</v>
      </c>
      <c r="B390" s="1" t="str">
        <f>VLOOKUP(A390,Participanti!A:B,2,0)</f>
        <v>M</v>
      </c>
      <c r="C390" s="74">
        <v>5</v>
      </c>
      <c r="D390" s="50">
        <v>30.1</v>
      </c>
      <c r="E390" s="51">
        <v>0.11984953703703705</v>
      </c>
      <c r="F390" s="51">
        <v>0.12010416666666668</v>
      </c>
      <c r="G390" s="69">
        <f t="shared" si="154"/>
        <v>0.11997685185185186</v>
      </c>
      <c r="H390" s="52">
        <v>56</v>
      </c>
      <c r="I390" s="12">
        <f t="shared" si="155"/>
        <v>3.9859419219884342E-3</v>
      </c>
      <c r="J390" s="37">
        <f t="shared" si="156"/>
        <v>5</v>
      </c>
      <c r="K390" s="37">
        <f>IF(J390=0,0,IF(B390="F",VLOOKUP(I390,Barem!$G$2:$H$16,2,1),VLOOKUP(I390,Barem!$G$17:$H$31,2,1)))</f>
        <v>1.75</v>
      </c>
      <c r="L390" s="50">
        <v>1.25</v>
      </c>
      <c r="M390" s="124" t="s">
        <v>106</v>
      </c>
      <c r="N390" s="10">
        <f t="shared" si="160"/>
        <v>0.5</v>
      </c>
      <c r="O390" s="10">
        <f t="shared" si="160"/>
        <v>0.25</v>
      </c>
      <c r="P390" s="10">
        <f t="shared" si="160"/>
        <v>0.25</v>
      </c>
      <c r="Q390" s="40">
        <f t="shared" si="157"/>
        <v>3.7333333333333336E-2</v>
      </c>
      <c r="R390" s="21">
        <f>IF(D390&gt;21,VLOOKUP(D390,Barem!$T$1:$U$141,2,1),0)</f>
        <v>0.4</v>
      </c>
      <c r="S390" s="152">
        <f>IF(D390&lt;1.609,0,IF(B390="F",VLOOKUP(I390,Barem!$X$2:$Z$13,2,1),VLOOKUP(I390,Barem!$X$14:$Z$25,2,1)))</f>
        <v>0</v>
      </c>
      <c r="T390" s="21">
        <f>VLOOKUP(A390,Participanti!A:C,3,0)</f>
        <v>0</v>
      </c>
      <c r="U390" s="18">
        <f t="shared" si="158"/>
        <v>3.6873333333333331</v>
      </c>
      <c r="V390" s="58" t="s">
        <v>437</v>
      </c>
      <c r="W390" s="77">
        <f t="shared" si="161"/>
        <v>1</v>
      </c>
      <c r="X390" s="1" t="str">
        <f>VLOOKUP(A390,Data_Echipe!A:R,18,0)</f>
        <v>UltraHaita lu' Borcan</v>
      </c>
      <c r="Z390" s="115">
        <f t="shared" si="159"/>
        <v>1</v>
      </c>
    </row>
    <row r="391" spans="1:26" x14ac:dyDescent="0.3">
      <c r="A391" s="49" t="s">
        <v>344</v>
      </c>
      <c r="B391" s="1" t="str">
        <f>VLOOKUP(A391,Participanti!A:B,2,0)</f>
        <v>F</v>
      </c>
      <c r="C391" s="74">
        <v>5</v>
      </c>
      <c r="D391" s="50">
        <v>9.3699999999999992</v>
      </c>
      <c r="E391" s="51">
        <v>3.6111111111111115E-2</v>
      </c>
      <c r="F391" s="51">
        <v>3.6111111111111115E-2</v>
      </c>
      <c r="G391" s="69">
        <f t="shared" si="154"/>
        <v>3.6111111111111115E-2</v>
      </c>
      <c r="H391" s="52"/>
      <c r="I391" s="12">
        <f t="shared" si="155"/>
        <v>3.8539072690620189E-3</v>
      </c>
      <c r="J391" s="37">
        <f t="shared" si="156"/>
        <v>2.3424999999999998</v>
      </c>
      <c r="K391" s="37">
        <f>IF(J391=0,0,IF(B391="F",VLOOKUP(I391,Barem!$G$2:$H$16,2,1),VLOOKUP(I391,Barem!$G$17:$H$31,2,1)))</f>
        <v>2.5</v>
      </c>
      <c r="L391" s="50">
        <v>3.5</v>
      </c>
      <c r="M391" s="124" t="s">
        <v>107</v>
      </c>
      <c r="N391" s="10">
        <f t="shared" si="160"/>
        <v>0.25</v>
      </c>
      <c r="O391" s="10">
        <f t="shared" si="160"/>
        <v>0.5</v>
      </c>
      <c r="P391" s="10">
        <f t="shared" si="160"/>
        <v>0.25</v>
      </c>
      <c r="Q391" s="40">
        <f t="shared" si="157"/>
        <v>0</v>
      </c>
      <c r="R391" s="21">
        <f>IF(D391&gt;21,VLOOKUP(D391,Barem!$T$1:$U$141,2,1),0)</f>
        <v>0</v>
      </c>
      <c r="S391" s="152">
        <f>IF(D391&lt;1.609,0,IF(B391="F",VLOOKUP(I391,Barem!$X$2:$Z$13,2,1),VLOOKUP(I391,Barem!$X$14:$Z$25,2,1)))</f>
        <v>0</v>
      </c>
      <c r="T391" s="21">
        <f>VLOOKUP(A391,Participanti!A:C,3,0)</f>
        <v>0</v>
      </c>
      <c r="U391" s="18">
        <f t="shared" si="158"/>
        <v>2.7106249999999998</v>
      </c>
      <c r="V391" s="58" t="s">
        <v>437</v>
      </c>
      <c r="W391" s="77">
        <f t="shared" si="161"/>
        <v>1</v>
      </c>
      <c r="X391" s="1" t="e">
        <f>VLOOKUP(A391,Data_Echipe!A:R,18,0)</f>
        <v>#N/A</v>
      </c>
      <c r="Z391" s="115">
        <f t="shared" si="159"/>
        <v>1</v>
      </c>
    </row>
    <row r="392" spans="1:26" x14ac:dyDescent="0.3">
      <c r="A392" s="49" t="s">
        <v>120</v>
      </c>
      <c r="B392" s="1" t="str">
        <f>VLOOKUP(A392,Participanti!A:B,2,0)</f>
        <v>M</v>
      </c>
      <c r="C392" s="74">
        <v>5</v>
      </c>
      <c r="D392" s="50">
        <v>20.010000000000002</v>
      </c>
      <c r="E392" s="51">
        <v>6.4722222222222223E-2</v>
      </c>
      <c r="F392" s="51">
        <v>6.4722222222222223E-2</v>
      </c>
      <c r="G392" s="69">
        <f t="shared" si="154"/>
        <v>6.4722222222222223E-2</v>
      </c>
      <c r="H392" s="52"/>
      <c r="I392" s="12">
        <f t="shared" si="155"/>
        <v>3.2344938641790215E-3</v>
      </c>
      <c r="J392" s="37">
        <f t="shared" si="156"/>
        <v>4.7642857142857142</v>
      </c>
      <c r="K392" s="37">
        <f>IF(J392=0,0,IF(B392="F",VLOOKUP(I392,Barem!$G$2:$H$16,2,1),VLOOKUP(I392,Barem!$G$17:$H$31,2,1)))</f>
        <v>3.5</v>
      </c>
      <c r="L392" s="50">
        <v>1.25</v>
      </c>
      <c r="M392" s="124" t="s">
        <v>107</v>
      </c>
      <c r="N392" s="10">
        <f t="shared" si="160"/>
        <v>0.25</v>
      </c>
      <c r="O392" s="10">
        <f t="shared" si="160"/>
        <v>0.5</v>
      </c>
      <c r="P392" s="10">
        <f t="shared" si="160"/>
        <v>0.25</v>
      </c>
      <c r="Q392" s="40">
        <f t="shared" si="157"/>
        <v>0</v>
      </c>
      <c r="R392" s="21">
        <f>IF(D392&gt;21,VLOOKUP(D392,Barem!$T$1:$U$141,2,1),0)</f>
        <v>0</v>
      </c>
      <c r="S392" s="152">
        <f>IF(D392&lt;1.609,0,IF(B392="F",VLOOKUP(I392,Barem!$X$2:$Z$13,2,1),VLOOKUP(I392,Barem!$X$14:$Z$25,2,1)))</f>
        <v>0</v>
      </c>
      <c r="T392" s="21">
        <f>VLOOKUP(A392,Participanti!A:C,3,0)</f>
        <v>0</v>
      </c>
      <c r="U392" s="18">
        <f t="shared" si="158"/>
        <v>3.2535714285714286</v>
      </c>
      <c r="V392" s="58" t="s">
        <v>437</v>
      </c>
      <c r="W392" s="77">
        <f t="shared" si="161"/>
        <v>1</v>
      </c>
      <c r="X392" s="1" t="str">
        <f>VLOOKUP(A392,Data_Echipe!A:R,18,0)</f>
        <v>Almost Kenyan Runners</v>
      </c>
      <c r="Z392" s="115">
        <f t="shared" si="159"/>
        <v>1</v>
      </c>
    </row>
    <row r="393" spans="1:26" x14ac:dyDescent="0.3">
      <c r="A393" s="49" t="s">
        <v>378</v>
      </c>
      <c r="B393" s="1" t="str">
        <f>VLOOKUP(A393,Participanti!A:B,2,0)</f>
        <v>F</v>
      </c>
      <c r="C393" s="74">
        <v>5</v>
      </c>
      <c r="D393" s="50">
        <v>7.06</v>
      </c>
      <c r="E393" s="51">
        <v>2.6932870370370371E-2</v>
      </c>
      <c r="F393" s="51">
        <v>2.6932870370370371E-2</v>
      </c>
      <c r="G393" s="69">
        <f t="shared" si="154"/>
        <v>2.6932870370370371E-2</v>
      </c>
      <c r="H393" s="52"/>
      <c r="I393" s="12">
        <f t="shared" si="155"/>
        <v>3.8148541601091177E-3</v>
      </c>
      <c r="J393" s="37">
        <f t="shared" si="156"/>
        <v>1.7649999999999999</v>
      </c>
      <c r="K393" s="37">
        <f>IF(J393=0,0,IF(B393="F",VLOOKUP(I393,Barem!$G$2:$H$16,2,1),VLOOKUP(I393,Barem!$G$17:$H$31,2,1)))</f>
        <v>3</v>
      </c>
      <c r="L393" s="50">
        <v>3.5</v>
      </c>
      <c r="M393" s="124" t="s">
        <v>207</v>
      </c>
      <c r="N393" s="10">
        <f t="shared" si="160"/>
        <v>0.25</v>
      </c>
      <c r="O393" s="10">
        <f t="shared" si="160"/>
        <v>0.25</v>
      </c>
      <c r="P393" s="10">
        <f t="shared" si="160"/>
        <v>0.5</v>
      </c>
      <c r="Q393" s="40">
        <f t="shared" si="157"/>
        <v>0</v>
      </c>
      <c r="R393" s="21">
        <f>IF(D393&gt;21,VLOOKUP(D393,Barem!$T$1:$U$141,2,1),0)</f>
        <v>0</v>
      </c>
      <c r="S393" s="152">
        <f>IF(D393&lt;1.609,0,IF(B393="F",VLOOKUP(I393,Barem!$X$2:$Z$13,2,1),VLOOKUP(I393,Barem!$X$14:$Z$25,2,1)))</f>
        <v>0</v>
      </c>
      <c r="T393" s="21">
        <f>VLOOKUP(A393,Participanti!A:C,3,0)</f>
        <v>0</v>
      </c>
      <c r="U393" s="18">
        <f t="shared" si="158"/>
        <v>2.9412500000000001</v>
      </c>
      <c r="V393" s="58" t="s">
        <v>437</v>
      </c>
      <c r="W393" s="77">
        <f t="shared" si="161"/>
        <v>1</v>
      </c>
      <c r="X393" s="1" t="str">
        <f>VLOOKUP(A393,Data_Echipe!A:R,18,0)</f>
        <v>MedgidiaRunning</v>
      </c>
      <c r="Z393" s="115">
        <f t="shared" si="159"/>
        <v>1</v>
      </c>
    </row>
    <row r="394" spans="1:26" x14ac:dyDescent="0.3">
      <c r="A394" s="49" t="s">
        <v>375</v>
      </c>
      <c r="B394" s="1" t="str">
        <f>VLOOKUP(A394,Participanti!A:B,2,0)</f>
        <v>M</v>
      </c>
      <c r="C394" s="74">
        <v>5</v>
      </c>
      <c r="D394" s="50">
        <v>10.14</v>
      </c>
      <c r="E394" s="51">
        <v>3.5138888888888893E-2</v>
      </c>
      <c r="F394" s="51">
        <v>3.3842592592592598E-2</v>
      </c>
      <c r="G394" s="69">
        <f t="shared" si="154"/>
        <v>3.4490740740740745E-2</v>
      </c>
      <c r="H394" s="52"/>
      <c r="I394" s="12">
        <f t="shared" si="155"/>
        <v>3.4014537219665426E-3</v>
      </c>
      <c r="J394" s="37">
        <f t="shared" si="156"/>
        <v>2.4142857142857141</v>
      </c>
      <c r="K394" s="37">
        <f>IF(J394=0,0,IF(B394="F",VLOOKUP(I394,Barem!$G$2:$H$16,2,1),VLOOKUP(I394,Barem!$G$17:$H$31,2,1)))</f>
        <v>3</v>
      </c>
      <c r="L394" s="50">
        <v>2</v>
      </c>
      <c r="M394" s="124" t="s">
        <v>107</v>
      </c>
      <c r="N394" s="10">
        <f t="shared" si="160"/>
        <v>0.25</v>
      </c>
      <c r="O394" s="10">
        <f t="shared" si="160"/>
        <v>0.5</v>
      </c>
      <c r="P394" s="10">
        <f t="shared" si="160"/>
        <v>0.25</v>
      </c>
      <c r="Q394" s="40">
        <f t="shared" si="157"/>
        <v>0</v>
      </c>
      <c r="R394" s="21">
        <f>IF(D394&gt;21,VLOOKUP(D394,Barem!$T$1:$U$141,2,1),0)</f>
        <v>0</v>
      </c>
      <c r="S394" s="152">
        <f>IF(D394&lt;1.609,0,IF(B394="F",VLOOKUP(I394,Barem!$X$2:$Z$13,2,1),VLOOKUP(I394,Barem!$X$14:$Z$25,2,1)))</f>
        <v>0</v>
      </c>
      <c r="T394" s="21">
        <f>VLOOKUP(A394,Participanti!A:C,3,0)</f>
        <v>0</v>
      </c>
      <c r="U394" s="18">
        <f t="shared" si="158"/>
        <v>2.6035714285714286</v>
      </c>
      <c r="V394" s="58" t="s">
        <v>437</v>
      </c>
      <c r="W394" s="77">
        <f t="shared" si="161"/>
        <v>1</v>
      </c>
      <c r="X394" s="1" t="e">
        <f>VLOOKUP(A394,Data_Echipe!A:R,18,0)</f>
        <v>#N/A</v>
      </c>
      <c r="Z394" s="115">
        <f t="shared" si="159"/>
        <v>1</v>
      </c>
    </row>
    <row r="395" spans="1:26" x14ac:dyDescent="0.3">
      <c r="A395" s="49" t="s">
        <v>303</v>
      </c>
      <c r="B395" s="1" t="str">
        <f>VLOOKUP(A395,Participanti!A:B,2,0)</f>
        <v>F</v>
      </c>
      <c r="C395" s="74">
        <v>5</v>
      </c>
      <c r="D395" s="50">
        <v>11.92</v>
      </c>
      <c r="E395" s="51">
        <v>6.4513888888888885E-2</v>
      </c>
      <c r="F395" s="51">
        <v>7.5011574074074064E-2</v>
      </c>
      <c r="G395" s="69">
        <f t="shared" si="154"/>
        <v>6.9762731481481474E-2</v>
      </c>
      <c r="H395" s="52"/>
      <c r="I395" s="12">
        <f t="shared" si="155"/>
        <v>5.8525781444195872E-3</v>
      </c>
      <c r="J395" s="37">
        <f t="shared" si="156"/>
        <v>2.98</v>
      </c>
      <c r="K395" s="37">
        <f>IF(J395=0,0,IF(B395="F",VLOOKUP(I395,Barem!$G$2:$H$16,2,1),VLOOKUP(I395,Barem!$G$17:$H$31,2,1)))</f>
        <v>0.25</v>
      </c>
      <c r="L395" s="50">
        <v>2.25</v>
      </c>
      <c r="M395" s="124" t="s">
        <v>107</v>
      </c>
      <c r="N395" s="10">
        <f t="shared" si="160"/>
        <v>0.25</v>
      </c>
      <c r="O395" s="10">
        <f t="shared" si="160"/>
        <v>0.5</v>
      </c>
      <c r="P395" s="10">
        <f t="shared" si="160"/>
        <v>0.25</v>
      </c>
      <c r="Q395" s="40">
        <f t="shared" si="157"/>
        <v>0</v>
      </c>
      <c r="R395" s="21">
        <f>IF(D395&gt;21,VLOOKUP(D395,Barem!$T$1:$U$141,2,1),0)</f>
        <v>0</v>
      </c>
      <c r="S395" s="152">
        <f>IF(D395&lt;1.609,0,IF(B395="F",VLOOKUP(I395,Barem!$X$2:$Z$13,2,1),VLOOKUP(I395,Barem!$X$14:$Z$25,2,1)))</f>
        <v>0</v>
      </c>
      <c r="T395" s="21">
        <f>VLOOKUP(A395,Participanti!A:C,3,0)</f>
        <v>0</v>
      </c>
      <c r="U395" s="18">
        <f t="shared" si="158"/>
        <v>1.4325000000000001</v>
      </c>
      <c r="V395" s="58" t="s">
        <v>437</v>
      </c>
      <c r="W395" s="77">
        <f t="shared" si="161"/>
        <v>1</v>
      </c>
      <c r="X395" s="1" t="e">
        <f>VLOOKUP(A395,Data_Echipe!A:R,18,0)</f>
        <v>#N/A</v>
      </c>
      <c r="Z395" s="115">
        <f t="shared" si="159"/>
        <v>1</v>
      </c>
    </row>
    <row r="396" spans="1:26" x14ac:dyDescent="0.3">
      <c r="A396" s="49" t="s">
        <v>354</v>
      </c>
      <c r="B396" s="1" t="str">
        <f>VLOOKUP(A396,Participanti!A:B,2,0)</f>
        <v>M</v>
      </c>
      <c r="C396" s="74">
        <v>5</v>
      </c>
      <c r="D396" s="50">
        <v>10.65</v>
      </c>
      <c r="E396" s="51">
        <v>5.8159722222222217E-2</v>
      </c>
      <c r="F396" s="51">
        <v>5.8483796296296298E-2</v>
      </c>
      <c r="G396" s="69">
        <f t="shared" si="154"/>
        <v>5.8321759259259254E-2</v>
      </c>
      <c r="H396" s="52">
        <v>454</v>
      </c>
      <c r="I396" s="12">
        <f t="shared" si="155"/>
        <v>5.4762215266910092E-3</v>
      </c>
      <c r="J396" s="37">
        <f t="shared" si="156"/>
        <v>2.5357142857142856</v>
      </c>
      <c r="K396" s="37">
        <f>IF(J396=0,0,IF(B396="F",VLOOKUP(I396,Barem!$G$2:$H$16,2,1),VLOOKUP(I396,Barem!$G$17:$H$31,2,1)))</f>
        <v>0.25</v>
      </c>
      <c r="L396" s="50">
        <v>2</v>
      </c>
      <c r="M396" s="124" t="s">
        <v>107</v>
      </c>
      <c r="N396" s="10">
        <f t="shared" si="160"/>
        <v>0.25</v>
      </c>
      <c r="O396" s="10">
        <f t="shared" si="160"/>
        <v>0.5</v>
      </c>
      <c r="P396" s="10">
        <f t="shared" si="160"/>
        <v>0.25</v>
      </c>
      <c r="Q396" s="40">
        <f t="shared" si="157"/>
        <v>0.30266666666666664</v>
      </c>
      <c r="R396" s="21">
        <f>IF(D396&gt;21,VLOOKUP(D396,Barem!$T$1:$U$141,2,1),0)</f>
        <v>0</v>
      </c>
      <c r="S396" s="152">
        <f>IF(D396&lt;1.609,0,IF(B396="F",VLOOKUP(I396,Barem!$X$2:$Z$13,2,1),VLOOKUP(I396,Barem!$X$14:$Z$25,2,1)))</f>
        <v>0</v>
      </c>
      <c r="T396" s="21">
        <f>VLOOKUP(A396,Participanti!A:C,3,0)</f>
        <v>0</v>
      </c>
      <c r="U396" s="18">
        <f t="shared" si="158"/>
        <v>1.561595238095238</v>
      </c>
      <c r="V396" s="58" t="s">
        <v>437</v>
      </c>
      <c r="W396" s="77">
        <f t="shared" si="161"/>
        <v>1</v>
      </c>
      <c r="X396" s="1" t="e">
        <f>VLOOKUP(A396,Data_Echipe!A:R,18,0)</f>
        <v>#N/A</v>
      </c>
      <c r="Z396" s="115">
        <f t="shared" si="159"/>
        <v>1</v>
      </c>
    </row>
    <row r="397" spans="1:26" x14ac:dyDescent="0.3">
      <c r="A397" s="49" t="s">
        <v>364</v>
      </c>
      <c r="B397" s="1" t="str">
        <f>VLOOKUP(A397,Participanti!A:B,2,0)</f>
        <v>M</v>
      </c>
      <c r="C397" s="74">
        <v>5</v>
      </c>
      <c r="D397" s="50">
        <v>19.3</v>
      </c>
      <c r="E397" s="51">
        <v>7.8518518518518529E-2</v>
      </c>
      <c r="F397" s="51">
        <v>7.9039351851851861E-2</v>
      </c>
      <c r="G397" s="69">
        <f t="shared" si="154"/>
        <v>7.8778935185185195E-2</v>
      </c>
      <c r="H397" s="52"/>
      <c r="I397" s="12">
        <f t="shared" si="155"/>
        <v>4.0818101132220307E-3</v>
      </c>
      <c r="J397" s="37">
        <f t="shared" si="156"/>
        <v>4.5952380952380949</v>
      </c>
      <c r="K397" s="37">
        <f>IF(J397=0,0,IF(B397="F",VLOOKUP(I397,Barem!$G$2:$H$16,2,1),VLOOKUP(I397,Barem!$G$17:$H$31,2,1)))</f>
        <v>1.5</v>
      </c>
      <c r="L397" s="50">
        <v>1.75</v>
      </c>
      <c r="M397" s="124" t="s">
        <v>106</v>
      </c>
      <c r="N397" s="10">
        <f t="shared" si="160"/>
        <v>0.5</v>
      </c>
      <c r="O397" s="10">
        <f t="shared" si="160"/>
        <v>0.25</v>
      </c>
      <c r="P397" s="10">
        <f t="shared" si="160"/>
        <v>0.25</v>
      </c>
      <c r="Q397" s="40">
        <f t="shared" si="157"/>
        <v>0</v>
      </c>
      <c r="R397" s="21">
        <f>IF(D397&gt;21,VLOOKUP(D397,Barem!$T$1:$U$141,2,1),0)</f>
        <v>0</v>
      </c>
      <c r="S397" s="152">
        <f>IF(D397&lt;1.609,0,IF(B397="F",VLOOKUP(I397,Barem!$X$2:$Z$13,2,1),VLOOKUP(I397,Barem!$X$14:$Z$25,2,1)))</f>
        <v>0</v>
      </c>
      <c r="T397" s="21">
        <f>VLOOKUP(A397,Participanti!A:C,3,0)</f>
        <v>0</v>
      </c>
      <c r="U397" s="18">
        <f t="shared" si="158"/>
        <v>3.1101190476190474</v>
      </c>
      <c r="V397" s="58" t="s">
        <v>437</v>
      </c>
      <c r="W397" s="77">
        <f t="shared" si="161"/>
        <v>1</v>
      </c>
      <c r="X397" s="1" t="e">
        <f>VLOOKUP(A397,Data_Echipe!A:R,18,0)</f>
        <v>#N/A</v>
      </c>
      <c r="Z397" s="115">
        <f t="shared" si="159"/>
        <v>1</v>
      </c>
    </row>
    <row r="398" spans="1:26" x14ac:dyDescent="0.3">
      <c r="A398" s="49" t="s">
        <v>359</v>
      </c>
      <c r="B398" s="1" t="str">
        <f>VLOOKUP(A398,Participanti!A:B,2,0)</f>
        <v>M</v>
      </c>
      <c r="C398" s="74">
        <v>5</v>
      </c>
      <c r="D398" s="50">
        <v>10.25</v>
      </c>
      <c r="E398" s="51">
        <v>3.6620370370370373E-2</v>
      </c>
      <c r="F398" s="51">
        <v>3.6620370370370373E-2</v>
      </c>
      <c r="G398" s="69">
        <f t="shared" ref="G398:G408" si="162">AVERAGE(E398:F398)</f>
        <v>3.6620370370370373E-2</v>
      </c>
      <c r="H398" s="52"/>
      <c r="I398" s="12">
        <f t="shared" ref="I398:I408" si="163">G398/D398</f>
        <v>3.572719060523939E-3</v>
      </c>
      <c r="J398" s="37">
        <f t="shared" ref="J398:J408" si="164">IF(B398="F",IF(D398&lt;2.5,0,IF(D398&gt;19.99,5,D398/4)),IF(D398&lt;3,0, IF(D398&gt;20.99,5,D398/4.2)))</f>
        <v>2.4404761904761902</v>
      </c>
      <c r="K398" s="37">
        <f>IF(J398=0,0,IF(B398="F",VLOOKUP(I398,Barem!$G$2:$H$16,2,1),VLOOKUP(I398,Barem!$G$17:$H$31,2,1)))</f>
        <v>2.5</v>
      </c>
      <c r="L398" s="50">
        <v>1.25</v>
      </c>
      <c r="M398" s="124" t="s">
        <v>107</v>
      </c>
      <c r="N398" s="10">
        <f t="shared" si="160"/>
        <v>0.25</v>
      </c>
      <c r="O398" s="10">
        <f t="shared" si="160"/>
        <v>0.5</v>
      </c>
      <c r="P398" s="10">
        <f t="shared" si="160"/>
        <v>0.25</v>
      </c>
      <c r="Q398" s="40">
        <f t="shared" ref="Q398:Q408" si="165">IF(H398&gt;49,H398/1500,0)</f>
        <v>0</v>
      </c>
      <c r="R398" s="21">
        <f>IF(D398&gt;21,VLOOKUP(D398,Barem!$T$1:$U$141,2,1),0)</f>
        <v>0</v>
      </c>
      <c r="S398" s="152">
        <f>IF(D398&lt;1.609,0,IF(B398="F",VLOOKUP(I398,Barem!$X$2:$Z$13,2,1),VLOOKUP(I398,Barem!$X$14:$Z$25,2,1)))</f>
        <v>0</v>
      </c>
      <c r="T398" s="21">
        <f>VLOOKUP(A398,Participanti!A:C,3,0)</f>
        <v>0</v>
      </c>
      <c r="U398" s="18">
        <f t="shared" ref="U398:U408" si="166">IF(H398&lt;0,0,J398*N398+K398*O398+L398*P398+Q398+R398+S398+T398)</f>
        <v>2.1726190476190474</v>
      </c>
      <c r="V398" s="58" t="s">
        <v>437</v>
      </c>
      <c r="W398" s="77">
        <f t="shared" si="161"/>
        <v>1</v>
      </c>
      <c r="X398" s="1" t="str">
        <f>VLOOKUP(A398,Data_Echipe!A:R,18,0)</f>
        <v>Almost Kenyan Runners</v>
      </c>
      <c r="Z398" s="115">
        <f t="shared" ref="Z398:Z408" si="167">IF(K398&gt;0,1,0)</f>
        <v>1</v>
      </c>
    </row>
    <row r="399" spans="1:26" x14ac:dyDescent="0.3">
      <c r="A399" s="49" t="s">
        <v>296</v>
      </c>
      <c r="B399" s="1" t="str">
        <f>VLOOKUP(A399,Participanti!A:B,2,0)</f>
        <v>M</v>
      </c>
      <c r="C399" s="74">
        <v>5</v>
      </c>
      <c r="D399" s="50">
        <v>5.34</v>
      </c>
      <c r="E399" s="51">
        <v>2.6481481481481481E-2</v>
      </c>
      <c r="F399" s="51">
        <v>2.7662037037037041E-2</v>
      </c>
      <c r="G399" s="69">
        <f t="shared" si="162"/>
        <v>2.7071759259259261E-2</v>
      </c>
      <c r="H399" s="52">
        <v>266</v>
      </c>
      <c r="I399" s="12">
        <f t="shared" si="163"/>
        <v>5.069617838812596E-3</v>
      </c>
      <c r="J399" s="37">
        <f t="shared" si="164"/>
        <v>1.2714285714285714</v>
      </c>
      <c r="K399" s="37">
        <f>IF(J399=0,0,IF(B399="F",VLOOKUP(I399,Barem!$G$2:$H$16,2,1),VLOOKUP(I399,Barem!$G$17:$H$31,2,1)))</f>
        <v>0.25</v>
      </c>
      <c r="L399" s="50">
        <v>3</v>
      </c>
      <c r="M399" s="124" t="s">
        <v>207</v>
      </c>
      <c r="N399" s="10">
        <f t="shared" ref="N399:P415" si="168">IF($M399=N$1,50%,25%)</f>
        <v>0.25</v>
      </c>
      <c r="O399" s="10">
        <f t="shared" si="168"/>
        <v>0.25</v>
      </c>
      <c r="P399" s="10">
        <f t="shared" si="168"/>
        <v>0.5</v>
      </c>
      <c r="Q399" s="40">
        <f t="shared" si="165"/>
        <v>0.17733333333333334</v>
      </c>
      <c r="R399" s="21">
        <f>IF(D399&gt;21,VLOOKUP(D399,Barem!$T$1:$U$141,2,1),0)</f>
        <v>0</v>
      </c>
      <c r="S399" s="152">
        <f>IF(D399&lt;1.609,0,IF(B399="F",VLOOKUP(I399,Barem!$X$2:$Z$13,2,1),VLOOKUP(I399,Barem!$X$14:$Z$25,2,1)))</f>
        <v>0</v>
      </c>
      <c r="T399" s="21">
        <f>VLOOKUP(A399,Participanti!A:C,3,0)</f>
        <v>0</v>
      </c>
      <c r="U399" s="18">
        <f t="shared" si="166"/>
        <v>2.0576904761904764</v>
      </c>
      <c r="V399" s="58" t="s">
        <v>437</v>
      </c>
      <c r="W399" s="77">
        <f t="shared" si="161"/>
        <v>1</v>
      </c>
      <c r="X399" s="1" t="str">
        <f>VLOOKUP(A399,Data_Echipe!A:R,18,0)</f>
        <v>MedgidiaRunning</v>
      </c>
      <c r="Z399" s="115">
        <f t="shared" si="167"/>
        <v>1</v>
      </c>
    </row>
    <row r="400" spans="1:26" x14ac:dyDescent="0.3">
      <c r="A400" s="49" t="s">
        <v>225</v>
      </c>
      <c r="B400" s="1" t="str">
        <f>VLOOKUP(A400,Participanti!A:B,2,0)</f>
        <v>F</v>
      </c>
      <c r="C400" s="74">
        <v>5</v>
      </c>
      <c r="D400" s="50">
        <v>23.06</v>
      </c>
      <c r="E400" s="51">
        <v>0.12380787037037037</v>
      </c>
      <c r="F400" s="51">
        <v>0.124375</v>
      </c>
      <c r="G400" s="69">
        <f t="shared" si="162"/>
        <v>0.12409143518518519</v>
      </c>
      <c r="H400" s="52">
        <v>833</v>
      </c>
      <c r="I400" s="12">
        <f t="shared" si="163"/>
        <v>5.3812417686550391E-3</v>
      </c>
      <c r="J400" s="37">
        <f t="shared" si="164"/>
        <v>5</v>
      </c>
      <c r="K400" s="37">
        <f>IF(J400=0,0,IF(B400="F",VLOOKUP(I400,Barem!$G$2:$H$16,2,1),VLOOKUP(I400,Barem!$G$17:$H$31,2,1)))</f>
        <v>0.25</v>
      </c>
      <c r="L400" s="50">
        <v>4</v>
      </c>
      <c r="M400" s="124" t="s">
        <v>106</v>
      </c>
      <c r="N400" s="10">
        <f t="shared" si="168"/>
        <v>0.5</v>
      </c>
      <c r="O400" s="10">
        <f t="shared" si="168"/>
        <v>0.25</v>
      </c>
      <c r="P400" s="10">
        <f t="shared" si="168"/>
        <v>0.25</v>
      </c>
      <c r="Q400" s="40">
        <f t="shared" si="165"/>
        <v>0.55533333333333335</v>
      </c>
      <c r="R400" s="21">
        <f>IF(D400&gt;21,VLOOKUP(D400,Barem!$T$1:$U$141,2,1),0)</f>
        <v>0.1</v>
      </c>
      <c r="S400" s="152">
        <f>IF(D400&lt;1.609,0,IF(B400="F",VLOOKUP(I400,Barem!$X$2:$Z$13,2,1),VLOOKUP(I400,Barem!$X$14:$Z$25,2,1)))</f>
        <v>0</v>
      </c>
      <c r="T400" s="21">
        <f>VLOOKUP(A400,Participanti!A:C,3,0)</f>
        <v>0</v>
      </c>
      <c r="U400" s="18">
        <f t="shared" si="166"/>
        <v>4.2178333333333331</v>
      </c>
      <c r="V400" s="58" t="s">
        <v>437</v>
      </c>
      <c r="W400" s="77">
        <f t="shared" si="161"/>
        <v>1</v>
      </c>
      <c r="X400" s="1" t="str">
        <f>VLOOKUP(A400,Data_Echipe!A:R,18,0)</f>
        <v>The GOATs</v>
      </c>
      <c r="Z400" s="115">
        <f t="shared" si="167"/>
        <v>1</v>
      </c>
    </row>
    <row r="401" spans="1:26" x14ac:dyDescent="0.3">
      <c r="A401" s="49" t="s">
        <v>49</v>
      </c>
      <c r="B401" s="1" t="str">
        <f>VLOOKUP(A401,Participanti!A:B,2,0)</f>
        <v>M</v>
      </c>
      <c r="C401" s="74">
        <v>5</v>
      </c>
      <c r="D401" s="50">
        <v>27.35</v>
      </c>
      <c r="E401" s="51">
        <v>0.16446759259259261</v>
      </c>
      <c r="F401" s="51">
        <v>0.17872685185185186</v>
      </c>
      <c r="G401" s="69">
        <f t="shared" si="162"/>
        <v>0.17159722222222223</v>
      </c>
      <c r="H401" s="52">
        <v>1506</v>
      </c>
      <c r="I401" s="12">
        <f t="shared" si="163"/>
        <v>6.2741214706479786E-3</v>
      </c>
      <c r="J401" s="37">
        <f t="shared" si="164"/>
        <v>5</v>
      </c>
      <c r="K401" s="37">
        <f>IF(J401=0,0,IF(B401="F",VLOOKUP(I401,Barem!$G$2:$H$16,2,1),VLOOKUP(I401,Barem!$G$17:$H$31,2,1)))</f>
        <v>0</v>
      </c>
      <c r="L401" s="50">
        <v>4.25</v>
      </c>
      <c r="M401" s="124" t="s">
        <v>207</v>
      </c>
      <c r="N401" s="10">
        <f t="shared" si="168"/>
        <v>0.25</v>
      </c>
      <c r="O401" s="10">
        <f t="shared" si="168"/>
        <v>0.25</v>
      </c>
      <c r="P401" s="10">
        <f t="shared" si="168"/>
        <v>0.5</v>
      </c>
      <c r="Q401" s="40">
        <f t="shared" si="165"/>
        <v>1.004</v>
      </c>
      <c r="R401" s="21">
        <f>IF(D401&gt;21,VLOOKUP(D401,Barem!$T$1:$U$141,2,1),0)</f>
        <v>0.3</v>
      </c>
      <c r="S401" s="152">
        <f>IF(D401&lt;1.609,0,IF(B401="F",VLOOKUP(I401,Barem!$X$2:$Z$13,2,1),VLOOKUP(I401,Barem!$X$14:$Z$25,2,1)))</f>
        <v>0</v>
      </c>
      <c r="T401" s="21">
        <f>VLOOKUP(A401,Participanti!A:C,3,0)</f>
        <v>0</v>
      </c>
      <c r="U401" s="18">
        <f t="shared" si="166"/>
        <v>4.6789999999999994</v>
      </c>
      <c r="V401" s="58" t="s">
        <v>437</v>
      </c>
      <c r="W401" s="77">
        <f t="shared" si="161"/>
        <v>1</v>
      </c>
      <c r="X401" s="1" t="str">
        <f>VLOOKUP(A401,Data_Echipe!A:R,18,0)</f>
        <v>The GOATs</v>
      </c>
      <c r="Z401" s="115">
        <f t="shared" si="167"/>
        <v>0</v>
      </c>
    </row>
    <row r="402" spans="1:26" x14ac:dyDescent="0.3">
      <c r="A402" s="132" t="s">
        <v>241</v>
      </c>
      <c r="B402" s="133" t="str">
        <f>VLOOKUP(A402,Participanti!A:B,2,0)</f>
        <v>F</v>
      </c>
      <c r="C402" s="134">
        <v>5</v>
      </c>
      <c r="D402" s="135">
        <v>0</v>
      </c>
      <c r="E402" s="136">
        <v>0</v>
      </c>
      <c r="F402" s="136">
        <v>0</v>
      </c>
      <c r="G402" s="137">
        <f t="shared" si="162"/>
        <v>0</v>
      </c>
      <c r="H402" s="138"/>
      <c r="I402" s="139">
        <v>0</v>
      </c>
      <c r="J402" s="140">
        <f t="shared" si="164"/>
        <v>0</v>
      </c>
      <c r="K402" s="140">
        <f>IF(J402=0,0,IF(B402="F",VLOOKUP(I402,Barem!$G$2:$H$16,2,1),VLOOKUP(I402,Barem!$G$17:$H$31,2,1)))</f>
        <v>0</v>
      </c>
      <c r="L402" s="135">
        <v>0</v>
      </c>
      <c r="M402" s="141" t="s">
        <v>459</v>
      </c>
      <c r="N402" s="142">
        <f t="shared" si="168"/>
        <v>0.25</v>
      </c>
      <c r="O402" s="142">
        <f t="shared" si="168"/>
        <v>0.25</v>
      </c>
      <c r="P402" s="142">
        <f t="shared" si="168"/>
        <v>0.25</v>
      </c>
      <c r="Q402" s="143">
        <f t="shared" si="165"/>
        <v>0</v>
      </c>
      <c r="R402" s="144">
        <f>IF(D402&gt;21,VLOOKUP(D402,Barem!$T$1:$U$141,2,1),0)</f>
        <v>0</v>
      </c>
      <c r="S402" s="152">
        <f>IF(D402&lt;1.609,0,IF(B402="F",VLOOKUP(I402,Barem!$X$2:$Z$13,2,1),VLOOKUP(I402,Barem!$X$14:$Z$25,2,1)))</f>
        <v>0</v>
      </c>
      <c r="T402" s="144">
        <f>VLOOKUP(A402,Participanti!A:C,3,0)</f>
        <v>0</v>
      </c>
      <c r="U402" s="143">
        <v>1.5</v>
      </c>
      <c r="V402" s="145" t="s">
        <v>437</v>
      </c>
      <c r="W402" s="146">
        <f t="shared" si="161"/>
        <v>1</v>
      </c>
      <c r="X402" s="133" t="str">
        <f>VLOOKUP(A402,Data_Echipe!A:R,18,0)</f>
        <v>Almost Kenyan Runners</v>
      </c>
      <c r="Y402" s="133"/>
      <c r="Z402" s="147">
        <f t="shared" si="167"/>
        <v>0</v>
      </c>
    </row>
    <row r="403" spans="1:26" x14ac:dyDescent="0.3">
      <c r="A403" s="132" t="s">
        <v>245</v>
      </c>
      <c r="B403" s="133" t="str">
        <f>VLOOKUP(A403,Participanti!A:B,2,0)</f>
        <v>M</v>
      </c>
      <c r="C403" s="134">
        <v>5</v>
      </c>
      <c r="D403" s="135">
        <v>0</v>
      </c>
      <c r="E403" s="136">
        <v>0</v>
      </c>
      <c r="F403" s="136">
        <v>0</v>
      </c>
      <c r="G403" s="137">
        <f t="shared" si="162"/>
        <v>0</v>
      </c>
      <c r="H403" s="138"/>
      <c r="I403" s="139">
        <v>0</v>
      </c>
      <c r="J403" s="140">
        <f t="shared" si="164"/>
        <v>0</v>
      </c>
      <c r="K403" s="140">
        <f>IF(J403=0,0,IF(B403="F",VLOOKUP(I403,Barem!$G$2:$H$16,2,1),VLOOKUP(I403,Barem!$G$17:$H$31,2,1)))</f>
        <v>0</v>
      </c>
      <c r="L403" s="135">
        <v>0</v>
      </c>
      <c r="M403" s="141" t="s">
        <v>459</v>
      </c>
      <c r="N403" s="142">
        <f t="shared" si="168"/>
        <v>0.25</v>
      </c>
      <c r="O403" s="142">
        <f t="shared" si="168"/>
        <v>0.25</v>
      </c>
      <c r="P403" s="142">
        <f t="shared" si="168"/>
        <v>0.25</v>
      </c>
      <c r="Q403" s="143">
        <f t="shared" si="165"/>
        <v>0</v>
      </c>
      <c r="R403" s="144">
        <f>IF(D403&gt;21,VLOOKUP(D403,Barem!$T$1:$U$141,2,1),0)</f>
        <v>0</v>
      </c>
      <c r="S403" s="152">
        <f>IF(D403&lt;1.609,0,IF(B403="F",VLOOKUP(I403,Barem!$X$2:$Z$13,2,1),VLOOKUP(I403,Barem!$X$14:$Z$25,2,1)))</f>
        <v>0</v>
      </c>
      <c r="T403" s="144">
        <f>VLOOKUP(A403,Participanti!A:C,3,0)</f>
        <v>0</v>
      </c>
      <c r="U403" s="143">
        <v>1.5</v>
      </c>
      <c r="V403" s="145" t="s">
        <v>437</v>
      </c>
      <c r="W403" s="146">
        <f t="shared" si="161"/>
        <v>1</v>
      </c>
      <c r="X403" s="133" t="str">
        <f>VLOOKUP(A403,Data_Echipe!A:R,18,0)</f>
        <v>#notSYRious</v>
      </c>
      <c r="Y403" s="133"/>
      <c r="Z403" s="147">
        <f t="shared" si="167"/>
        <v>0</v>
      </c>
    </row>
    <row r="404" spans="1:26" x14ac:dyDescent="0.3">
      <c r="A404" s="49" t="s">
        <v>78</v>
      </c>
      <c r="B404" s="1" t="str">
        <f>VLOOKUP(A404,Participanti!A:B,2,0)</f>
        <v>M</v>
      </c>
      <c r="C404" s="74">
        <v>5</v>
      </c>
      <c r="D404" s="50">
        <v>43.19</v>
      </c>
      <c r="E404" s="51">
        <v>0.36130787037037032</v>
      </c>
      <c r="F404" s="51">
        <v>0.40104166666666669</v>
      </c>
      <c r="G404" s="69">
        <f t="shared" si="162"/>
        <v>0.3811747685185185</v>
      </c>
      <c r="H404" s="52">
        <v>1333</v>
      </c>
      <c r="I404" s="12">
        <f t="shared" si="163"/>
        <v>8.8255329594470605E-3</v>
      </c>
      <c r="J404" s="37">
        <f t="shared" si="164"/>
        <v>5</v>
      </c>
      <c r="K404" s="37">
        <f>IF(J404=0,0,IF(B404="F",VLOOKUP(I404,Barem!$G$2:$H$16,2,1),VLOOKUP(I404,Barem!$G$17:$H$31,2,1)))</f>
        <v>0</v>
      </c>
      <c r="L404" s="50">
        <v>3.75</v>
      </c>
      <c r="M404" s="124" t="s">
        <v>207</v>
      </c>
      <c r="N404" s="10">
        <f t="shared" si="168"/>
        <v>0.25</v>
      </c>
      <c r="O404" s="10">
        <f t="shared" si="168"/>
        <v>0.25</v>
      </c>
      <c r="P404" s="10">
        <f t="shared" si="168"/>
        <v>0.5</v>
      </c>
      <c r="Q404" s="40">
        <f t="shared" si="165"/>
        <v>0.88866666666666672</v>
      </c>
      <c r="R404" s="21">
        <f>IF(D404&gt;21,VLOOKUP(D404,Barem!$T$1:$U$141,2,1),0)</f>
        <v>1.1000000000000001</v>
      </c>
      <c r="S404" s="152">
        <f>IF(D404&lt;1.609,0,IF(B404="F",VLOOKUP(I404,Barem!$X$2:$Z$13,2,1),VLOOKUP(I404,Barem!$X$14:$Z$25,2,1)))</f>
        <v>0</v>
      </c>
      <c r="T404" s="21">
        <f>VLOOKUP(A404,Participanti!A:C,3,0)</f>
        <v>0.4</v>
      </c>
      <c r="U404" s="18">
        <f t="shared" si="166"/>
        <v>5.5136666666666674</v>
      </c>
      <c r="V404" s="58" t="s">
        <v>437</v>
      </c>
      <c r="W404" s="77">
        <f t="shared" si="161"/>
        <v>1</v>
      </c>
      <c r="X404" s="1" t="str">
        <f>VLOOKUP(A404,Data_Echipe!A:R,18,0)</f>
        <v>Almost Kenyan Runners</v>
      </c>
      <c r="Z404" s="115">
        <f t="shared" si="167"/>
        <v>0</v>
      </c>
    </row>
    <row r="405" spans="1:26" x14ac:dyDescent="0.3">
      <c r="A405" s="49" t="s">
        <v>114</v>
      </c>
      <c r="B405" s="1" t="str">
        <f>VLOOKUP(A405,Participanti!A:B,2,0)</f>
        <v>M</v>
      </c>
      <c r="C405" s="74">
        <v>5</v>
      </c>
      <c r="D405" s="50">
        <v>6.13</v>
      </c>
      <c r="E405" s="51">
        <v>2.3240740740740742E-2</v>
      </c>
      <c r="F405" s="51">
        <v>2.3240740740740742E-2</v>
      </c>
      <c r="G405" s="69">
        <f t="shared" si="162"/>
        <v>2.3240740740740742E-2</v>
      </c>
      <c r="H405" s="52"/>
      <c r="I405" s="12">
        <f t="shared" si="163"/>
        <v>3.7913117032203495E-3</v>
      </c>
      <c r="J405" s="37">
        <f t="shared" si="164"/>
        <v>1.4595238095238094</v>
      </c>
      <c r="K405" s="37">
        <f>IF(J405=0,0,IF(B405="F",VLOOKUP(I405,Barem!$G$2:$H$16,2,1),VLOOKUP(I405,Barem!$G$17:$H$31,2,1)))</f>
        <v>2</v>
      </c>
      <c r="L405" s="50">
        <v>3.75</v>
      </c>
      <c r="M405" s="124" t="s">
        <v>207</v>
      </c>
      <c r="N405" s="10">
        <f t="shared" si="168"/>
        <v>0.25</v>
      </c>
      <c r="O405" s="10">
        <f t="shared" si="168"/>
        <v>0.25</v>
      </c>
      <c r="P405" s="10">
        <f t="shared" si="168"/>
        <v>0.5</v>
      </c>
      <c r="Q405" s="40">
        <f t="shared" si="165"/>
        <v>0</v>
      </c>
      <c r="R405" s="21">
        <f>IF(D405&gt;21,VLOOKUP(D405,Barem!$T$1:$U$141,2,1),0)</f>
        <v>0</v>
      </c>
      <c r="S405" s="152">
        <f>IF(D405&lt;1.609,0,IF(B405="F",VLOOKUP(I405,Barem!$X$2:$Z$13,2,1),VLOOKUP(I405,Barem!$X$14:$Z$25,2,1)))</f>
        <v>0</v>
      </c>
      <c r="T405" s="21">
        <f>VLOOKUP(A405,Participanti!A:C,3,0)</f>
        <v>0</v>
      </c>
      <c r="U405" s="18">
        <f t="shared" si="166"/>
        <v>2.7398809523809522</v>
      </c>
      <c r="V405" s="58" t="s">
        <v>437</v>
      </c>
      <c r="W405" s="77">
        <f t="shared" si="161"/>
        <v>1</v>
      </c>
      <c r="X405" s="1" t="str">
        <f>VLOOKUP(A405,Data_Echipe!A:R,18,0)</f>
        <v>#notSYRious</v>
      </c>
      <c r="Z405" s="115">
        <f t="shared" si="167"/>
        <v>1</v>
      </c>
    </row>
    <row r="406" spans="1:26" x14ac:dyDescent="0.3">
      <c r="A406" s="49" t="s">
        <v>361</v>
      </c>
      <c r="B406" s="1" t="str">
        <f>VLOOKUP(A406,Participanti!A:B,2,0)</f>
        <v>M</v>
      </c>
      <c r="C406" s="74">
        <v>5</v>
      </c>
      <c r="D406" s="50">
        <v>21.13</v>
      </c>
      <c r="E406" s="51">
        <v>6.2685185185185191E-2</v>
      </c>
      <c r="F406" s="51">
        <v>6.293981481481481E-2</v>
      </c>
      <c r="G406" s="69">
        <f t="shared" si="162"/>
        <v>6.2812499999999993E-2</v>
      </c>
      <c r="H406" s="52"/>
      <c r="I406" s="12">
        <f t="shared" si="163"/>
        <v>2.9726691907240887E-3</v>
      </c>
      <c r="J406" s="37">
        <f t="shared" si="164"/>
        <v>5</v>
      </c>
      <c r="K406" s="37">
        <f>IF(J406=0,0,IF(B406="F",VLOOKUP(I406,Barem!$G$2:$H$16,2,1),VLOOKUP(I406,Barem!$G$17:$H$31,2,1)))</f>
        <v>4</v>
      </c>
      <c r="L406" s="50">
        <v>1.5</v>
      </c>
      <c r="M406" s="124" t="s">
        <v>107</v>
      </c>
      <c r="N406" s="10">
        <f t="shared" si="168"/>
        <v>0.25</v>
      </c>
      <c r="O406" s="10">
        <f t="shared" si="168"/>
        <v>0.5</v>
      </c>
      <c r="P406" s="10">
        <f t="shared" si="168"/>
        <v>0.25</v>
      </c>
      <c r="Q406" s="40">
        <f t="shared" si="165"/>
        <v>0</v>
      </c>
      <c r="R406" s="21">
        <f>IF(D406&gt;21,VLOOKUP(D406,Barem!$T$1:$U$141,2,1),0)</f>
        <v>0</v>
      </c>
      <c r="S406" s="152">
        <f>IF(D406&lt;1.609,0,IF(B406="F",VLOOKUP(I406,Barem!$X$2:$Z$13,2,1),VLOOKUP(I406,Barem!$X$14:$Z$25,2,1)))</f>
        <v>0</v>
      </c>
      <c r="T406" s="21">
        <f>VLOOKUP(A406,Participanti!A:C,3,0)</f>
        <v>0</v>
      </c>
      <c r="U406" s="18">
        <f t="shared" si="166"/>
        <v>3.625</v>
      </c>
      <c r="V406" s="58" t="s">
        <v>437</v>
      </c>
      <c r="W406" s="77">
        <f t="shared" si="161"/>
        <v>1</v>
      </c>
      <c r="X406" s="1" t="str">
        <f>VLOOKUP(A406,Data_Echipe!A:R,18,0)</f>
        <v>UltraHaita lu' Borcan</v>
      </c>
      <c r="Z406" s="115">
        <f t="shared" si="167"/>
        <v>1</v>
      </c>
    </row>
    <row r="407" spans="1:26" x14ac:dyDescent="0.3">
      <c r="A407" s="49" t="s">
        <v>403</v>
      </c>
      <c r="B407" s="1" t="str">
        <f>VLOOKUP(A407,Participanti!A:B,2,0)</f>
        <v>M</v>
      </c>
      <c r="C407" s="74">
        <v>5</v>
      </c>
      <c r="D407" s="50">
        <v>55.25</v>
      </c>
      <c r="E407" s="51">
        <v>0.27435185185185185</v>
      </c>
      <c r="F407" s="51">
        <v>0.30515046296296294</v>
      </c>
      <c r="G407" s="69">
        <f t="shared" si="162"/>
        <v>0.28975115740740742</v>
      </c>
      <c r="H407" s="52">
        <v>1046</v>
      </c>
      <c r="I407" s="12">
        <f t="shared" si="163"/>
        <v>5.2443648399530755E-3</v>
      </c>
      <c r="J407" s="37">
        <f t="shared" si="164"/>
        <v>5</v>
      </c>
      <c r="K407" s="37">
        <f>IF(J407=0,0,IF(B407="F",VLOOKUP(I407,Barem!$G$2:$H$16,2,1),VLOOKUP(I407,Barem!$G$17:$H$31,2,1)))</f>
        <v>0.25</v>
      </c>
      <c r="L407" s="50">
        <v>3.25</v>
      </c>
      <c r="M407" s="124" t="s">
        <v>207</v>
      </c>
      <c r="N407" s="10">
        <f t="shared" si="168"/>
        <v>0.25</v>
      </c>
      <c r="O407" s="10">
        <f t="shared" si="168"/>
        <v>0.25</v>
      </c>
      <c r="P407" s="10">
        <f t="shared" si="168"/>
        <v>0.5</v>
      </c>
      <c r="Q407" s="40">
        <f t="shared" si="165"/>
        <v>0.69733333333333336</v>
      </c>
      <c r="R407" s="21">
        <f>IF(D407&gt;21,VLOOKUP(D407,Barem!$T$1:$U$141,2,1),0)</f>
        <v>1.7</v>
      </c>
      <c r="S407" s="152">
        <f>IF(D407&lt;1.609,0,IF(B407="F",VLOOKUP(I407,Barem!$X$2:$Z$13,2,1),VLOOKUP(I407,Barem!$X$14:$Z$25,2,1)))</f>
        <v>0</v>
      </c>
      <c r="T407" s="21">
        <f>VLOOKUP(A407,Participanti!A:C,3,0)</f>
        <v>0</v>
      </c>
      <c r="U407" s="18">
        <f t="shared" si="166"/>
        <v>5.3348333333333331</v>
      </c>
      <c r="V407" s="58" t="s">
        <v>437</v>
      </c>
      <c r="W407" s="77">
        <f t="shared" si="161"/>
        <v>1</v>
      </c>
      <c r="X407" s="1" t="str">
        <f>VLOOKUP(A407,Data_Echipe!A:R,18,0)</f>
        <v>The GOATs</v>
      </c>
      <c r="Z407" s="115">
        <f t="shared" si="167"/>
        <v>1</v>
      </c>
    </row>
    <row r="408" spans="1:26" x14ac:dyDescent="0.3">
      <c r="A408" s="49" t="s">
        <v>284</v>
      </c>
      <c r="B408" s="1" t="str">
        <f>VLOOKUP(A408,Participanti!A:B,2,0)</f>
        <v>M</v>
      </c>
      <c r="C408" s="74">
        <v>5</v>
      </c>
      <c r="D408" s="50">
        <v>10.039999999999999</v>
      </c>
      <c r="E408" s="51">
        <v>4.4016203703703703E-2</v>
      </c>
      <c r="F408" s="51">
        <v>4.4444444444444446E-2</v>
      </c>
      <c r="G408" s="69">
        <f t="shared" si="162"/>
        <v>4.4230324074074075E-2</v>
      </c>
      <c r="H408" s="52"/>
      <c r="I408" s="12">
        <f t="shared" si="163"/>
        <v>4.405410764350008E-3</v>
      </c>
      <c r="J408" s="37">
        <f t="shared" si="164"/>
        <v>2.39047619047619</v>
      </c>
      <c r="K408" s="37">
        <f>IF(J408=0,0,IF(B408="F",VLOOKUP(I408,Barem!$G$2:$H$16,2,1),VLOOKUP(I408,Barem!$G$17:$H$31,2,1)))</f>
        <v>1</v>
      </c>
      <c r="L408" s="50">
        <v>1.5</v>
      </c>
      <c r="M408" s="124" t="s">
        <v>106</v>
      </c>
      <c r="N408" s="10">
        <f t="shared" si="168"/>
        <v>0.5</v>
      </c>
      <c r="O408" s="10">
        <f t="shared" si="168"/>
        <v>0.25</v>
      </c>
      <c r="P408" s="10">
        <f t="shared" si="168"/>
        <v>0.25</v>
      </c>
      <c r="Q408" s="40">
        <f t="shared" si="165"/>
        <v>0</v>
      </c>
      <c r="R408" s="21">
        <f>IF(D408&gt;21,VLOOKUP(D408,Barem!$T$1:$U$141,2,1),0)</f>
        <v>0</v>
      </c>
      <c r="S408" s="152">
        <f>IF(D408&lt;1.609,0,IF(B408="F",VLOOKUP(I408,Barem!$X$2:$Z$13,2,1),VLOOKUP(I408,Barem!$X$14:$Z$25,2,1)))</f>
        <v>0</v>
      </c>
      <c r="T408" s="21">
        <f>VLOOKUP(A408,Participanti!A:C,3,0)</f>
        <v>0</v>
      </c>
      <c r="U408" s="18">
        <f t="shared" si="166"/>
        <v>1.820238095238095</v>
      </c>
      <c r="V408" s="58" t="s">
        <v>437</v>
      </c>
      <c r="W408" s="77">
        <f t="shared" si="161"/>
        <v>1</v>
      </c>
      <c r="X408" s="1" t="str">
        <f>VLOOKUP(A408,Data_Echipe!A:R,18,0)</f>
        <v>The GOATs</v>
      </c>
      <c r="Z408" s="115">
        <f t="shared" si="167"/>
        <v>1</v>
      </c>
    </row>
    <row r="409" spans="1:26" x14ac:dyDescent="0.3">
      <c r="A409" s="49" t="s">
        <v>331</v>
      </c>
      <c r="B409" s="1" t="str">
        <f>VLOOKUP(A409,Participanti!A:B,2,0)</f>
        <v>F</v>
      </c>
      <c r="C409" s="74">
        <v>5</v>
      </c>
      <c r="D409" s="50">
        <v>2.52</v>
      </c>
      <c r="E409" s="51">
        <v>8.726851851851852E-3</v>
      </c>
      <c r="F409" s="51">
        <v>8.7499999999999991E-3</v>
      </c>
      <c r="G409" s="69">
        <f t="shared" ref="G409:G423" si="169">AVERAGE(E409:F409)</f>
        <v>8.7384259259259255E-3</v>
      </c>
      <c r="H409" s="52"/>
      <c r="I409" s="12">
        <f t="shared" ref="I409:I423" si="170">G409/D409</f>
        <v>3.4676293356848912E-3</v>
      </c>
      <c r="J409" s="37">
        <f t="shared" ref="J409:J423" si="171">IF(B409="F",IF(D409&lt;2.5,0,IF(D409&gt;19.99,5,D409/4)),IF(D409&lt;3,0, IF(D409&gt;20.99,5,D409/4.2)))</f>
        <v>0.63</v>
      </c>
      <c r="K409" s="37">
        <f>IF(J409=0,0,IF(B409="F",VLOOKUP(I409,Barem!$G$2:$H$16,2,1),VLOOKUP(I409,Barem!$G$17:$H$31,2,1)))</f>
        <v>4</v>
      </c>
      <c r="L409" s="50">
        <v>2.5</v>
      </c>
      <c r="M409" s="124" t="s">
        <v>107</v>
      </c>
      <c r="N409" s="10">
        <f t="shared" si="168"/>
        <v>0.25</v>
      </c>
      <c r="O409" s="10">
        <f t="shared" si="168"/>
        <v>0.5</v>
      </c>
      <c r="P409" s="10">
        <f t="shared" si="168"/>
        <v>0.25</v>
      </c>
      <c r="Q409" s="40">
        <f t="shared" ref="Q409:Q423" si="172">IF(H409&gt;49,H409/1500,0)</f>
        <v>0</v>
      </c>
      <c r="R409" s="21">
        <f>IF(D409&gt;21,VLOOKUP(D409,Barem!$T$1:$U$141,2,1),0)</f>
        <v>0</v>
      </c>
      <c r="S409" s="152">
        <f>IF(D409&lt;1.609,0,IF(B409="F",VLOOKUP(I409,Barem!$X$2:$Z$13,2,1),VLOOKUP(I409,Barem!$X$14:$Z$25,2,1)))</f>
        <v>0</v>
      </c>
      <c r="T409" s="21">
        <f>VLOOKUP(A409,Participanti!A:C,3,0)</f>
        <v>0</v>
      </c>
      <c r="U409" s="18">
        <f t="shared" ref="U409:U423" si="173">IF(H409&lt;0,0,J409*N409+K409*O409+L409*P409+Q409+R409+S409+T409)</f>
        <v>2.7825000000000002</v>
      </c>
      <c r="V409" s="58" t="s">
        <v>437</v>
      </c>
      <c r="W409" s="77">
        <f t="shared" si="161"/>
        <v>1</v>
      </c>
      <c r="X409" s="1" t="str">
        <f>VLOOKUP(A409,Data_Echipe!A:R,18,0)</f>
        <v>MedgidiaRunning</v>
      </c>
      <c r="Z409" s="115">
        <f t="shared" ref="Z409:Z423" si="174">IF(K409&gt;0,1,0)</f>
        <v>1</v>
      </c>
    </row>
    <row r="410" spans="1:26" x14ac:dyDescent="0.3">
      <c r="A410" s="49" t="s">
        <v>116</v>
      </c>
      <c r="B410" s="1" t="str">
        <f>VLOOKUP(A410,Participanti!A:B,2,0)</f>
        <v>F</v>
      </c>
      <c r="C410" s="74">
        <v>5</v>
      </c>
      <c r="D410" s="50">
        <v>3.03</v>
      </c>
      <c r="E410" s="51">
        <v>9.9421296296296289E-3</v>
      </c>
      <c r="F410" s="51">
        <v>1.0081018518518519E-2</v>
      </c>
      <c r="G410" s="69">
        <f t="shared" si="169"/>
        <v>1.0011574074074074E-2</v>
      </c>
      <c r="H410" s="52"/>
      <c r="I410" s="12">
        <f t="shared" si="170"/>
        <v>3.3041498594303877E-3</v>
      </c>
      <c r="J410" s="37">
        <f t="shared" si="171"/>
        <v>0.75749999999999995</v>
      </c>
      <c r="K410" s="37">
        <f>IF(J410=0,0,IF(B410="F",VLOOKUP(I410,Barem!$G$2:$H$16,2,1),VLOOKUP(I410,Barem!$G$17:$H$31,2,1)))</f>
        <v>4.5</v>
      </c>
      <c r="L410" s="50">
        <v>3</v>
      </c>
      <c r="M410" s="124" t="s">
        <v>107</v>
      </c>
      <c r="N410" s="10">
        <f t="shared" si="168"/>
        <v>0.25</v>
      </c>
      <c r="O410" s="10">
        <f t="shared" si="168"/>
        <v>0.5</v>
      </c>
      <c r="P410" s="10">
        <f t="shared" si="168"/>
        <v>0.25</v>
      </c>
      <c r="Q410" s="40">
        <f t="shared" si="172"/>
        <v>0</v>
      </c>
      <c r="R410" s="21">
        <f>IF(D410&gt;21,VLOOKUP(D410,Barem!$T$1:$U$141,2,1),0)</f>
        <v>0</v>
      </c>
      <c r="S410" s="152">
        <f>IF(D410&lt;1.609,0,IF(B410="F",VLOOKUP(I410,Barem!$X$2:$Z$13,2,1),VLOOKUP(I410,Barem!$X$14:$Z$25,2,1)))</f>
        <v>0</v>
      </c>
      <c r="T410" s="21">
        <f>VLOOKUP(A410,Participanti!A:C,3,0)</f>
        <v>0</v>
      </c>
      <c r="U410" s="18">
        <f t="shared" si="173"/>
        <v>3.1893750000000001</v>
      </c>
      <c r="V410" s="58" t="s">
        <v>437</v>
      </c>
      <c r="W410" s="77">
        <f t="shared" si="161"/>
        <v>1</v>
      </c>
      <c r="X410" s="1" t="str">
        <f>VLOOKUP(A410,Data_Echipe!A:R,18,0)</f>
        <v>#notSYRious</v>
      </c>
      <c r="Z410" s="115">
        <f t="shared" si="174"/>
        <v>1</v>
      </c>
    </row>
    <row r="411" spans="1:26" x14ac:dyDescent="0.3">
      <c r="A411" s="49" t="s">
        <v>390</v>
      </c>
      <c r="B411" s="1" t="str">
        <f>VLOOKUP(A411,Participanti!A:B,2,0)</f>
        <v>F</v>
      </c>
      <c r="C411" s="74">
        <v>5</v>
      </c>
      <c r="D411" s="50">
        <v>9.42</v>
      </c>
      <c r="E411" s="51">
        <v>3.7175925925925925E-2</v>
      </c>
      <c r="F411" s="51">
        <v>3.7245370370370366E-2</v>
      </c>
      <c r="G411" s="69">
        <f t="shared" si="169"/>
        <v>3.7210648148148145E-2</v>
      </c>
      <c r="H411" s="52"/>
      <c r="I411" s="12">
        <f t="shared" si="170"/>
        <v>3.9501749626484235E-3</v>
      </c>
      <c r="J411" s="37">
        <f t="shared" si="171"/>
        <v>2.355</v>
      </c>
      <c r="K411" s="37">
        <f>IF(J411=0,0,IF(B411="F",VLOOKUP(I411,Barem!$G$2:$H$16,2,1),VLOOKUP(I411,Barem!$G$17:$H$31,2,1)))</f>
        <v>2.5</v>
      </c>
      <c r="L411" s="50">
        <v>3</v>
      </c>
      <c r="M411" s="124" t="s">
        <v>107</v>
      </c>
      <c r="N411" s="10">
        <f t="shared" si="168"/>
        <v>0.25</v>
      </c>
      <c r="O411" s="10">
        <f t="shared" si="168"/>
        <v>0.5</v>
      </c>
      <c r="P411" s="10">
        <f t="shared" si="168"/>
        <v>0.25</v>
      </c>
      <c r="Q411" s="40">
        <f t="shared" si="172"/>
        <v>0</v>
      </c>
      <c r="R411" s="21">
        <f>IF(D411&gt;21,VLOOKUP(D411,Barem!$T$1:$U$141,2,1),0)</f>
        <v>0</v>
      </c>
      <c r="S411" s="152">
        <f>IF(D411&lt;1.609,0,IF(B411="F",VLOOKUP(I411,Barem!$X$2:$Z$13,2,1),VLOOKUP(I411,Barem!$X$14:$Z$25,2,1)))</f>
        <v>0</v>
      </c>
      <c r="T411" s="21">
        <f>VLOOKUP(A411,Participanti!A:C,3,0)</f>
        <v>0</v>
      </c>
      <c r="U411" s="18">
        <f t="shared" si="173"/>
        <v>2.5887500000000001</v>
      </c>
      <c r="V411" s="58" t="s">
        <v>437</v>
      </c>
      <c r="W411" s="77">
        <f t="shared" si="161"/>
        <v>1</v>
      </c>
      <c r="X411" s="1" t="str">
        <f>VLOOKUP(A411,Data_Echipe!A:R,18,0)</f>
        <v>#notSYRious</v>
      </c>
      <c r="Z411" s="115">
        <f t="shared" si="174"/>
        <v>1</v>
      </c>
    </row>
    <row r="412" spans="1:26" x14ac:dyDescent="0.3">
      <c r="A412" s="49" t="s">
        <v>365</v>
      </c>
      <c r="B412" s="1" t="str">
        <f>VLOOKUP(A412,Participanti!A:B,2,0)</f>
        <v>M</v>
      </c>
      <c r="C412" s="74">
        <v>5</v>
      </c>
      <c r="D412" s="50">
        <v>12.73</v>
      </c>
      <c r="E412" s="51">
        <v>5.1608796296296298E-2</v>
      </c>
      <c r="F412" s="51">
        <v>5.1643518518518526E-2</v>
      </c>
      <c r="G412" s="69">
        <f t="shared" si="169"/>
        <v>5.1626157407407412E-2</v>
      </c>
      <c r="H412" s="52"/>
      <c r="I412" s="12">
        <f t="shared" si="170"/>
        <v>4.0554719094585551E-3</v>
      </c>
      <c r="J412" s="37">
        <f t="shared" si="171"/>
        <v>3.0309523809523808</v>
      </c>
      <c r="K412" s="37">
        <f>IF(J412=0,0,IF(B412="F",VLOOKUP(I412,Barem!$G$2:$H$16,2,1),VLOOKUP(I412,Barem!$G$17:$H$31,2,1)))</f>
        <v>1.5</v>
      </c>
      <c r="L412" s="50">
        <v>1</v>
      </c>
      <c r="M412" s="124" t="s">
        <v>107</v>
      </c>
      <c r="N412" s="10">
        <f t="shared" si="168"/>
        <v>0.25</v>
      </c>
      <c r="O412" s="10">
        <f t="shared" si="168"/>
        <v>0.5</v>
      </c>
      <c r="P412" s="10">
        <f t="shared" si="168"/>
        <v>0.25</v>
      </c>
      <c r="Q412" s="40">
        <f t="shared" si="172"/>
        <v>0</v>
      </c>
      <c r="R412" s="21">
        <f>IF(D412&gt;21,VLOOKUP(D412,Barem!$T$1:$U$141,2,1),0)</f>
        <v>0</v>
      </c>
      <c r="S412" s="152">
        <f>IF(D412&lt;1.609,0,IF(B412="F",VLOOKUP(I412,Barem!$X$2:$Z$13,2,1),VLOOKUP(I412,Barem!$X$14:$Z$25,2,1)))</f>
        <v>0</v>
      </c>
      <c r="T412" s="21">
        <f>VLOOKUP(A412,Participanti!A:C,3,0)</f>
        <v>0</v>
      </c>
      <c r="U412" s="18">
        <f t="shared" si="173"/>
        <v>1.7577380952380952</v>
      </c>
      <c r="V412" s="58" t="s">
        <v>437</v>
      </c>
      <c r="W412" s="77">
        <f t="shared" si="161"/>
        <v>1</v>
      </c>
      <c r="X412" s="1" t="str">
        <f>VLOOKUP(A412,Data_Echipe!A:R,18,0)</f>
        <v>MedgidiaRunning</v>
      </c>
      <c r="Z412" s="115">
        <f t="shared" si="174"/>
        <v>1</v>
      </c>
    </row>
    <row r="413" spans="1:26" x14ac:dyDescent="0.3">
      <c r="A413" s="49" t="s">
        <v>177</v>
      </c>
      <c r="B413" s="1" t="str">
        <f>VLOOKUP(A413,Participanti!A:B,2,0)</f>
        <v>F</v>
      </c>
      <c r="C413" s="74">
        <v>5</v>
      </c>
      <c r="D413" s="50">
        <v>5.21</v>
      </c>
      <c r="E413" s="51">
        <v>2.1250000000000002E-2</v>
      </c>
      <c r="F413" s="51">
        <v>2.2187499999999999E-2</v>
      </c>
      <c r="G413" s="69">
        <f t="shared" si="169"/>
        <v>2.1718750000000002E-2</v>
      </c>
      <c r="H413" s="52"/>
      <c r="I413" s="12">
        <f t="shared" si="170"/>
        <v>4.1686660268714015E-3</v>
      </c>
      <c r="J413" s="37">
        <f t="shared" si="171"/>
        <v>1.3025</v>
      </c>
      <c r="K413" s="37">
        <f>IF(J413=0,0,IF(B413="F",VLOOKUP(I413,Barem!$G$2:$H$16,2,1),VLOOKUP(I413,Barem!$G$17:$H$31,2,1)))</f>
        <v>2</v>
      </c>
      <c r="L413" s="50">
        <v>3</v>
      </c>
      <c r="M413" s="124" t="s">
        <v>107</v>
      </c>
      <c r="N413" s="10">
        <f t="shared" si="168"/>
        <v>0.25</v>
      </c>
      <c r="O413" s="10">
        <f t="shared" si="168"/>
        <v>0.5</v>
      </c>
      <c r="P413" s="10">
        <f t="shared" si="168"/>
        <v>0.25</v>
      </c>
      <c r="Q413" s="40">
        <f t="shared" si="172"/>
        <v>0</v>
      </c>
      <c r="R413" s="21">
        <f>IF(D413&gt;21,VLOOKUP(D413,Barem!$T$1:$U$141,2,1),0)</f>
        <v>0</v>
      </c>
      <c r="S413" s="152">
        <f>IF(D413&lt;1.609,0,IF(B413="F",VLOOKUP(I413,Barem!$X$2:$Z$13,2,1),VLOOKUP(I413,Barem!$X$14:$Z$25,2,1)))</f>
        <v>0</v>
      </c>
      <c r="T413" s="21">
        <f>VLOOKUP(A413,Participanti!A:C,3,0)</f>
        <v>0</v>
      </c>
      <c r="U413" s="18">
        <f t="shared" si="173"/>
        <v>2.0756250000000001</v>
      </c>
      <c r="V413" s="58" t="s">
        <v>437</v>
      </c>
      <c r="W413" s="77">
        <f t="shared" si="161"/>
        <v>1</v>
      </c>
      <c r="X413" s="1" t="str">
        <f>VLOOKUP(A413,Data_Echipe!A:R,18,0)</f>
        <v>UltraHaita lu' Borcan</v>
      </c>
      <c r="Z413" s="115">
        <f t="shared" si="174"/>
        <v>1</v>
      </c>
    </row>
    <row r="414" spans="1:26" x14ac:dyDescent="0.3">
      <c r="A414" s="49" t="s">
        <v>48</v>
      </c>
      <c r="B414" s="1" t="str">
        <f>VLOOKUP(A414,Participanti!A:B,2,0)</f>
        <v>M</v>
      </c>
      <c r="C414" s="74">
        <v>5</v>
      </c>
      <c r="D414" s="50">
        <v>10.33</v>
      </c>
      <c r="E414" s="51">
        <v>4.4074074074074071E-2</v>
      </c>
      <c r="F414" s="51">
        <v>4.7164351851851853E-2</v>
      </c>
      <c r="G414" s="69">
        <f t="shared" si="169"/>
        <v>4.5619212962962966E-2</v>
      </c>
      <c r="H414" s="52"/>
      <c r="I414" s="12">
        <f t="shared" si="170"/>
        <v>4.4161871212936073E-3</v>
      </c>
      <c r="J414" s="37">
        <f t="shared" si="171"/>
        <v>2.4595238095238092</v>
      </c>
      <c r="K414" s="37">
        <f>IF(J414=0,0,IF(B414="F",VLOOKUP(I414,Barem!$G$2:$H$16,2,1),VLOOKUP(I414,Barem!$G$17:$H$31,2,1)))</f>
        <v>1</v>
      </c>
      <c r="L414" s="50">
        <v>2.5</v>
      </c>
      <c r="M414" s="124" t="s">
        <v>107</v>
      </c>
      <c r="N414" s="10">
        <f t="shared" si="168"/>
        <v>0.25</v>
      </c>
      <c r="O414" s="10">
        <f t="shared" si="168"/>
        <v>0.5</v>
      </c>
      <c r="P414" s="10">
        <f t="shared" si="168"/>
        <v>0.25</v>
      </c>
      <c r="Q414" s="40">
        <f t="shared" si="172"/>
        <v>0</v>
      </c>
      <c r="R414" s="21">
        <f>IF(D414&gt;21,VLOOKUP(D414,Barem!$T$1:$U$141,2,1),0)</f>
        <v>0</v>
      </c>
      <c r="S414" s="152">
        <f>IF(D414&lt;1.609,0,IF(B414="F",VLOOKUP(I414,Barem!$X$2:$Z$13,2,1),VLOOKUP(I414,Barem!$X$14:$Z$25,2,1)))</f>
        <v>0</v>
      </c>
      <c r="T414" s="21">
        <f>VLOOKUP(A414,Participanti!A:C,3,0)</f>
        <v>0.4</v>
      </c>
      <c r="U414" s="18">
        <f t="shared" si="173"/>
        <v>2.1398809523809521</v>
      </c>
      <c r="V414" s="58" t="s">
        <v>437</v>
      </c>
      <c r="W414" s="77">
        <f t="shared" si="161"/>
        <v>1</v>
      </c>
      <c r="X414" s="1" t="str">
        <f>VLOOKUP(A414,Data_Echipe!A:R,18,0)</f>
        <v>#notSYRious</v>
      </c>
      <c r="Z414" s="115">
        <f t="shared" si="174"/>
        <v>1</v>
      </c>
    </row>
    <row r="415" spans="1:26" x14ac:dyDescent="0.3">
      <c r="A415" s="49" t="s">
        <v>362</v>
      </c>
      <c r="B415" s="1" t="str">
        <f>VLOOKUP(A415,Participanti!A:B,2,0)</f>
        <v>M</v>
      </c>
      <c r="C415" s="74">
        <v>5</v>
      </c>
      <c r="D415" s="50">
        <v>42.79</v>
      </c>
      <c r="E415" s="51">
        <v>0.19696759259259258</v>
      </c>
      <c r="F415" s="51">
        <v>0.19703703703703704</v>
      </c>
      <c r="G415" s="69">
        <f t="shared" si="169"/>
        <v>0.19700231481481481</v>
      </c>
      <c r="H415" s="52">
        <v>2422</v>
      </c>
      <c r="I415" s="12">
        <f t="shared" si="170"/>
        <v>4.6039335081751532E-3</v>
      </c>
      <c r="J415" s="37">
        <f t="shared" si="171"/>
        <v>5</v>
      </c>
      <c r="K415" s="37">
        <f>IF(J415=0,0,IF(B415="F",VLOOKUP(I415,Barem!$G$2:$H$16,2,1),VLOOKUP(I415,Barem!$G$17:$H$31,2,1)))</f>
        <v>0.75</v>
      </c>
      <c r="L415" s="50">
        <v>2.5</v>
      </c>
      <c r="M415" s="124" t="s">
        <v>106</v>
      </c>
      <c r="N415" s="10">
        <f t="shared" si="168"/>
        <v>0.5</v>
      </c>
      <c r="O415" s="10">
        <f t="shared" si="168"/>
        <v>0.25</v>
      </c>
      <c r="P415" s="10">
        <f t="shared" si="168"/>
        <v>0.25</v>
      </c>
      <c r="Q415" s="40">
        <f t="shared" si="172"/>
        <v>1.6146666666666667</v>
      </c>
      <c r="R415" s="21">
        <f>IF(D415&gt;21,VLOOKUP(D415,Barem!$T$1:$U$141,2,1),0)</f>
        <v>1</v>
      </c>
      <c r="S415" s="152">
        <f>IF(D415&lt;1.609,0,IF(B415="F",VLOOKUP(I415,Barem!$X$2:$Z$13,2,1),VLOOKUP(I415,Barem!$X$14:$Z$25,2,1)))</f>
        <v>0</v>
      </c>
      <c r="T415" s="21">
        <f>VLOOKUP(A415,Participanti!A:C,3,0)</f>
        <v>0</v>
      </c>
      <c r="U415" s="18">
        <f t="shared" si="173"/>
        <v>5.9271666666666665</v>
      </c>
      <c r="V415" s="58" t="s">
        <v>437</v>
      </c>
      <c r="W415" s="77">
        <f t="shared" si="161"/>
        <v>1</v>
      </c>
      <c r="X415" s="1" t="e">
        <f>VLOOKUP(A415,Data_Echipe!A:R,18,0)</f>
        <v>#N/A</v>
      </c>
      <c r="Z415" s="115">
        <f t="shared" si="174"/>
        <v>1</v>
      </c>
    </row>
    <row r="416" spans="1:26" x14ac:dyDescent="0.3">
      <c r="A416" s="49" t="s">
        <v>128</v>
      </c>
      <c r="B416" s="1" t="str">
        <f>VLOOKUP(A416,Participanti!A:B,2,0)</f>
        <v>M</v>
      </c>
      <c r="C416" s="74">
        <v>5</v>
      </c>
      <c r="D416" s="50">
        <v>25</v>
      </c>
      <c r="E416" s="51">
        <v>9.5370370370370369E-2</v>
      </c>
      <c r="F416" s="51">
        <v>9.5370370370370369E-2</v>
      </c>
      <c r="G416" s="69">
        <f t="shared" si="169"/>
        <v>9.5370370370370369E-2</v>
      </c>
      <c r="H416" s="52">
        <v>64</v>
      </c>
      <c r="I416" s="12">
        <f t="shared" si="170"/>
        <v>3.8148148148148147E-3</v>
      </c>
      <c r="J416" s="37">
        <f t="shared" si="171"/>
        <v>5</v>
      </c>
      <c r="K416" s="37">
        <f>IF(J416=0,0,IF(B416="F",VLOOKUP(I416,Barem!$G$2:$H$16,2,1),VLOOKUP(I416,Barem!$G$17:$H$31,2,1)))</f>
        <v>2</v>
      </c>
      <c r="L416" s="50">
        <v>1.5</v>
      </c>
      <c r="M416" s="124" t="s">
        <v>106</v>
      </c>
      <c r="N416" s="10">
        <f t="shared" ref="N416:P431" si="175">IF($M416=N$1,50%,25%)</f>
        <v>0.5</v>
      </c>
      <c r="O416" s="10">
        <f t="shared" si="175"/>
        <v>0.25</v>
      </c>
      <c r="P416" s="10">
        <f t="shared" si="175"/>
        <v>0.25</v>
      </c>
      <c r="Q416" s="40">
        <f t="shared" si="172"/>
        <v>4.2666666666666665E-2</v>
      </c>
      <c r="R416" s="21">
        <f>IF(D416&gt;21,VLOOKUP(D416,Barem!$T$1:$U$141,2,1),0)</f>
        <v>0.2</v>
      </c>
      <c r="S416" s="152">
        <f>IF(D416&lt;1.609,0,IF(B416="F",VLOOKUP(I416,Barem!$X$2:$Z$13,2,1),VLOOKUP(I416,Barem!$X$14:$Z$25,2,1)))</f>
        <v>0</v>
      </c>
      <c r="T416" s="21">
        <f>VLOOKUP(A416,Participanti!A:C,3,0)</f>
        <v>0</v>
      </c>
      <c r="U416" s="18">
        <f t="shared" si="173"/>
        <v>3.617666666666667</v>
      </c>
      <c r="V416" s="58" t="s">
        <v>437</v>
      </c>
      <c r="W416" s="77">
        <f t="shared" si="161"/>
        <v>1</v>
      </c>
      <c r="X416" s="1" t="str">
        <f>VLOOKUP(A416,Data_Echipe!A:R,18,0)</f>
        <v>Almost Kenyan Runners</v>
      </c>
      <c r="Z416" s="115">
        <f t="shared" si="174"/>
        <v>1</v>
      </c>
    </row>
    <row r="417" spans="1:26" x14ac:dyDescent="0.3">
      <c r="A417" s="49" t="s">
        <v>100</v>
      </c>
      <c r="B417" s="1" t="str">
        <f>VLOOKUP(A417,Participanti!A:B,2,0)</f>
        <v>F</v>
      </c>
      <c r="C417" s="74">
        <v>5</v>
      </c>
      <c r="D417" s="50">
        <v>14.97</v>
      </c>
      <c r="E417" s="51">
        <v>7.2615740740740745E-2</v>
      </c>
      <c r="F417" s="51">
        <v>8.2997685185185188E-2</v>
      </c>
      <c r="G417" s="69">
        <f t="shared" si="169"/>
        <v>7.7806712962962959E-2</v>
      </c>
      <c r="H417" s="52"/>
      <c r="I417" s="12">
        <f t="shared" si="170"/>
        <v>5.1975092159627896E-3</v>
      </c>
      <c r="J417" s="37">
        <f t="shared" si="171"/>
        <v>3.7425000000000002</v>
      </c>
      <c r="K417" s="37">
        <f>IF(J417=0,0,IF(B417="F",VLOOKUP(I417,Barem!$G$2:$H$16,2,1),VLOOKUP(I417,Barem!$G$17:$H$31,2,1)))</f>
        <v>0.5</v>
      </c>
      <c r="L417" s="50">
        <v>2.25</v>
      </c>
      <c r="M417" s="124" t="s">
        <v>106</v>
      </c>
      <c r="N417" s="10">
        <f t="shared" si="175"/>
        <v>0.5</v>
      </c>
      <c r="O417" s="10">
        <f t="shared" si="175"/>
        <v>0.25</v>
      </c>
      <c r="P417" s="10">
        <f t="shared" si="175"/>
        <v>0.25</v>
      </c>
      <c r="Q417" s="40">
        <f t="shared" si="172"/>
        <v>0</v>
      </c>
      <c r="R417" s="21">
        <f>IF(D417&gt;21,VLOOKUP(D417,Barem!$T$1:$U$141,2,1),0)</f>
        <v>0</v>
      </c>
      <c r="S417" s="152">
        <f>IF(D417&lt;1.609,0,IF(B417="F",VLOOKUP(I417,Barem!$X$2:$Z$13,2,1),VLOOKUP(I417,Barem!$X$14:$Z$25,2,1)))</f>
        <v>0</v>
      </c>
      <c r="T417" s="21">
        <f>VLOOKUP(A417,Participanti!A:C,3,0)</f>
        <v>0</v>
      </c>
      <c r="U417" s="18">
        <f t="shared" si="173"/>
        <v>2.5587499999999999</v>
      </c>
      <c r="V417" s="58" t="s">
        <v>437</v>
      </c>
      <c r="W417" s="77">
        <f t="shared" si="161"/>
        <v>1</v>
      </c>
      <c r="X417" s="1" t="e">
        <f>VLOOKUP(A417,Data_Echipe!A:R,18,0)</f>
        <v>#N/A</v>
      </c>
      <c r="Z417" s="115">
        <f t="shared" si="174"/>
        <v>1</v>
      </c>
    </row>
    <row r="418" spans="1:26" x14ac:dyDescent="0.3">
      <c r="A418" s="49" t="s">
        <v>332</v>
      </c>
      <c r="B418" s="1" t="str">
        <f>VLOOKUP(A418,Participanti!A:B,2,0)</f>
        <v>M</v>
      </c>
      <c r="C418" s="74">
        <v>5</v>
      </c>
      <c r="D418" s="50">
        <v>22.02</v>
      </c>
      <c r="E418" s="51">
        <v>8.9236111111111113E-2</v>
      </c>
      <c r="F418" s="51">
        <v>0.10460648148148148</v>
      </c>
      <c r="G418" s="69">
        <f t="shared" si="169"/>
        <v>9.6921296296296297E-2</v>
      </c>
      <c r="H418" s="52">
        <v>114</v>
      </c>
      <c r="I418" s="12">
        <f t="shared" si="170"/>
        <v>4.4015120933831196E-3</v>
      </c>
      <c r="J418" s="37">
        <f t="shared" si="171"/>
        <v>5</v>
      </c>
      <c r="K418" s="37">
        <f>IF(J418=0,0,IF(B418="F",VLOOKUP(I418,Barem!$G$2:$H$16,2,1),VLOOKUP(I418,Barem!$G$17:$H$31,2,1)))</f>
        <v>1</v>
      </c>
      <c r="L418" s="50">
        <v>2.5</v>
      </c>
      <c r="M418" s="124" t="s">
        <v>106</v>
      </c>
      <c r="N418" s="10">
        <f t="shared" si="175"/>
        <v>0.5</v>
      </c>
      <c r="O418" s="10">
        <f t="shared" si="175"/>
        <v>0.25</v>
      </c>
      <c r="P418" s="10">
        <f t="shared" si="175"/>
        <v>0.25</v>
      </c>
      <c r="Q418" s="40">
        <f t="shared" si="172"/>
        <v>7.5999999999999998E-2</v>
      </c>
      <c r="R418" s="21">
        <f>IF(D418&gt;21,VLOOKUP(D418,Barem!$T$1:$U$141,2,1),0)</f>
        <v>0</v>
      </c>
      <c r="S418" s="152">
        <f>IF(D418&lt;1.609,0,IF(B418="F",VLOOKUP(I418,Barem!$X$2:$Z$13,2,1),VLOOKUP(I418,Barem!$X$14:$Z$25,2,1)))</f>
        <v>0</v>
      </c>
      <c r="T418" s="21">
        <f>VLOOKUP(A418,Participanti!A:C,3,0)</f>
        <v>0.4</v>
      </c>
      <c r="U418" s="18">
        <f t="shared" si="173"/>
        <v>3.851</v>
      </c>
      <c r="V418" s="58" t="s">
        <v>437</v>
      </c>
      <c r="W418" s="77">
        <f t="shared" si="161"/>
        <v>1</v>
      </c>
      <c r="X418" s="1" t="str">
        <f>VLOOKUP(A418,Data_Echipe!A:R,18,0)</f>
        <v>MedgidiaRunning</v>
      </c>
      <c r="Z418" s="115">
        <f t="shared" si="174"/>
        <v>1</v>
      </c>
    </row>
    <row r="419" spans="1:26" x14ac:dyDescent="0.3">
      <c r="A419" s="49" t="s">
        <v>226</v>
      </c>
      <c r="B419" s="1" t="str">
        <f>VLOOKUP(A419,Participanti!A:B,2,0)</f>
        <v>M</v>
      </c>
      <c r="C419" s="74">
        <v>5</v>
      </c>
      <c r="D419" s="50">
        <v>17.07</v>
      </c>
      <c r="E419" s="51">
        <v>7.6655092592592594E-2</v>
      </c>
      <c r="F419" s="51">
        <v>7.6840277777777785E-2</v>
      </c>
      <c r="G419" s="69">
        <f t="shared" si="169"/>
        <v>7.6747685185185183E-2</v>
      </c>
      <c r="H419" s="52"/>
      <c r="I419" s="12">
        <f t="shared" si="170"/>
        <v>4.4960565427759336E-3</v>
      </c>
      <c r="J419" s="37">
        <f t="shared" si="171"/>
        <v>4.0642857142857141</v>
      </c>
      <c r="K419" s="37">
        <f>IF(J419=0,0,IF(B419="F",VLOOKUP(I419,Barem!$G$2:$H$16,2,1),VLOOKUP(I419,Barem!$G$17:$H$31,2,1)))</f>
        <v>1</v>
      </c>
      <c r="L419" s="50">
        <v>1</v>
      </c>
      <c r="M419" s="124" t="s">
        <v>107</v>
      </c>
      <c r="N419" s="10">
        <f t="shared" si="175"/>
        <v>0.25</v>
      </c>
      <c r="O419" s="10">
        <f t="shared" si="175"/>
        <v>0.5</v>
      </c>
      <c r="P419" s="10">
        <f t="shared" si="175"/>
        <v>0.25</v>
      </c>
      <c r="Q419" s="40">
        <f t="shared" si="172"/>
        <v>0</v>
      </c>
      <c r="R419" s="21">
        <f>IF(D419&gt;21,VLOOKUP(D419,Barem!$T$1:$U$141,2,1),0)</f>
        <v>0</v>
      </c>
      <c r="S419" s="152">
        <f>IF(D419&lt;1.609,0,IF(B419="F",VLOOKUP(I419,Barem!$X$2:$Z$13,2,1),VLOOKUP(I419,Barem!$X$14:$Z$25,2,1)))</f>
        <v>0</v>
      </c>
      <c r="T419" s="21">
        <f>VLOOKUP(A419,Participanti!A:C,3,0)</f>
        <v>0</v>
      </c>
      <c r="U419" s="18">
        <f t="shared" si="173"/>
        <v>1.7660714285714285</v>
      </c>
      <c r="V419" s="58" t="s">
        <v>437</v>
      </c>
      <c r="W419" s="77">
        <f t="shared" si="161"/>
        <v>1</v>
      </c>
      <c r="X419" s="1" t="e">
        <f>VLOOKUP(A419,Data_Echipe!A:R,18,0)</f>
        <v>#N/A</v>
      </c>
      <c r="Z419" s="115">
        <f t="shared" si="174"/>
        <v>1</v>
      </c>
    </row>
    <row r="420" spans="1:26" x14ac:dyDescent="0.3">
      <c r="A420" s="49" t="s">
        <v>247</v>
      </c>
      <c r="B420" s="1" t="str">
        <f>VLOOKUP(A420,Participanti!A:B,2,0)</f>
        <v>M</v>
      </c>
      <c r="C420" s="74">
        <v>5</v>
      </c>
      <c r="D420" s="50">
        <v>22.02</v>
      </c>
      <c r="E420" s="51">
        <v>8.6458333333333345E-2</v>
      </c>
      <c r="F420" s="51">
        <v>8.6458333333333345E-2</v>
      </c>
      <c r="G420" s="69">
        <f t="shared" si="169"/>
        <v>8.6458333333333345E-2</v>
      </c>
      <c r="H420" s="52">
        <v>538</v>
      </c>
      <c r="I420" s="12">
        <f t="shared" si="170"/>
        <v>3.9263548289433852E-3</v>
      </c>
      <c r="J420" s="37">
        <f t="shared" si="171"/>
        <v>5</v>
      </c>
      <c r="K420" s="37">
        <f>IF(J420=0,0,IF(B420="F",VLOOKUP(I420,Barem!$G$2:$H$16,2,1),VLOOKUP(I420,Barem!$G$17:$H$31,2,1)))</f>
        <v>1.75</v>
      </c>
      <c r="L420" s="50">
        <v>1.5</v>
      </c>
      <c r="M420" s="124" t="s">
        <v>106</v>
      </c>
      <c r="N420" s="10">
        <f t="shared" si="175"/>
        <v>0.5</v>
      </c>
      <c r="O420" s="10">
        <f t="shared" si="175"/>
        <v>0.25</v>
      </c>
      <c r="P420" s="10">
        <f t="shared" si="175"/>
        <v>0.25</v>
      </c>
      <c r="Q420" s="40">
        <f t="shared" si="172"/>
        <v>0.35866666666666669</v>
      </c>
      <c r="R420" s="21">
        <f>IF(D420&gt;21,VLOOKUP(D420,Barem!$T$1:$U$141,2,1),0)</f>
        <v>0</v>
      </c>
      <c r="S420" s="152">
        <f>IF(D420&lt;1.609,0,IF(B420="F",VLOOKUP(I420,Barem!$X$2:$Z$13,2,1),VLOOKUP(I420,Barem!$X$14:$Z$25,2,1)))</f>
        <v>0</v>
      </c>
      <c r="T420" s="21">
        <f>VLOOKUP(A420,Participanti!A:C,3,0)</f>
        <v>0</v>
      </c>
      <c r="U420" s="18">
        <f t="shared" si="173"/>
        <v>3.6711666666666667</v>
      </c>
      <c r="V420" s="58" t="s">
        <v>437</v>
      </c>
      <c r="W420" s="77">
        <f t="shared" si="161"/>
        <v>1</v>
      </c>
      <c r="X420" s="1" t="str">
        <f>VLOOKUP(A420,Data_Echipe!A:R,18,0)</f>
        <v>UltraHaita lu' Borcan</v>
      </c>
      <c r="Z420" s="115">
        <f t="shared" si="174"/>
        <v>1</v>
      </c>
    </row>
    <row r="421" spans="1:26" x14ac:dyDescent="0.3">
      <c r="A421" s="49" t="s">
        <v>398</v>
      </c>
      <c r="B421" s="1" t="str">
        <f>VLOOKUP(A421,Participanti!A:B,2,0)</f>
        <v>F</v>
      </c>
      <c r="C421" s="74">
        <v>5</v>
      </c>
      <c r="D421" s="50">
        <v>10.36</v>
      </c>
      <c r="E421" s="51">
        <v>7.4236111111111114E-2</v>
      </c>
      <c r="F421" s="51">
        <v>8.2939814814814813E-2</v>
      </c>
      <c r="G421" s="69">
        <f t="shared" si="169"/>
        <v>7.8587962962962971E-2</v>
      </c>
      <c r="H421" s="52"/>
      <c r="I421" s="12">
        <f t="shared" si="170"/>
        <v>7.5857107107107115E-3</v>
      </c>
      <c r="J421" s="37">
        <f t="shared" si="171"/>
        <v>2.59</v>
      </c>
      <c r="K421" s="37">
        <f>IF(J421=0,0,IF(B421="F",VLOOKUP(I421,Barem!$G$2:$H$16,2,1),VLOOKUP(I421,Barem!$G$17:$H$31,2,1)))</f>
        <v>0</v>
      </c>
      <c r="L421" s="50">
        <v>2.25</v>
      </c>
      <c r="M421" s="124" t="s">
        <v>107</v>
      </c>
      <c r="N421" s="10">
        <f t="shared" si="175"/>
        <v>0.25</v>
      </c>
      <c r="O421" s="10">
        <f t="shared" si="175"/>
        <v>0.5</v>
      </c>
      <c r="P421" s="10">
        <f t="shared" si="175"/>
        <v>0.25</v>
      </c>
      <c r="Q421" s="40">
        <f t="shared" si="172"/>
        <v>0</v>
      </c>
      <c r="R421" s="21">
        <f>IF(D421&gt;21,VLOOKUP(D421,Barem!$T$1:$U$141,2,1),0)</f>
        <v>0</v>
      </c>
      <c r="S421" s="152">
        <f>IF(D421&lt;1.609,0,IF(B421="F",VLOOKUP(I421,Barem!$X$2:$Z$13,2,1),VLOOKUP(I421,Barem!$X$14:$Z$25,2,1)))</f>
        <v>0</v>
      </c>
      <c r="T421" s="21">
        <f>VLOOKUP(A421,Participanti!A:C,3,0)</f>
        <v>0.7</v>
      </c>
      <c r="U421" s="18">
        <f t="shared" si="173"/>
        <v>1.91</v>
      </c>
      <c r="V421" s="58" t="s">
        <v>437</v>
      </c>
      <c r="W421" s="77">
        <f t="shared" si="161"/>
        <v>1</v>
      </c>
      <c r="X421" s="1" t="e">
        <f>VLOOKUP(A421,Data_Echipe!A:R,18,0)</f>
        <v>#N/A</v>
      </c>
      <c r="Z421" s="115">
        <f t="shared" si="174"/>
        <v>0</v>
      </c>
    </row>
    <row r="422" spans="1:26" x14ac:dyDescent="0.3">
      <c r="A422" s="49" t="s">
        <v>392</v>
      </c>
      <c r="B422" s="1" t="str">
        <f>VLOOKUP(A422,Participanti!A:B,2,0)</f>
        <v>M</v>
      </c>
      <c r="C422" s="74">
        <v>5</v>
      </c>
      <c r="D422" s="50">
        <v>10.36</v>
      </c>
      <c r="E422" s="51">
        <v>4.144675925925926E-2</v>
      </c>
      <c r="F422" s="51">
        <v>4.3032407407407408E-2</v>
      </c>
      <c r="G422" s="69">
        <f t="shared" si="169"/>
        <v>4.223958333333333E-2</v>
      </c>
      <c r="H422" s="52"/>
      <c r="I422" s="12">
        <f t="shared" si="170"/>
        <v>4.0771798584298587E-3</v>
      </c>
      <c r="J422" s="37">
        <f t="shared" si="171"/>
        <v>2.4666666666666663</v>
      </c>
      <c r="K422" s="37">
        <f>IF(J422=0,0,IF(B422="F",VLOOKUP(I422,Barem!$G$2:$H$16,2,1),VLOOKUP(I422,Barem!$G$17:$H$31,2,1)))</f>
        <v>1.5</v>
      </c>
      <c r="L422" s="50">
        <v>2.25</v>
      </c>
      <c r="M422" s="124" t="s">
        <v>207</v>
      </c>
      <c r="N422" s="10">
        <f t="shared" si="175"/>
        <v>0.25</v>
      </c>
      <c r="O422" s="10">
        <f t="shared" si="175"/>
        <v>0.25</v>
      </c>
      <c r="P422" s="10">
        <f t="shared" si="175"/>
        <v>0.5</v>
      </c>
      <c r="Q422" s="40">
        <f t="shared" si="172"/>
        <v>0</v>
      </c>
      <c r="R422" s="21">
        <f>IF(D422&gt;21,VLOOKUP(D422,Barem!$T$1:$U$141,2,1),0)</f>
        <v>0</v>
      </c>
      <c r="S422" s="152">
        <f>IF(D422&lt;1.609,0,IF(B422="F",VLOOKUP(I422,Barem!$X$2:$Z$13,2,1),VLOOKUP(I422,Barem!$X$14:$Z$25,2,1)))</f>
        <v>0</v>
      </c>
      <c r="T422" s="21">
        <f>VLOOKUP(A422,Participanti!A:C,3,0)</f>
        <v>0</v>
      </c>
      <c r="U422" s="18">
        <f t="shared" si="173"/>
        <v>2.1166666666666667</v>
      </c>
      <c r="V422" s="58" t="s">
        <v>437</v>
      </c>
      <c r="W422" s="77">
        <f t="shared" si="161"/>
        <v>1</v>
      </c>
      <c r="X422" s="1" t="e">
        <f>VLOOKUP(A422,Data_Echipe!A:R,18,0)</f>
        <v>#N/A</v>
      </c>
      <c r="Z422" s="115">
        <f t="shared" si="174"/>
        <v>1</v>
      </c>
    </row>
    <row r="423" spans="1:26" x14ac:dyDescent="0.3">
      <c r="A423" s="49" t="s">
        <v>341</v>
      </c>
      <c r="B423" s="1" t="str">
        <f>VLOOKUP(A423,Participanti!A:B,2,0)</f>
        <v>M</v>
      </c>
      <c r="C423" s="74">
        <v>5</v>
      </c>
      <c r="D423" s="50">
        <v>23.45</v>
      </c>
      <c r="E423" s="51">
        <v>9.1701388888888888E-2</v>
      </c>
      <c r="F423" s="51">
        <v>9.1967592592592587E-2</v>
      </c>
      <c r="G423" s="69">
        <f t="shared" si="169"/>
        <v>9.1834490740740737E-2</v>
      </c>
      <c r="H423" s="52">
        <v>451</v>
      </c>
      <c r="I423" s="12">
        <f t="shared" si="170"/>
        <v>3.9161829740187951E-3</v>
      </c>
      <c r="J423" s="37">
        <f t="shared" si="171"/>
        <v>5</v>
      </c>
      <c r="K423" s="37">
        <f>IF(J423=0,0,IF(B423="F",VLOOKUP(I423,Barem!$G$2:$H$16,2,1),VLOOKUP(I423,Barem!$G$17:$H$31,2,1)))</f>
        <v>1.75</v>
      </c>
      <c r="L423" s="50">
        <v>3.25</v>
      </c>
      <c r="M423" s="124" t="s">
        <v>207</v>
      </c>
      <c r="N423" s="10">
        <f t="shared" si="175"/>
        <v>0.25</v>
      </c>
      <c r="O423" s="10">
        <f t="shared" si="175"/>
        <v>0.25</v>
      </c>
      <c r="P423" s="10">
        <f t="shared" si="175"/>
        <v>0.5</v>
      </c>
      <c r="Q423" s="40">
        <f t="shared" si="172"/>
        <v>0.30066666666666669</v>
      </c>
      <c r="R423" s="21">
        <f>IF(D423&gt;21,VLOOKUP(D423,Barem!$T$1:$U$141,2,1),0)</f>
        <v>0.1</v>
      </c>
      <c r="S423" s="152">
        <f>IF(D423&lt;1.609,0,IF(B423="F",VLOOKUP(I423,Barem!$X$2:$Z$13,2,1),VLOOKUP(I423,Barem!$X$14:$Z$25,2,1)))</f>
        <v>0</v>
      </c>
      <c r="T423" s="21">
        <f>VLOOKUP(A423,Participanti!A:C,3,0)</f>
        <v>0</v>
      </c>
      <c r="U423" s="18">
        <f t="shared" si="173"/>
        <v>3.7131666666666669</v>
      </c>
      <c r="V423" s="58" t="s">
        <v>437</v>
      </c>
      <c r="W423" s="77">
        <f t="shared" si="161"/>
        <v>1</v>
      </c>
      <c r="X423" s="1" t="str">
        <f>VLOOKUP(A423,Data_Echipe!A:R,18,0)</f>
        <v>The GOATs</v>
      </c>
      <c r="Z423" s="115">
        <f t="shared" si="174"/>
        <v>1</v>
      </c>
    </row>
    <row r="424" spans="1:26" x14ac:dyDescent="0.3">
      <c r="A424" s="49" t="s">
        <v>358</v>
      </c>
      <c r="B424" s="1" t="str">
        <f>VLOOKUP(A424,Participanti!A:B,2,0)</f>
        <v>F</v>
      </c>
      <c r="C424" s="74">
        <v>5</v>
      </c>
      <c r="D424" s="50">
        <v>7.96</v>
      </c>
      <c r="E424" s="51">
        <v>5.1180555555555556E-2</v>
      </c>
      <c r="F424" s="51">
        <v>5.3460648148148153E-2</v>
      </c>
      <c r="G424" s="69">
        <f t="shared" ref="G424:G430" si="176">AVERAGE(E424:F424)</f>
        <v>5.2320601851851854E-2</v>
      </c>
      <c r="H424" s="52">
        <v>288</v>
      </c>
      <c r="I424" s="12">
        <f t="shared" ref="I424:I430" si="177">G424/D424</f>
        <v>6.5729399311371672E-3</v>
      </c>
      <c r="J424" s="37">
        <f t="shared" ref="J424:J430" si="178">IF(B424="F",IF(D424&lt;2.5,0,IF(D424&gt;19.99,5,D424/4)),IF(D424&lt;3,0, IF(D424&gt;20.99,5,D424/4.2)))</f>
        <v>1.99</v>
      </c>
      <c r="K424" s="37">
        <f>IF(J424=0,0,IF(B424="F",VLOOKUP(I424,Barem!$G$2:$H$16,2,1),VLOOKUP(I424,Barem!$G$17:$H$31,2,1)))</f>
        <v>0</v>
      </c>
      <c r="L424" s="50">
        <v>1</v>
      </c>
      <c r="M424" s="124" t="s">
        <v>107</v>
      </c>
      <c r="N424" s="10">
        <f t="shared" si="175"/>
        <v>0.25</v>
      </c>
      <c r="O424" s="10">
        <f t="shared" si="175"/>
        <v>0.5</v>
      </c>
      <c r="P424" s="10">
        <f t="shared" si="175"/>
        <v>0.25</v>
      </c>
      <c r="Q424" s="40">
        <f t="shared" ref="Q424:Q430" si="179">IF(H424&gt;49,H424/1500,0)</f>
        <v>0.192</v>
      </c>
      <c r="R424" s="21">
        <f>IF(D424&gt;21,VLOOKUP(D424,Barem!$T$1:$U$141,2,1),0)</f>
        <v>0</v>
      </c>
      <c r="S424" s="152">
        <f>IF(D424&lt;1.609,0,IF(B424="F",VLOOKUP(I424,Barem!$X$2:$Z$13,2,1),VLOOKUP(I424,Barem!$X$14:$Z$25,2,1)))</f>
        <v>0</v>
      </c>
      <c r="T424" s="21">
        <f>VLOOKUP(A424,Participanti!A:C,3,0)</f>
        <v>0</v>
      </c>
      <c r="U424" s="18">
        <f t="shared" ref="U424:U430" si="180">IF(H424&lt;0,0,J424*N424+K424*O424+L424*P424+Q424+R424+S424+T424)</f>
        <v>0.9395</v>
      </c>
      <c r="V424" s="58" t="s">
        <v>437</v>
      </c>
      <c r="W424" s="77">
        <f t="shared" si="161"/>
        <v>1</v>
      </c>
      <c r="X424" s="1" t="str">
        <f>VLOOKUP(A424,Data_Echipe!A:R,18,0)</f>
        <v>#notSYRious</v>
      </c>
      <c r="Z424" s="115">
        <f t="shared" ref="Z424:Z430" si="181">IF(K424&gt;0,1,0)</f>
        <v>0</v>
      </c>
    </row>
    <row r="425" spans="1:26" x14ac:dyDescent="0.3">
      <c r="A425" s="49" t="s">
        <v>406</v>
      </c>
      <c r="B425" s="1" t="str">
        <f>VLOOKUP(A425,Participanti!A:B,2,0)</f>
        <v>M</v>
      </c>
      <c r="C425" s="74">
        <v>5</v>
      </c>
      <c r="D425" s="50">
        <v>23.45</v>
      </c>
      <c r="E425" s="51">
        <v>8.8946759259259267E-2</v>
      </c>
      <c r="F425" s="51">
        <v>9.1921296296296293E-2</v>
      </c>
      <c r="G425" s="69">
        <f t="shared" si="176"/>
        <v>9.0434027777777787E-2</v>
      </c>
      <c r="H425" s="52">
        <v>464</v>
      </c>
      <c r="I425" s="12">
        <f t="shared" si="177"/>
        <v>3.8564617389244258E-3</v>
      </c>
      <c r="J425" s="37">
        <f t="shared" si="178"/>
        <v>5</v>
      </c>
      <c r="K425" s="37">
        <f>IF(J425=0,0,IF(B425="F",VLOOKUP(I425,Barem!$G$2:$H$16,2,1),VLOOKUP(I425,Barem!$G$17:$H$31,2,1)))</f>
        <v>1.75</v>
      </c>
      <c r="L425" s="50">
        <v>3</v>
      </c>
      <c r="M425" s="124" t="s">
        <v>207</v>
      </c>
      <c r="N425" s="10">
        <f t="shared" si="175"/>
        <v>0.25</v>
      </c>
      <c r="O425" s="10">
        <f t="shared" si="175"/>
        <v>0.25</v>
      </c>
      <c r="P425" s="10">
        <f t="shared" si="175"/>
        <v>0.5</v>
      </c>
      <c r="Q425" s="40">
        <f t="shared" si="179"/>
        <v>0.30933333333333335</v>
      </c>
      <c r="R425" s="21">
        <f>IF(D425&gt;21,VLOOKUP(D425,Barem!$T$1:$U$141,2,1),0)</f>
        <v>0.1</v>
      </c>
      <c r="S425" s="152">
        <f>IF(D425&lt;1.609,0,IF(B425="F",VLOOKUP(I425,Barem!$X$2:$Z$13,2,1),VLOOKUP(I425,Barem!$X$14:$Z$25,2,1)))</f>
        <v>0</v>
      </c>
      <c r="T425" s="21">
        <f>VLOOKUP(A425,Participanti!A:C,3,0)</f>
        <v>0</v>
      </c>
      <c r="U425" s="18">
        <f t="shared" si="180"/>
        <v>3.5968333333333335</v>
      </c>
      <c r="V425" s="58" t="s">
        <v>437</v>
      </c>
      <c r="W425" s="77">
        <f t="shared" si="161"/>
        <v>1</v>
      </c>
      <c r="X425" s="1" t="e">
        <f>VLOOKUP(A425,Data_Echipe!A:R,18,0)</f>
        <v>#N/A</v>
      </c>
      <c r="Z425" s="115">
        <f t="shared" si="181"/>
        <v>1</v>
      </c>
    </row>
    <row r="426" spans="1:26" x14ac:dyDescent="0.3">
      <c r="A426" s="49" t="s">
        <v>208</v>
      </c>
      <c r="B426" s="1" t="str">
        <f>VLOOKUP(A426,Participanti!A:B,2,0)</f>
        <v>M</v>
      </c>
      <c r="C426" s="74">
        <v>5</v>
      </c>
      <c r="D426" s="50">
        <v>16.010000000000002</v>
      </c>
      <c r="E426" s="51">
        <v>5.6863425925925921E-2</v>
      </c>
      <c r="F426" s="51">
        <v>5.6863425925925921E-2</v>
      </c>
      <c r="G426" s="69">
        <f t="shared" si="176"/>
        <v>5.6863425925925921E-2</v>
      </c>
      <c r="H426" s="52"/>
      <c r="I426" s="12">
        <f t="shared" si="177"/>
        <v>3.5517442801952476E-3</v>
      </c>
      <c r="J426" s="37">
        <f t="shared" si="178"/>
        <v>3.8119047619047621</v>
      </c>
      <c r="K426" s="37">
        <f>IF(J426=0,0,IF(B426="F",VLOOKUP(I426,Barem!$G$2:$H$16,2,1),VLOOKUP(I426,Barem!$G$17:$H$31,2,1)))</f>
        <v>2.5</v>
      </c>
      <c r="L426" s="50">
        <v>2</v>
      </c>
      <c r="M426" s="124" t="s">
        <v>207</v>
      </c>
      <c r="N426" s="10">
        <f t="shared" si="175"/>
        <v>0.25</v>
      </c>
      <c r="O426" s="10">
        <f t="shared" si="175"/>
        <v>0.25</v>
      </c>
      <c r="P426" s="10">
        <f t="shared" si="175"/>
        <v>0.5</v>
      </c>
      <c r="Q426" s="40">
        <f t="shared" si="179"/>
        <v>0</v>
      </c>
      <c r="R426" s="21">
        <f>IF(D426&gt;21,VLOOKUP(D426,Barem!$T$1:$U$141,2,1),0)</f>
        <v>0</v>
      </c>
      <c r="S426" s="152">
        <f>IF(D426&lt;1.609,0,IF(B426="F",VLOOKUP(I426,Barem!$X$2:$Z$13,2,1),VLOOKUP(I426,Barem!$X$14:$Z$25,2,1)))</f>
        <v>0</v>
      </c>
      <c r="T426" s="21">
        <f>VLOOKUP(A426,Participanti!A:C,3,0)</f>
        <v>0</v>
      </c>
      <c r="U426" s="18">
        <f t="shared" si="180"/>
        <v>2.5779761904761904</v>
      </c>
      <c r="V426" s="58" t="s">
        <v>437</v>
      </c>
      <c r="W426" s="77">
        <f t="shared" si="161"/>
        <v>1</v>
      </c>
      <c r="X426" s="1" t="e">
        <f>VLOOKUP(A426,Data_Echipe!A:R,18,0)</f>
        <v>#N/A</v>
      </c>
      <c r="Z426" s="115">
        <f t="shared" si="181"/>
        <v>1</v>
      </c>
    </row>
    <row r="427" spans="1:26" x14ac:dyDescent="0.3">
      <c r="A427" s="49" t="s">
        <v>353</v>
      </c>
      <c r="B427" s="1" t="str">
        <f>VLOOKUP(A427,Participanti!A:B,2,0)</f>
        <v>M</v>
      </c>
      <c r="C427" s="74">
        <v>5</v>
      </c>
      <c r="D427" s="50">
        <v>28.23</v>
      </c>
      <c r="E427" s="51">
        <v>0.10987268518518518</v>
      </c>
      <c r="F427" s="51">
        <v>0.1107523148148148</v>
      </c>
      <c r="G427" s="69">
        <f t="shared" si="176"/>
        <v>0.11031249999999999</v>
      </c>
      <c r="H427" s="52"/>
      <c r="I427" s="12">
        <f t="shared" si="177"/>
        <v>3.9076337229897269E-3</v>
      </c>
      <c r="J427" s="37">
        <f t="shared" si="178"/>
        <v>5</v>
      </c>
      <c r="K427" s="37">
        <f>IF(J427=0,0,IF(B427="F",VLOOKUP(I427,Barem!$G$2:$H$16,2,1),VLOOKUP(I427,Barem!$G$17:$H$31,2,1)))</f>
        <v>1.75</v>
      </c>
      <c r="L427" s="50">
        <v>2.5</v>
      </c>
      <c r="M427" s="124" t="s">
        <v>106</v>
      </c>
      <c r="N427" s="10">
        <f t="shared" si="175"/>
        <v>0.5</v>
      </c>
      <c r="O427" s="10">
        <f t="shared" si="175"/>
        <v>0.25</v>
      </c>
      <c r="P427" s="10">
        <f t="shared" si="175"/>
        <v>0.25</v>
      </c>
      <c r="Q427" s="40">
        <f t="shared" si="179"/>
        <v>0</v>
      </c>
      <c r="R427" s="21">
        <f>IF(D427&gt;21,VLOOKUP(D427,Barem!$T$1:$U$141,2,1),0)</f>
        <v>0.3</v>
      </c>
      <c r="S427" s="152">
        <f>IF(D427&lt;1.609,0,IF(B427="F",VLOOKUP(I427,Barem!$X$2:$Z$13,2,1),VLOOKUP(I427,Barem!$X$14:$Z$25,2,1)))</f>
        <v>0</v>
      </c>
      <c r="T427" s="21">
        <f>VLOOKUP(A427,Participanti!A:C,3,0)</f>
        <v>0</v>
      </c>
      <c r="U427" s="18">
        <f t="shared" si="180"/>
        <v>3.8624999999999998</v>
      </c>
      <c r="V427" s="58" t="s">
        <v>437</v>
      </c>
      <c r="W427" s="77">
        <f t="shared" si="161"/>
        <v>1</v>
      </c>
      <c r="X427" s="1" t="e">
        <f>VLOOKUP(A427,Data_Echipe!A:R,18,0)</f>
        <v>#N/A</v>
      </c>
      <c r="Z427" s="115">
        <f t="shared" si="181"/>
        <v>1</v>
      </c>
    </row>
    <row r="428" spans="1:26" x14ac:dyDescent="0.3">
      <c r="A428" s="49" t="s">
        <v>366</v>
      </c>
      <c r="B428" s="1" t="str">
        <f>VLOOKUP(A428,Participanti!A:B,2,0)</f>
        <v>M</v>
      </c>
      <c r="C428" s="74">
        <v>5</v>
      </c>
      <c r="D428" s="50">
        <v>21.12</v>
      </c>
      <c r="E428" s="51">
        <v>7.4895833333333328E-2</v>
      </c>
      <c r="F428" s="51">
        <v>8.324074074074074E-2</v>
      </c>
      <c r="G428" s="69">
        <f t="shared" si="176"/>
        <v>7.9068287037037027E-2</v>
      </c>
      <c r="H428" s="52"/>
      <c r="I428" s="12">
        <f t="shared" si="177"/>
        <v>3.7437635907687987E-3</v>
      </c>
      <c r="J428" s="37">
        <f t="shared" si="178"/>
        <v>5</v>
      </c>
      <c r="K428" s="37">
        <f>IF(J428=0,0,IF(B428="F",VLOOKUP(I428,Barem!$G$2:$H$16,2,1),VLOOKUP(I428,Barem!$G$17:$H$31,2,1)))</f>
        <v>2</v>
      </c>
      <c r="L428" s="50">
        <v>3.25</v>
      </c>
      <c r="M428" s="124" t="s">
        <v>207</v>
      </c>
      <c r="N428" s="10">
        <f t="shared" si="175"/>
        <v>0.25</v>
      </c>
      <c r="O428" s="10">
        <f t="shared" si="175"/>
        <v>0.25</v>
      </c>
      <c r="P428" s="10">
        <f t="shared" si="175"/>
        <v>0.5</v>
      </c>
      <c r="Q428" s="40">
        <f t="shared" si="179"/>
        <v>0</v>
      </c>
      <c r="R428" s="21">
        <f>IF(D428&gt;21,VLOOKUP(D428,Barem!$T$1:$U$141,2,1),0)</f>
        <v>0</v>
      </c>
      <c r="S428" s="152">
        <f>IF(D428&lt;1.609,0,IF(B428="F",VLOOKUP(I428,Barem!$X$2:$Z$13,2,1),VLOOKUP(I428,Barem!$X$14:$Z$25,2,1)))</f>
        <v>0</v>
      </c>
      <c r="T428" s="21">
        <f>VLOOKUP(A428,Participanti!A:C,3,0)</f>
        <v>0</v>
      </c>
      <c r="U428" s="18">
        <f t="shared" si="180"/>
        <v>3.375</v>
      </c>
      <c r="V428" s="58" t="s">
        <v>437</v>
      </c>
      <c r="W428" s="77">
        <f t="shared" si="161"/>
        <v>1</v>
      </c>
      <c r="X428" s="1" t="str">
        <f>VLOOKUP(A428,Data_Echipe!A:R,18,0)</f>
        <v>The GOATs</v>
      </c>
      <c r="Z428" s="115">
        <f t="shared" si="181"/>
        <v>1</v>
      </c>
    </row>
    <row r="429" spans="1:26" x14ac:dyDescent="0.3">
      <c r="A429" s="49" t="s">
        <v>108</v>
      </c>
      <c r="B429" s="1" t="str">
        <f>VLOOKUP(A429,Participanti!A:B,2,0)</f>
        <v>M</v>
      </c>
      <c r="C429" s="74">
        <v>5</v>
      </c>
      <c r="D429" s="50">
        <v>10.199999999999999</v>
      </c>
      <c r="E429" s="51">
        <v>3.3958333333333333E-2</v>
      </c>
      <c r="F429" s="51">
        <v>3.3958333333333333E-2</v>
      </c>
      <c r="G429" s="69">
        <f t="shared" si="176"/>
        <v>3.3958333333333333E-2</v>
      </c>
      <c r="H429" s="52"/>
      <c r="I429" s="12">
        <f t="shared" si="177"/>
        <v>3.3292483660130722E-3</v>
      </c>
      <c r="J429" s="37">
        <f t="shared" si="178"/>
        <v>2.4285714285714284</v>
      </c>
      <c r="K429" s="37">
        <f>IF(J429=0,0,IF(B429="F",VLOOKUP(I429,Barem!$G$2:$H$16,2,1),VLOOKUP(I429,Barem!$G$17:$H$31,2,1)))</f>
        <v>3</v>
      </c>
      <c r="L429" s="50">
        <v>3.25</v>
      </c>
      <c r="M429" s="124" t="s">
        <v>107</v>
      </c>
      <c r="N429" s="10">
        <f t="shared" si="175"/>
        <v>0.25</v>
      </c>
      <c r="O429" s="10">
        <f t="shared" si="175"/>
        <v>0.5</v>
      </c>
      <c r="P429" s="10">
        <f t="shared" si="175"/>
        <v>0.25</v>
      </c>
      <c r="Q429" s="40">
        <f t="shared" si="179"/>
        <v>0</v>
      </c>
      <c r="R429" s="21">
        <f>IF(D429&gt;21,VLOOKUP(D429,Barem!$T$1:$U$141,2,1),0)</f>
        <v>0</v>
      </c>
      <c r="S429" s="152">
        <f>IF(D429&lt;1.609,0,IF(B429="F",VLOOKUP(I429,Barem!$X$2:$Z$13,2,1),VLOOKUP(I429,Barem!$X$14:$Z$25,2,1)))</f>
        <v>0</v>
      </c>
      <c r="T429" s="21">
        <f>VLOOKUP(A429,Participanti!A:C,3,0)</f>
        <v>0</v>
      </c>
      <c r="U429" s="18">
        <f t="shared" si="180"/>
        <v>2.9196428571428572</v>
      </c>
      <c r="V429" s="58" t="s">
        <v>438</v>
      </c>
      <c r="W429" s="77">
        <f t="shared" si="161"/>
        <v>1</v>
      </c>
      <c r="X429" s="1" t="str">
        <f>VLOOKUP(A429,Data_Echipe!A:R,18,0)</f>
        <v>UltraHaita lu' Borcan</v>
      </c>
      <c r="Z429" s="115">
        <f t="shared" si="181"/>
        <v>1</v>
      </c>
    </row>
    <row r="430" spans="1:26" x14ac:dyDescent="0.3">
      <c r="A430" s="49" t="s">
        <v>64</v>
      </c>
      <c r="B430" s="1" t="str">
        <f>VLOOKUP(A430,Participanti!A:B,2,0)</f>
        <v>F</v>
      </c>
      <c r="C430" s="74">
        <v>5</v>
      </c>
      <c r="D430" s="50">
        <v>8.19</v>
      </c>
      <c r="E430" s="51">
        <v>4.2870370370370371E-2</v>
      </c>
      <c r="F430" s="51">
        <v>5.4699074074074074E-2</v>
      </c>
      <c r="G430" s="69">
        <f t="shared" si="176"/>
        <v>4.8784722222222222E-2</v>
      </c>
      <c r="H430" s="52"/>
      <c r="I430" s="12">
        <f t="shared" si="177"/>
        <v>5.9566205399538734E-3</v>
      </c>
      <c r="J430" s="37">
        <f t="shared" si="178"/>
        <v>2.0474999999999999</v>
      </c>
      <c r="K430" s="37">
        <f>IF(J430=0,0,IF(B430="F",VLOOKUP(I430,Barem!$G$2:$H$16,2,1),VLOOKUP(I430,Barem!$G$17:$H$31,2,1)))</f>
        <v>0.25</v>
      </c>
      <c r="L430" s="50">
        <v>2.75</v>
      </c>
      <c r="M430" s="124" t="s">
        <v>107</v>
      </c>
      <c r="N430" s="10">
        <f t="shared" si="175"/>
        <v>0.25</v>
      </c>
      <c r="O430" s="10">
        <f t="shared" si="175"/>
        <v>0.5</v>
      </c>
      <c r="P430" s="10">
        <f t="shared" si="175"/>
        <v>0.25</v>
      </c>
      <c r="Q430" s="40">
        <f t="shared" si="179"/>
        <v>0</v>
      </c>
      <c r="R430" s="21">
        <f>IF(D430&gt;21,VLOOKUP(D430,Barem!$T$1:$U$141,2,1),0)</f>
        <v>0</v>
      </c>
      <c r="S430" s="152">
        <f>IF(D430&lt;1.609,0,IF(B430="F",VLOOKUP(I430,Barem!$X$2:$Z$13,2,1),VLOOKUP(I430,Barem!$X$14:$Z$25,2,1)))</f>
        <v>0</v>
      </c>
      <c r="T430" s="21">
        <f>VLOOKUP(A430,Participanti!A:C,3,0)</f>
        <v>0.7</v>
      </c>
      <c r="U430" s="18">
        <f t="shared" si="180"/>
        <v>2.024375</v>
      </c>
      <c r="V430" s="58" t="s">
        <v>438</v>
      </c>
      <c r="W430" s="77">
        <f t="shared" si="161"/>
        <v>1</v>
      </c>
      <c r="X430" s="1" t="str">
        <f>VLOOKUP(A430,Data_Echipe!A:R,18,0)</f>
        <v>UltraHaita lu' Borcan</v>
      </c>
      <c r="Z430" s="115">
        <f t="shared" si="181"/>
        <v>1</v>
      </c>
    </row>
    <row r="431" spans="1:26" x14ac:dyDescent="0.3">
      <c r="A431" s="49" t="s">
        <v>137</v>
      </c>
      <c r="B431" s="1" t="str">
        <f>VLOOKUP(A431,Participanti!A:B,2,0)</f>
        <v>M</v>
      </c>
      <c r="C431" s="74">
        <v>5</v>
      </c>
      <c r="D431" s="50">
        <v>9.8699999999999992</v>
      </c>
      <c r="E431" s="51">
        <v>3.4953703703703702E-2</v>
      </c>
      <c r="F431" s="51">
        <v>3.4965277777777783E-2</v>
      </c>
      <c r="G431" s="69">
        <f t="shared" ref="G431:G438" si="182">AVERAGE(E431:F431)</f>
        <v>3.4959490740740742E-2</v>
      </c>
      <c r="H431" s="52"/>
      <c r="I431" s="12">
        <f t="shared" ref="I431:I438" si="183">G431/D431</f>
        <v>3.5419950091935912E-3</v>
      </c>
      <c r="J431" s="37">
        <f t="shared" ref="J431:J438" si="184">IF(B431="F",IF(D431&lt;2.5,0,IF(D431&gt;19.99,5,D431/4)),IF(D431&lt;3,0, IF(D431&gt;20.99,5,D431/4.2)))</f>
        <v>2.3499999999999996</v>
      </c>
      <c r="K431" s="37">
        <f>IF(J431=0,0,IF(B431="F",VLOOKUP(I431,Barem!$G$2:$H$16,2,1),VLOOKUP(I431,Barem!$G$17:$H$31,2,1)))</f>
        <v>2.5</v>
      </c>
      <c r="L431" s="50">
        <v>2.5</v>
      </c>
      <c r="M431" s="124" t="s">
        <v>207</v>
      </c>
      <c r="N431" s="10">
        <f t="shared" si="175"/>
        <v>0.25</v>
      </c>
      <c r="O431" s="10">
        <f t="shared" si="175"/>
        <v>0.25</v>
      </c>
      <c r="P431" s="10">
        <f t="shared" si="175"/>
        <v>0.5</v>
      </c>
      <c r="Q431" s="40">
        <f t="shared" ref="Q431:Q438" si="185">IF(H431&gt;49,H431/1500,0)</f>
        <v>0</v>
      </c>
      <c r="R431" s="21">
        <f>IF(D431&gt;21,VLOOKUP(D431,Barem!$T$1:$U$141,2,1),0)</f>
        <v>0</v>
      </c>
      <c r="S431" s="152">
        <f>IF(D431&lt;1.609,0,IF(B431="F",VLOOKUP(I431,Barem!$X$2:$Z$13,2,1),VLOOKUP(I431,Barem!$X$14:$Z$25,2,1)))</f>
        <v>0</v>
      </c>
      <c r="T431" s="21">
        <f>VLOOKUP(A431,Participanti!A:C,3,0)</f>
        <v>0</v>
      </c>
      <c r="U431" s="18">
        <f t="shared" ref="U431:U438" si="186">IF(H431&lt;0,0,J431*N431+K431*O431+L431*P431+Q431+R431+S431+T431)</f>
        <v>2.4624999999999999</v>
      </c>
      <c r="V431" s="58" t="s">
        <v>434</v>
      </c>
      <c r="W431" s="77">
        <f t="shared" si="161"/>
        <v>1</v>
      </c>
      <c r="X431" s="1" t="str">
        <f>VLOOKUP(A431,Data_Echipe!A:R,18,0)</f>
        <v>The GOATs</v>
      </c>
      <c r="Z431" s="115">
        <f t="shared" ref="Z431:Z438" si="187">IF(K431&gt;0,1,0)</f>
        <v>1</v>
      </c>
    </row>
    <row r="432" spans="1:26" x14ac:dyDescent="0.3">
      <c r="A432" s="49" t="s">
        <v>205</v>
      </c>
      <c r="B432" s="1" t="str">
        <f>VLOOKUP(A432,Participanti!A:B,2,0)</f>
        <v>M</v>
      </c>
      <c r="C432" s="74">
        <v>5</v>
      </c>
      <c r="D432" s="50">
        <v>24</v>
      </c>
      <c r="E432" s="51">
        <v>7.6435185185185189E-2</v>
      </c>
      <c r="F432" s="51">
        <v>7.6585648148148153E-2</v>
      </c>
      <c r="G432" s="69">
        <f t="shared" si="182"/>
        <v>7.6510416666666664E-2</v>
      </c>
      <c r="H432" s="52">
        <v>338</v>
      </c>
      <c r="I432" s="12">
        <f t="shared" si="183"/>
        <v>3.1879340277777778E-3</v>
      </c>
      <c r="J432" s="37">
        <f t="shared" si="184"/>
        <v>5</v>
      </c>
      <c r="K432" s="37">
        <f>IF(J432=0,0,IF(B432="F",VLOOKUP(I432,Barem!$G$2:$H$16,2,1),VLOOKUP(I432,Barem!$G$17:$H$31,2,1)))</f>
        <v>3.5</v>
      </c>
      <c r="L432" s="50">
        <v>4</v>
      </c>
      <c r="M432" s="124" t="s">
        <v>207</v>
      </c>
      <c r="N432" s="10">
        <f t="shared" ref="N432:P447" si="188">IF($M432=N$1,50%,25%)</f>
        <v>0.25</v>
      </c>
      <c r="O432" s="10">
        <f t="shared" si="188"/>
        <v>0.25</v>
      </c>
      <c r="P432" s="10">
        <f t="shared" si="188"/>
        <v>0.5</v>
      </c>
      <c r="Q432" s="40">
        <f t="shared" si="185"/>
        <v>0.22533333333333333</v>
      </c>
      <c r="R432" s="21">
        <f>IF(D432&gt;21,VLOOKUP(D432,Barem!$T$1:$U$141,2,1),0)</f>
        <v>0.1</v>
      </c>
      <c r="S432" s="152">
        <f>IF(D432&lt;1.609,0,IF(B432="F",VLOOKUP(I432,Barem!$X$2:$Z$13,2,1),VLOOKUP(I432,Barem!$X$14:$Z$25,2,1)))</f>
        <v>0</v>
      </c>
      <c r="T432" s="21">
        <f>VLOOKUP(A432,Participanti!A:C,3,0)</f>
        <v>0</v>
      </c>
      <c r="U432" s="18">
        <f t="shared" si="186"/>
        <v>4.450333333333333</v>
      </c>
      <c r="V432" s="58" t="s">
        <v>438</v>
      </c>
      <c r="W432" s="77">
        <f t="shared" si="161"/>
        <v>1</v>
      </c>
      <c r="X432" s="1" t="str">
        <f>VLOOKUP(A432,Data_Echipe!A:R,18,0)</f>
        <v>Almost Kenyan Runners</v>
      </c>
      <c r="Z432" s="115">
        <f t="shared" si="187"/>
        <v>1</v>
      </c>
    </row>
    <row r="433" spans="1:26" x14ac:dyDescent="0.3">
      <c r="A433" s="49" t="s">
        <v>133</v>
      </c>
      <c r="B433" s="1" t="str">
        <f>VLOOKUP(A433,Participanti!A:B,2,0)</f>
        <v>M</v>
      </c>
      <c r="C433" s="74">
        <v>5</v>
      </c>
      <c r="D433" s="50">
        <v>10.02</v>
      </c>
      <c r="E433" s="51">
        <v>3.184027777777778E-2</v>
      </c>
      <c r="F433" s="51">
        <v>3.1886574074074074E-2</v>
      </c>
      <c r="G433" s="69">
        <f t="shared" si="182"/>
        <v>3.1863425925925927E-2</v>
      </c>
      <c r="H433" s="52"/>
      <c r="I433" s="12">
        <f t="shared" si="183"/>
        <v>3.1799826273379169E-3</v>
      </c>
      <c r="J433" s="37">
        <f t="shared" si="184"/>
        <v>2.3857142857142857</v>
      </c>
      <c r="K433" s="37">
        <f>IF(J433=0,0,IF(B433="F",VLOOKUP(I433,Barem!$G$2:$H$16,2,1),VLOOKUP(I433,Barem!$G$17:$H$31,2,1)))</f>
        <v>3.5</v>
      </c>
      <c r="L433" s="50">
        <v>3.75</v>
      </c>
      <c r="M433" s="124" t="s">
        <v>207</v>
      </c>
      <c r="N433" s="10">
        <f t="shared" si="188"/>
        <v>0.25</v>
      </c>
      <c r="O433" s="10">
        <f t="shared" si="188"/>
        <v>0.25</v>
      </c>
      <c r="P433" s="10">
        <f t="shared" si="188"/>
        <v>0.5</v>
      </c>
      <c r="Q433" s="40">
        <f t="shared" si="185"/>
        <v>0</v>
      </c>
      <c r="R433" s="21">
        <f>IF(D433&gt;21,VLOOKUP(D433,Barem!$T$1:$U$141,2,1),0)</f>
        <v>0</v>
      </c>
      <c r="S433" s="152">
        <f>IF(D433&lt;1.609,0,IF(B433="F",VLOOKUP(I433,Barem!$X$2:$Z$13,2,1),VLOOKUP(I433,Barem!$X$14:$Z$25,2,1)))</f>
        <v>0</v>
      </c>
      <c r="T433" s="21">
        <f>VLOOKUP(A433,Participanti!A:C,3,0)</f>
        <v>0.4</v>
      </c>
      <c r="U433" s="18">
        <f t="shared" si="186"/>
        <v>3.7464285714285714</v>
      </c>
      <c r="V433" s="58" t="s">
        <v>438</v>
      </c>
      <c r="W433" s="77">
        <f t="shared" si="161"/>
        <v>1</v>
      </c>
      <c r="X433" s="1" t="str">
        <f>VLOOKUP(A433,Data_Echipe!A:R,18,0)</f>
        <v>UltraHaita lu' Borcan</v>
      </c>
      <c r="Z433" s="115">
        <f t="shared" si="187"/>
        <v>1</v>
      </c>
    </row>
    <row r="434" spans="1:26" x14ac:dyDescent="0.3">
      <c r="A434" s="49" t="s">
        <v>283</v>
      </c>
      <c r="B434" s="1" t="str">
        <f>VLOOKUP(A434,Participanti!A:B,2,0)</f>
        <v>M</v>
      </c>
      <c r="C434" s="74">
        <v>5</v>
      </c>
      <c r="D434" s="50">
        <v>55.03</v>
      </c>
      <c r="E434" s="51">
        <v>0.27004629629629628</v>
      </c>
      <c r="F434" s="51">
        <v>0.30528935185185185</v>
      </c>
      <c r="G434" s="69">
        <f t="shared" si="182"/>
        <v>0.2876678240740741</v>
      </c>
      <c r="H434" s="52">
        <v>1182</v>
      </c>
      <c r="I434" s="12">
        <f t="shared" si="183"/>
        <v>5.2274727253148121E-3</v>
      </c>
      <c r="J434" s="37">
        <f t="shared" si="184"/>
        <v>5</v>
      </c>
      <c r="K434" s="37">
        <f>IF(J434=0,0,IF(B434="F",VLOOKUP(I434,Barem!$G$2:$H$16,2,1),VLOOKUP(I434,Barem!$G$17:$H$31,2,1)))</f>
        <v>0.25</v>
      </c>
      <c r="L434" s="50">
        <v>4.5</v>
      </c>
      <c r="M434" s="124" t="s">
        <v>106</v>
      </c>
      <c r="N434" s="10">
        <f t="shared" si="188"/>
        <v>0.5</v>
      </c>
      <c r="O434" s="10">
        <f t="shared" si="188"/>
        <v>0.25</v>
      </c>
      <c r="P434" s="10">
        <f t="shared" si="188"/>
        <v>0.25</v>
      </c>
      <c r="Q434" s="40">
        <f t="shared" si="185"/>
        <v>0.78800000000000003</v>
      </c>
      <c r="R434" s="21">
        <f>IF(D434&gt;21,VLOOKUP(D434,Barem!$T$1:$U$141,2,1),0)</f>
        <v>1.7</v>
      </c>
      <c r="S434" s="152">
        <f>IF(D434&lt;1.609,0,IF(B434="F",VLOOKUP(I434,Barem!$X$2:$Z$13,2,1),VLOOKUP(I434,Barem!$X$14:$Z$25,2,1)))</f>
        <v>0</v>
      </c>
      <c r="T434" s="21">
        <f>VLOOKUP(A434,Participanti!A:C,3,0)</f>
        <v>0</v>
      </c>
      <c r="U434" s="18">
        <f t="shared" si="186"/>
        <v>6.1755000000000004</v>
      </c>
      <c r="V434" s="58" t="s">
        <v>438</v>
      </c>
      <c r="W434" s="77">
        <f t="shared" si="161"/>
        <v>1</v>
      </c>
      <c r="X434" s="1" t="str">
        <f>VLOOKUP(A434,Data_Echipe!A:R,18,0)</f>
        <v>The GOATs</v>
      </c>
      <c r="Z434" s="115">
        <f t="shared" si="187"/>
        <v>1</v>
      </c>
    </row>
    <row r="435" spans="1:26" x14ac:dyDescent="0.3">
      <c r="A435" s="132" t="s">
        <v>376</v>
      </c>
      <c r="B435" s="133" t="str">
        <f>VLOOKUP(A435,Participanti!A:B,2,0)</f>
        <v>M</v>
      </c>
      <c r="C435" s="134">
        <v>5</v>
      </c>
      <c r="D435" s="135">
        <v>0</v>
      </c>
      <c r="E435" s="136">
        <v>0</v>
      </c>
      <c r="F435" s="136">
        <v>0</v>
      </c>
      <c r="G435" s="137">
        <f t="shared" si="182"/>
        <v>0</v>
      </c>
      <c r="H435" s="138"/>
      <c r="I435" s="139">
        <v>0</v>
      </c>
      <c r="J435" s="140">
        <f t="shared" si="184"/>
        <v>0</v>
      </c>
      <c r="K435" s="140">
        <f>IF(J435=0,0,IF(B435="F",VLOOKUP(I435,Barem!$G$2:$H$16,2,1),VLOOKUP(I435,Barem!$G$17:$H$31,2,1)))</f>
        <v>0</v>
      </c>
      <c r="L435" s="135">
        <v>0</v>
      </c>
      <c r="M435" s="141" t="s">
        <v>459</v>
      </c>
      <c r="N435" s="142">
        <f t="shared" si="188"/>
        <v>0.25</v>
      </c>
      <c r="O435" s="142">
        <f t="shared" si="188"/>
        <v>0.25</v>
      </c>
      <c r="P435" s="142">
        <f t="shared" si="188"/>
        <v>0.25</v>
      </c>
      <c r="Q435" s="143">
        <f t="shared" si="185"/>
        <v>0</v>
      </c>
      <c r="R435" s="144">
        <f>IF(D435&gt;21,VLOOKUP(D435,Barem!$T$1:$U$141,2,1),0)</f>
        <v>0</v>
      </c>
      <c r="S435" s="152">
        <f>IF(D435&lt;1.609,0,IF(B435="F",VLOOKUP(I435,Barem!$X$2:$Z$13,2,1),VLOOKUP(I435,Barem!$X$14:$Z$25,2,1)))</f>
        <v>0</v>
      </c>
      <c r="T435" s="144">
        <f>VLOOKUP(A435,Participanti!A:C,3,0)</f>
        <v>0</v>
      </c>
      <c r="U435" s="143">
        <v>1.5</v>
      </c>
      <c r="V435" s="145" t="s">
        <v>438</v>
      </c>
      <c r="W435" s="146">
        <f t="shared" si="161"/>
        <v>1</v>
      </c>
      <c r="X435" s="133" t="e">
        <f>VLOOKUP(A435,Data_Echipe!A:R,18,0)</f>
        <v>#N/A</v>
      </c>
      <c r="Y435" s="133"/>
      <c r="Z435" s="147">
        <f t="shared" si="187"/>
        <v>0</v>
      </c>
    </row>
    <row r="436" spans="1:26" x14ac:dyDescent="0.3">
      <c r="A436" s="132" t="s">
        <v>300</v>
      </c>
      <c r="B436" s="133" t="str">
        <f>VLOOKUP(A436,Participanti!A:B,2,0)</f>
        <v>M</v>
      </c>
      <c r="C436" s="134">
        <v>5</v>
      </c>
      <c r="D436" s="135">
        <v>0</v>
      </c>
      <c r="E436" s="136">
        <v>0</v>
      </c>
      <c r="F436" s="136">
        <v>0</v>
      </c>
      <c r="G436" s="137">
        <f t="shared" si="182"/>
        <v>0</v>
      </c>
      <c r="H436" s="138"/>
      <c r="I436" s="139">
        <v>0</v>
      </c>
      <c r="J436" s="140">
        <f t="shared" si="184"/>
        <v>0</v>
      </c>
      <c r="K436" s="140">
        <f>IF(J436=0,0,IF(B436="F",VLOOKUP(I436,Barem!$G$2:$H$16,2,1),VLOOKUP(I436,Barem!$G$17:$H$31,2,1)))</f>
        <v>0</v>
      </c>
      <c r="L436" s="135">
        <v>0</v>
      </c>
      <c r="M436" s="141" t="s">
        <v>459</v>
      </c>
      <c r="N436" s="142">
        <f t="shared" si="188"/>
        <v>0.25</v>
      </c>
      <c r="O436" s="142">
        <f t="shared" si="188"/>
        <v>0.25</v>
      </c>
      <c r="P436" s="142">
        <f t="shared" si="188"/>
        <v>0.25</v>
      </c>
      <c r="Q436" s="143">
        <f t="shared" si="185"/>
        <v>0</v>
      </c>
      <c r="R436" s="144">
        <f>IF(D436&gt;21,VLOOKUP(D436,Barem!$T$1:$U$141,2,1),0)</f>
        <v>0</v>
      </c>
      <c r="S436" s="152">
        <f>IF(D436&lt;1.609,0,IF(B436="F",VLOOKUP(I436,Barem!$X$2:$Z$13,2,1),VLOOKUP(I436,Barem!$X$14:$Z$25,2,1)))</f>
        <v>0</v>
      </c>
      <c r="T436" s="144">
        <f>VLOOKUP(A436,Participanti!A:C,3,0)</f>
        <v>0</v>
      </c>
      <c r="U436" s="143">
        <v>1.5</v>
      </c>
      <c r="V436" s="145" t="s">
        <v>438</v>
      </c>
      <c r="W436" s="146">
        <f t="shared" si="161"/>
        <v>1</v>
      </c>
      <c r="X436" s="133" t="str">
        <f>VLOOKUP(A436,Data_Echipe!A:R,18,0)</f>
        <v>#notSYRious</v>
      </c>
      <c r="Y436" s="133"/>
      <c r="Z436" s="147">
        <f t="shared" si="187"/>
        <v>0</v>
      </c>
    </row>
    <row r="437" spans="1:26" x14ac:dyDescent="0.3">
      <c r="A437" s="49" t="s">
        <v>279</v>
      </c>
      <c r="B437" s="1" t="str">
        <f>VLOOKUP(A437,Participanti!A:B,2,0)</f>
        <v>M</v>
      </c>
      <c r="C437" s="74">
        <v>5</v>
      </c>
      <c r="D437" s="50">
        <v>24</v>
      </c>
      <c r="E437" s="51">
        <v>6.9745370370370374E-2</v>
      </c>
      <c r="F437" s="51">
        <v>8.2407407407407415E-2</v>
      </c>
      <c r="G437" s="69">
        <f t="shared" si="182"/>
        <v>7.6076388888888902E-2</v>
      </c>
      <c r="H437" s="52"/>
      <c r="I437" s="12">
        <f t="shared" si="183"/>
        <v>3.1698495370370374E-3</v>
      </c>
      <c r="J437" s="37">
        <f t="shared" si="184"/>
        <v>5</v>
      </c>
      <c r="K437" s="37">
        <f>IF(J437=0,0,IF(B437="F",VLOOKUP(I437,Barem!$G$2:$H$16,2,1),VLOOKUP(I437,Barem!$G$17:$H$31,2,1)))</f>
        <v>3.5</v>
      </c>
      <c r="L437" s="50">
        <v>2.5</v>
      </c>
      <c r="M437" s="124" t="s">
        <v>106</v>
      </c>
      <c r="N437" s="10">
        <f t="shared" si="188"/>
        <v>0.5</v>
      </c>
      <c r="O437" s="10">
        <f t="shared" si="188"/>
        <v>0.25</v>
      </c>
      <c r="P437" s="10">
        <f t="shared" si="188"/>
        <v>0.25</v>
      </c>
      <c r="Q437" s="40">
        <f t="shared" si="185"/>
        <v>0</v>
      </c>
      <c r="R437" s="21">
        <f>IF(D437&gt;21,VLOOKUP(D437,Barem!$T$1:$U$141,2,1),0)</f>
        <v>0.1</v>
      </c>
      <c r="S437" s="152">
        <f>IF(D437&lt;1.609,0,IF(B437="F",VLOOKUP(I437,Barem!$X$2:$Z$13,2,1),VLOOKUP(I437,Barem!$X$14:$Z$25,2,1)))</f>
        <v>0</v>
      </c>
      <c r="T437" s="21">
        <f>VLOOKUP(A437,Participanti!A:C,3,0)</f>
        <v>0</v>
      </c>
      <c r="U437" s="18">
        <f t="shared" si="186"/>
        <v>4.0999999999999996</v>
      </c>
      <c r="V437" s="58" t="s">
        <v>438</v>
      </c>
      <c r="W437" s="77">
        <f t="shared" si="161"/>
        <v>1</v>
      </c>
      <c r="X437" s="1" t="str">
        <f>VLOOKUP(A437,Data_Echipe!A:R,18,0)</f>
        <v>Almost Kenyan Runners</v>
      </c>
      <c r="Z437" s="115">
        <f t="shared" si="187"/>
        <v>1</v>
      </c>
    </row>
    <row r="438" spans="1:26" x14ac:dyDescent="0.3">
      <c r="A438" s="49" t="s">
        <v>41</v>
      </c>
      <c r="B438" s="1" t="str">
        <f>VLOOKUP(A438,Participanti!A:B,2,0)</f>
        <v>M</v>
      </c>
      <c r="C438" s="74">
        <v>5</v>
      </c>
      <c r="D438" s="50">
        <v>4.3499999999999996</v>
      </c>
      <c r="E438" s="51">
        <v>1.4699074074074074E-2</v>
      </c>
      <c r="F438" s="51">
        <v>1.7673611111111109E-2</v>
      </c>
      <c r="G438" s="69">
        <f t="shared" si="182"/>
        <v>1.6186342592592592E-2</v>
      </c>
      <c r="H438" s="52"/>
      <c r="I438" s="12">
        <f t="shared" si="183"/>
        <v>3.7209982971477228E-3</v>
      </c>
      <c r="J438" s="37">
        <f t="shared" si="184"/>
        <v>1.0357142857142856</v>
      </c>
      <c r="K438" s="37">
        <f>IF(J438=0,0,IF(B438="F",VLOOKUP(I438,Barem!$G$2:$H$16,2,1),VLOOKUP(I438,Barem!$G$17:$H$31,2,1)))</f>
        <v>2</v>
      </c>
      <c r="L438" s="50">
        <v>1</v>
      </c>
      <c r="M438" s="124" t="s">
        <v>107</v>
      </c>
      <c r="N438" s="10">
        <f t="shared" si="188"/>
        <v>0.25</v>
      </c>
      <c r="O438" s="10">
        <f t="shared" si="188"/>
        <v>0.5</v>
      </c>
      <c r="P438" s="10">
        <f t="shared" si="188"/>
        <v>0.25</v>
      </c>
      <c r="Q438" s="40">
        <f t="shared" si="185"/>
        <v>0</v>
      </c>
      <c r="R438" s="21">
        <f>IF(D438&gt;21,VLOOKUP(D438,Barem!$T$1:$U$141,2,1),0)</f>
        <v>0</v>
      </c>
      <c r="S438" s="152">
        <f>IF(D438&lt;1.609,0,IF(B438="F",VLOOKUP(I438,Barem!$X$2:$Z$13,2,1),VLOOKUP(I438,Barem!$X$14:$Z$25,2,1)))</f>
        <v>0</v>
      </c>
      <c r="T438" s="21">
        <f>VLOOKUP(A438,Participanti!A:C,3,0)</f>
        <v>0</v>
      </c>
      <c r="U438" s="18">
        <f t="shared" si="186"/>
        <v>1.5089285714285714</v>
      </c>
      <c r="V438" s="58" t="s">
        <v>438</v>
      </c>
      <c r="W438" s="77">
        <f t="shared" si="161"/>
        <v>1</v>
      </c>
      <c r="X438" s="1" t="str">
        <f>VLOOKUP(A438,Data_Echipe!A:R,18,0)</f>
        <v>Almost Kenyan Runners</v>
      </c>
      <c r="Z438" s="115">
        <f t="shared" si="187"/>
        <v>1</v>
      </c>
    </row>
    <row r="439" spans="1:26" x14ac:dyDescent="0.3">
      <c r="A439" s="49" t="s">
        <v>248</v>
      </c>
      <c r="B439" s="1" t="str">
        <f>VLOOKUP(A439,Participanti!A:B,2,0)</f>
        <v>M</v>
      </c>
      <c r="C439" s="74">
        <v>5</v>
      </c>
      <c r="D439" s="50">
        <v>21.03</v>
      </c>
      <c r="E439" s="51">
        <v>7.6273148148148159E-2</v>
      </c>
      <c r="F439" s="51">
        <v>7.738425925925925E-2</v>
      </c>
      <c r="G439" s="69">
        <f t="shared" ref="G439:G444" si="189">AVERAGE(E439:F439)</f>
        <v>7.6828703703703705E-2</v>
      </c>
      <c r="H439" s="52">
        <v>136</v>
      </c>
      <c r="I439" s="12">
        <f t="shared" ref="I439:I444" si="190">G439/D439</f>
        <v>3.6532907134428768E-3</v>
      </c>
      <c r="J439" s="37">
        <f t="shared" ref="J439:J444" si="191">IF(B439="F",IF(D439&lt;2.5,0,IF(D439&gt;19.99,5,D439/4)),IF(D439&lt;3,0, IF(D439&gt;20.99,5,D439/4.2)))</f>
        <v>5</v>
      </c>
      <c r="K439" s="37">
        <f>IF(J439=0,0,IF(B439="F",VLOOKUP(I439,Barem!$G$2:$H$16,2,1),VLOOKUP(I439,Barem!$G$17:$H$31,2,1)))</f>
        <v>2.5</v>
      </c>
      <c r="L439" s="50">
        <v>3.25</v>
      </c>
      <c r="M439" s="124" t="s">
        <v>107</v>
      </c>
      <c r="N439" s="10">
        <f t="shared" si="188"/>
        <v>0.25</v>
      </c>
      <c r="O439" s="10">
        <f t="shared" si="188"/>
        <v>0.5</v>
      </c>
      <c r="P439" s="10">
        <f t="shared" si="188"/>
        <v>0.25</v>
      </c>
      <c r="Q439" s="40">
        <f t="shared" ref="Q439:Q444" si="192">IF(H439&gt;49,H439/1500,0)</f>
        <v>9.0666666666666673E-2</v>
      </c>
      <c r="R439" s="21">
        <f>IF(D439&gt;21,VLOOKUP(D439,Barem!$T$1:$U$141,2,1),0)</f>
        <v>0</v>
      </c>
      <c r="S439" s="152">
        <f>IF(D439&lt;1.609,0,IF(B439="F",VLOOKUP(I439,Barem!$X$2:$Z$13,2,1),VLOOKUP(I439,Barem!$X$14:$Z$25,2,1)))</f>
        <v>0</v>
      </c>
      <c r="T439" s="21">
        <f>VLOOKUP(A439,Participanti!A:C,3,0)</f>
        <v>0</v>
      </c>
      <c r="U439" s="18">
        <f t="shared" ref="U439:U444" si="193">IF(H439&lt;0,0,J439*N439+K439*O439+L439*P439+Q439+R439+S439+T439)</f>
        <v>3.4031666666666665</v>
      </c>
      <c r="V439" s="58" t="s">
        <v>438</v>
      </c>
      <c r="W439" s="77">
        <f t="shared" si="161"/>
        <v>1</v>
      </c>
      <c r="X439" s="1" t="str">
        <f>VLOOKUP(A439,Data_Echipe!A:R,18,0)</f>
        <v>Almost Kenyan Runners</v>
      </c>
      <c r="Z439" s="115">
        <f t="shared" ref="Z439:Z444" si="194">IF(K439&gt;0,1,0)</f>
        <v>1</v>
      </c>
    </row>
    <row r="440" spans="1:26" x14ac:dyDescent="0.3">
      <c r="A440" s="49" t="s">
        <v>51</v>
      </c>
      <c r="B440" s="1" t="str">
        <f>VLOOKUP(A440,Participanti!A:B,2,0)</f>
        <v>M</v>
      </c>
      <c r="C440" s="74">
        <v>5</v>
      </c>
      <c r="D440" s="50">
        <v>32.33</v>
      </c>
      <c r="E440" s="51">
        <v>0.12413194444444443</v>
      </c>
      <c r="F440" s="51">
        <v>0.12815972222222222</v>
      </c>
      <c r="G440" s="69">
        <f t="shared" si="189"/>
        <v>0.12614583333333332</v>
      </c>
      <c r="H440" s="52">
        <v>999</v>
      </c>
      <c r="I440" s="12">
        <f t="shared" si="190"/>
        <v>3.9018197752345601E-3</v>
      </c>
      <c r="J440" s="37">
        <f t="shared" si="191"/>
        <v>5</v>
      </c>
      <c r="K440" s="37">
        <f>IF(J440=0,0,IF(B440="F",VLOOKUP(I440,Barem!$G$2:$H$16,2,1),VLOOKUP(I440,Barem!$G$17:$H$31,2,1)))</f>
        <v>1.75</v>
      </c>
      <c r="L440" s="50">
        <v>4</v>
      </c>
      <c r="M440" s="124" t="s">
        <v>106</v>
      </c>
      <c r="N440" s="10">
        <f t="shared" si="188"/>
        <v>0.5</v>
      </c>
      <c r="O440" s="10">
        <f t="shared" si="188"/>
        <v>0.25</v>
      </c>
      <c r="P440" s="10">
        <f t="shared" si="188"/>
        <v>0.25</v>
      </c>
      <c r="Q440" s="40">
        <f t="shared" si="192"/>
        <v>0.66600000000000004</v>
      </c>
      <c r="R440" s="21">
        <f>IF(D440&gt;21,VLOOKUP(D440,Barem!$T$1:$U$141,2,1),0)</f>
        <v>0.5</v>
      </c>
      <c r="S440" s="152">
        <f>IF(D440&lt;1.609,0,IF(B440="F",VLOOKUP(I440,Barem!$X$2:$Z$13,2,1),VLOOKUP(I440,Barem!$X$14:$Z$25,2,1)))</f>
        <v>0</v>
      </c>
      <c r="T440" s="21">
        <f>VLOOKUP(A440,Participanti!A:C,3,0)</f>
        <v>0</v>
      </c>
      <c r="U440" s="18">
        <f t="shared" si="193"/>
        <v>5.1035000000000004</v>
      </c>
      <c r="V440" s="58" t="s">
        <v>438</v>
      </c>
      <c r="W440" s="77">
        <f t="shared" si="161"/>
        <v>1</v>
      </c>
      <c r="X440" s="1" t="str">
        <f>VLOOKUP(A440,Data_Echipe!A:R,18,0)</f>
        <v>The GOATs</v>
      </c>
      <c r="Z440" s="115">
        <f t="shared" si="194"/>
        <v>1</v>
      </c>
    </row>
    <row r="441" spans="1:26" x14ac:dyDescent="0.3">
      <c r="A441" s="49" t="s">
        <v>374</v>
      </c>
      <c r="B441" s="1" t="str">
        <f>VLOOKUP(A441,Participanti!A:B,2,0)</f>
        <v>M</v>
      </c>
      <c r="C441" s="74">
        <v>5</v>
      </c>
      <c r="D441" s="50">
        <v>8.82</v>
      </c>
      <c r="E441" s="51">
        <v>2.75E-2</v>
      </c>
      <c r="F441" s="51">
        <v>2.75E-2</v>
      </c>
      <c r="G441" s="69">
        <f t="shared" si="189"/>
        <v>2.75E-2</v>
      </c>
      <c r="H441" s="52">
        <v>123</v>
      </c>
      <c r="I441" s="12">
        <f t="shared" si="190"/>
        <v>3.1179138321995462E-3</v>
      </c>
      <c r="J441" s="37">
        <f t="shared" si="191"/>
        <v>2.1</v>
      </c>
      <c r="K441" s="37">
        <f>IF(J441=0,0,IF(B441="F",VLOOKUP(I441,Barem!$G$2:$H$16,2,1),VLOOKUP(I441,Barem!$G$17:$H$31,2,1)))</f>
        <v>4</v>
      </c>
      <c r="L441" s="50">
        <v>1.75</v>
      </c>
      <c r="M441" s="124" t="s">
        <v>107</v>
      </c>
      <c r="N441" s="10">
        <f t="shared" si="188"/>
        <v>0.25</v>
      </c>
      <c r="O441" s="10">
        <f t="shared" si="188"/>
        <v>0.5</v>
      </c>
      <c r="P441" s="10">
        <f t="shared" si="188"/>
        <v>0.25</v>
      </c>
      <c r="Q441" s="40">
        <f t="shared" si="192"/>
        <v>8.2000000000000003E-2</v>
      </c>
      <c r="R441" s="21">
        <f>IF(D441&gt;21,VLOOKUP(D441,Barem!$T$1:$U$141,2,1),0)</f>
        <v>0</v>
      </c>
      <c r="S441" s="152">
        <f>IF(D441&lt;1.609,0,IF(B441="F",VLOOKUP(I441,Barem!$X$2:$Z$13,2,1),VLOOKUP(I441,Barem!$X$14:$Z$25,2,1)))</f>
        <v>0</v>
      </c>
      <c r="T441" s="21">
        <f>VLOOKUP(A441,Participanti!A:C,3,0)</f>
        <v>0</v>
      </c>
      <c r="U441" s="18">
        <f t="shared" si="193"/>
        <v>3.0444999999999998</v>
      </c>
      <c r="V441" s="58" t="s">
        <v>438</v>
      </c>
      <c r="W441" s="77">
        <f t="shared" si="161"/>
        <v>1</v>
      </c>
      <c r="X441" s="1" t="e">
        <f>VLOOKUP(A441,Data_Echipe!A:R,18,0)</f>
        <v>#N/A</v>
      </c>
      <c r="Z441" s="115">
        <f t="shared" si="194"/>
        <v>1</v>
      </c>
    </row>
    <row r="442" spans="1:26" x14ac:dyDescent="0.3">
      <c r="A442" s="49" t="s">
        <v>45</v>
      </c>
      <c r="B442" s="1" t="str">
        <f>VLOOKUP(A442,Participanti!A:B,2,0)</f>
        <v>F</v>
      </c>
      <c r="C442" s="74">
        <v>5</v>
      </c>
      <c r="D442" s="50">
        <v>7.34</v>
      </c>
      <c r="E442" s="51">
        <v>3.155092592592592E-2</v>
      </c>
      <c r="F442" s="51">
        <v>4.372685185185185E-2</v>
      </c>
      <c r="G442" s="69">
        <f t="shared" si="189"/>
        <v>3.7638888888888888E-2</v>
      </c>
      <c r="H442" s="52"/>
      <c r="I442" s="12">
        <f t="shared" si="190"/>
        <v>5.1279140175597938E-3</v>
      </c>
      <c r="J442" s="37">
        <f t="shared" si="191"/>
        <v>1.835</v>
      </c>
      <c r="K442" s="37">
        <f>IF(J442=0,0,IF(B442="F",VLOOKUP(I442,Barem!$G$2:$H$16,2,1),VLOOKUP(I442,Barem!$G$17:$H$31,2,1)))</f>
        <v>0.5</v>
      </c>
      <c r="L442" s="50">
        <v>3.5</v>
      </c>
      <c r="M442" s="124" t="s">
        <v>207</v>
      </c>
      <c r="N442" s="10">
        <f t="shared" si="188"/>
        <v>0.25</v>
      </c>
      <c r="O442" s="10">
        <f t="shared" si="188"/>
        <v>0.25</v>
      </c>
      <c r="P442" s="10">
        <f t="shared" si="188"/>
        <v>0.5</v>
      </c>
      <c r="Q442" s="40">
        <f t="shared" si="192"/>
        <v>0</v>
      </c>
      <c r="R442" s="21">
        <f>IF(D442&gt;21,VLOOKUP(D442,Barem!$T$1:$U$141,2,1),0)</f>
        <v>0</v>
      </c>
      <c r="S442" s="152">
        <f>IF(D442&lt;1.609,0,IF(B442="F",VLOOKUP(I442,Barem!$X$2:$Z$13,2,1),VLOOKUP(I442,Barem!$X$14:$Z$25,2,1)))</f>
        <v>0</v>
      </c>
      <c r="T442" s="21">
        <f>VLOOKUP(A442,Participanti!A:C,3,0)</f>
        <v>0</v>
      </c>
      <c r="U442" s="18">
        <f t="shared" si="193"/>
        <v>2.3337500000000002</v>
      </c>
      <c r="V442" s="58" t="s">
        <v>438</v>
      </c>
      <c r="W442" s="77">
        <f t="shared" si="161"/>
        <v>1</v>
      </c>
      <c r="X442" s="1" t="e">
        <f>VLOOKUP(A442,Data_Echipe!A:R,18,0)</f>
        <v>#N/A</v>
      </c>
      <c r="Z442" s="115">
        <f t="shared" si="194"/>
        <v>1</v>
      </c>
    </row>
    <row r="443" spans="1:26" x14ac:dyDescent="0.3">
      <c r="A443" s="49" t="s">
        <v>122</v>
      </c>
      <c r="B443" s="1" t="str">
        <f>VLOOKUP(A443,Participanti!A:B,2,0)</f>
        <v>M</v>
      </c>
      <c r="C443" s="74">
        <v>5</v>
      </c>
      <c r="D443" s="50">
        <v>9.68</v>
      </c>
      <c r="E443" s="51">
        <v>3.5810185185185188E-2</v>
      </c>
      <c r="F443" s="51">
        <v>3.6203703703703703E-2</v>
      </c>
      <c r="G443" s="69">
        <f t="shared" si="189"/>
        <v>3.6006944444444446E-2</v>
      </c>
      <c r="H443" s="52"/>
      <c r="I443" s="12">
        <f t="shared" si="190"/>
        <v>3.7197256657483932E-3</v>
      </c>
      <c r="J443" s="37">
        <f t="shared" si="191"/>
        <v>2.3047619047619046</v>
      </c>
      <c r="K443" s="37">
        <f>IF(J443=0,0,IF(B443="F",VLOOKUP(I443,Barem!$G$2:$H$16,2,1),VLOOKUP(I443,Barem!$G$17:$H$31,2,1)))</f>
        <v>2</v>
      </c>
      <c r="L443" s="50">
        <v>3.5</v>
      </c>
      <c r="M443" s="124" t="s">
        <v>207</v>
      </c>
      <c r="N443" s="10">
        <f t="shared" si="188"/>
        <v>0.25</v>
      </c>
      <c r="O443" s="10">
        <f t="shared" si="188"/>
        <v>0.25</v>
      </c>
      <c r="P443" s="10">
        <f t="shared" si="188"/>
        <v>0.5</v>
      </c>
      <c r="Q443" s="40">
        <f t="shared" si="192"/>
        <v>0</v>
      </c>
      <c r="R443" s="21">
        <f>IF(D443&gt;21,VLOOKUP(D443,Barem!$T$1:$U$141,2,1),0)</f>
        <v>0</v>
      </c>
      <c r="S443" s="152">
        <f>IF(D443&lt;1.609,0,IF(B443="F",VLOOKUP(I443,Barem!$X$2:$Z$13,2,1),VLOOKUP(I443,Barem!$X$14:$Z$25,2,1)))</f>
        <v>0</v>
      </c>
      <c r="T443" s="21">
        <f>VLOOKUP(A443,Participanti!A:C,3,0)</f>
        <v>0</v>
      </c>
      <c r="U443" s="18">
        <f t="shared" si="193"/>
        <v>2.8261904761904759</v>
      </c>
      <c r="V443" s="58" t="s">
        <v>438</v>
      </c>
      <c r="W443" s="77">
        <f t="shared" si="161"/>
        <v>1</v>
      </c>
      <c r="X443" s="1" t="str">
        <f>VLOOKUP(A443,Data_Echipe!A:R,18,0)</f>
        <v>#notSYRious</v>
      </c>
      <c r="Z443" s="115">
        <f t="shared" si="194"/>
        <v>1</v>
      </c>
    </row>
    <row r="444" spans="1:26" x14ac:dyDescent="0.3">
      <c r="A444" s="49" t="s">
        <v>383</v>
      </c>
      <c r="B444" s="1" t="str">
        <f>VLOOKUP(A444,Participanti!A:B,2,0)</f>
        <v>F</v>
      </c>
      <c r="C444" s="74">
        <v>5</v>
      </c>
      <c r="D444" s="50">
        <v>7</v>
      </c>
      <c r="E444" s="51">
        <v>2.9317129629629634E-2</v>
      </c>
      <c r="F444" s="51">
        <v>2.9872685185185183E-2</v>
      </c>
      <c r="G444" s="69">
        <f t="shared" si="189"/>
        <v>2.959490740740741E-2</v>
      </c>
      <c r="H444" s="52"/>
      <c r="I444" s="12">
        <f t="shared" si="190"/>
        <v>4.2278439153439155E-3</v>
      </c>
      <c r="J444" s="37">
        <f t="shared" si="191"/>
        <v>1.75</v>
      </c>
      <c r="K444" s="37">
        <f>IF(J444=0,0,IF(B444="F",VLOOKUP(I444,Barem!$G$2:$H$16,2,1),VLOOKUP(I444,Barem!$G$17:$H$31,2,1)))</f>
        <v>1.75</v>
      </c>
      <c r="L444" s="50">
        <v>1.5</v>
      </c>
      <c r="M444" s="124" t="s">
        <v>107</v>
      </c>
      <c r="N444" s="10">
        <f t="shared" si="188"/>
        <v>0.25</v>
      </c>
      <c r="O444" s="10">
        <f t="shared" si="188"/>
        <v>0.5</v>
      </c>
      <c r="P444" s="10">
        <f t="shared" si="188"/>
        <v>0.25</v>
      </c>
      <c r="Q444" s="40">
        <f t="shared" si="192"/>
        <v>0</v>
      </c>
      <c r="R444" s="21">
        <f>IF(D444&gt;21,VLOOKUP(D444,Barem!$T$1:$U$141,2,1),0)</f>
        <v>0</v>
      </c>
      <c r="S444" s="152">
        <f>IF(D444&lt;1.609,0,IF(B444="F",VLOOKUP(I444,Barem!$X$2:$Z$13,2,1),VLOOKUP(I444,Barem!$X$14:$Z$25,2,1)))</f>
        <v>0</v>
      </c>
      <c r="T444" s="21">
        <f>VLOOKUP(A444,Participanti!A:C,3,0)</f>
        <v>0</v>
      </c>
      <c r="U444" s="18">
        <f t="shared" si="193"/>
        <v>1.6875</v>
      </c>
      <c r="V444" s="58" t="s">
        <v>438</v>
      </c>
      <c r="W444" s="77">
        <f t="shared" si="161"/>
        <v>1</v>
      </c>
      <c r="X444" s="1" t="str">
        <f>VLOOKUP(A444,Data_Echipe!A:R,18,0)</f>
        <v>The GOATs</v>
      </c>
      <c r="Z444" s="115">
        <f t="shared" si="194"/>
        <v>1</v>
      </c>
    </row>
    <row r="445" spans="1:26" x14ac:dyDescent="0.3">
      <c r="A445" s="49" t="s">
        <v>170</v>
      </c>
      <c r="B445" s="1" t="str">
        <f>VLOOKUP(A445,Participanti!A:B,2,0)</f>
        <v>F</v>
      </c>
      <c r="C445" s="74">
        <v>5</v>
      </c>
      <c r="D445" s="50">
        <v>20.73</v>
      </c>
      <c r="E445" s="51">
        <v>8.4120370370370359E-2</v>
      </c>
      <c r="F445" s="51">
        <v>8.4340277777777764E-2</v>
      </c>
      <c r="G445" s="69">
        <f t="shared" ref="G445:G449" si="195">AVERAGE(E445:F445)</f>
        <v>8.4230324074074062E-2</v>
      </c>
      <c r="H445" s="52"/>
      <c r="I445" s="12">
        <f t="shared" ref="I445:I449" si="196">G445/D445</f>
        <v>4.0632090725554295E-3</v>
      </c>
      <c r="J445" s="37">
        <f t="shared" ref="J445:J449" si="197">IF(B445="F",IF(D445&lt;2.5,0,IF(D445&gt;19.99,5,D445/4)),IF(D445&lt;3,0, IF(D445&gt;20.99,5,D445/4.2)))</f>
        <v>5</v>
      </c>
      <c r="K445" s="37">
        <f>IF(J445=0,0,IF(B445="F",VLOOKUP(I445,Barem!$G$2:$H$16,2,1),VLOOKUP(I445,Barem!$G$17:$H$31,2,1)))</f>
        <v>2</v>
      </c>
      <c r="L445" s="50">
        <v>1.25</v>
      </c>
      <c r="M445" s="124" t="s">
        <v>106</v>
      </c>
      <c r="N445" s="10">
        <f t="shared" si="188"/>
        <v>0.5</v>
      </c>
      <c r="O445" s="10">
        <f t="shared" si="188"/>
        <v>0.25</v>
      </c>
      <c r="P445" s="10">
        <f t="shared" si="188"/>
        <v>0.25</v>
      </c>
      <c r="Q445" s="40">
        <f t="shared" ref="Q445:Q449" si="198">IF(H445&gt;49,H445/1500,0)</f>
        <v>0</v>
      </c>
      <c r="R445" s="21">
        <f>IF(D445&gt;21,VLOOKUP(D445,Barem!$T$1:$U$141,2,1),0)</f>
        <v>0</v>
      </c>
      <c r="S445" s="152">
        <f>IF(D445&lt;1.609,0,IF(B445="F",VLOOKUP(I445,Barem!$X$2:$Z$13,2,1),VLOOKUP(I445,Barem!$X$14:$Z$25,2,1)))</f>
        <v>0</v>
      </c>
      <c r="T445" s="21">
        <f>VLOOKUP(A445,Participanti!A:C,3,0)</f>
        <v>0</v>
      </c>
      <c r="U445" s="18">
        <f t="shared" ref="U445:U449" si="199">IF(H445&lt;0,0,J445*N445+K445*O445+L445*P445+Q445+R445+S445+T445)</f>
        <v>3.3125</v>
      </c>
      <c r="V445" s="58" t="s">
        <v>438</v>
      </c>
      <c r="W445" s="77">
        <f t="shared" si="161"/>
        <v>1</v>
      </c>
      <c r="X445" s="1" t="str">
        <f>VLOOKUP(A445,Data_Echipe!A:R,18,0)</f>
        <v>Almost Kenyan Runners</v>
      </c>
      <c r="Z445" s="115">
        <f t="shared" ref="Z445:Z449" si="200">IF(K445&gt;0,1,0)</f>
        <v>1</v>
      </c>
    </row>
    <row r="446" spans="1:26" x14ac:dyDescent="0.3">
      <c r="A446" s="49" t="s">
        <v>336</v>
      </c>
      <c r="B446" s="1" t="str">
        <f>VLOOKUP(A446,Participanti!A:B,2,0)</f>
        <v>M</v>
      </c>
      <c r="C446" s="74">
        <v>6</v>
      </c>
      <c r="D446" s="50">
        <v>24.13</v>
      </c>
      <c r="E446" s="51">
        <v>9.976851851851852E-2</v>
      </c>
      <c r="F446" s="51">
        <v>9.976851851851852E-2</v>
      </c>
      <c r="G446" s="69">
        <f t="shared" si="195"/>
        <v>9.976851851851852E-2</v>
      </c>
      <c r="H446" s="52"/>
      <c r="I446" s="12">
        <f t="shared" si="196"/>
        <v>4.1346257156451936E-3</v>
      </c>
      <c r="J446" s="37">
        <f t="shared" si="197"/>
        <v>5</v>
      </c>
      <c r="K446" s="37">
        <f>IF(J446=0,0,IF(B446="F",VLOOKUP(I446,Barem!$G$2:$H$16,2,1),VLOOKUP(I446,Barem!$G$17:$H$31,2,1)))</f>
        <v>1.5</v>
      </c>
      <c r="L446" s="50">
        <v>1</v>
      </c>
      <c r="M446" s="124" t="s">
        <v>207</v>
      </c>
      <c r="N446" s="10">
        <f t="shared" si="188"/>
        <v>0.25</v>
      </c>
      <c r="O446" s="10">
        <f t="shared" si="188"/>
        <v>0.25</v>
      </c>
      <c r="P446" s="10">
        <f t="shared" si="188"/>
        <v>0.5</v>
      </c>
      <c r="Q446" s="40">
        <f t="shared" si="198"/>
        <v>0</v>
      </c>
      <c r="R446" s="21">
        <f>IF(D446&gt;21,VLOOKUP(D446,Barem!$T$1:$U$141,2,1),0)</f>
        <v>0.1</v>
      </c>
      <c r="S446" s="152">
        <f>IF(D446&lt;1.609,0,IF(B446="F",VLOOKUP(I446,Barem!$X$2:$Z$13,2,1),VLOOKUP(I446,Barem!$X$14:$Z$25,2,1)))</f>
        <v>0</v>
      </c>
      <c r="T446" s="21">
        <f>VLOOKUP(A446,Participanti!A:C,3,0)</f>
        <v>0</v>
      </c>
      <c r="U446" s="18">
        <f t="shared" si="199"/>
        <v>2.2250000000000001</v>
      </c>
      <c r="V446" s="58" t="s">
        <v>439</v>
      </c>
      <c r="W446" s="77">
        <f t="shared" si="161"/>
        <v>1</v>
      </c>
      <c r="X446" s="1" t="e">
        <f>VLOOKUP(A446,Data_Echipe!A:R,18,0)</f>
        <v>#N/A</v>
      </c>
      <c r="Z446" s="115">
        <f t="shared" si="200"/>
        <v>1</v>
      </c>
    </row>
    <row r="447" spans="1:26" x14ac:dyDescent="0.3">
      <c r="A447" s="49" t="s">
        <v>333</v>
      </c>
      <c r="B447" s="1" t="str">
        <f>VLOOKUP(A447,Participanti!A:B,2,0)</f>
        <v>M</v>
      </c>
      <c r="C447" s="74">
        <v>6</v>
      </c>
      <c r="D447" s="50">
        <v>11.33</v>
      </c>
      <c r="E447" s="51">
        <v>4.3194444444444445E-2</v>
      </c>
      <c r="F447" s="51">
        <v>4.3229166666666673E-2</v>
      </c>
      <c r="G447" s="69">
        <f t="shared" si="195"/>
        <v>4.3211805555555559E-2</v>
      </c>
      <c r="H447" s="52"/>
      <c r="I447" s="12">
        <f t="shared" si="196"/>
        <v>3.8139281161125825E-3</v>
      </c>
      <c r="J447" s="37">
        <f t="shared" si="197"/>
        <v>2.6976190476190474</v>
      </c>
      <c r="K447" s="37">
        <f>IF(J447=0,0,IF(B447="F",VLOOKUP(I447,Barem!$G$2:$H$16,2,1),VLOOKUP(I447,Barem!$G$17:$H$31,2,1)))</f>
        <v>2</v>
      </c>
      <c r="L447" s="50">
        <v>3</v>
      </c>
      <c r="M447" s="124" t="s">
        <v>207</v>
      </c>
      <c r="N447" s="10">
        <f t="shared" si="188"/>
        <v>0.25</v>
      </c>
      <c r="O447" s="10">
        <f t="shared" si="188"/>
        <v>0.25</v>
      </c>
      <c r="P447" s="10">
        <f t="shared" si="188"/>
        <v>0.5</v>
      </c>
      <c r="Q447" s="40">
        <f t="shared" si="198"/>
        <v>0</v>
      </c>
      <c r="R447" s="21">
        <f>IF(D447&gt;21,VLOOKUP(D447,Barem!$T$1:$U$141,2,1),0)</f>
        <v>0</v>
      </c>
      <c r="S447" s="152">
        <f>IF(D447&lt;1.609,0,IF(B447="F",VLOOKUP(I447,Barem!$X$2:$Z$13,2,1),VLOOKUP(I447,Barem!$X$14:$Z$25,2,1)))</f>
        <v>0</v>
      </c>
      <c r="T447" s="21">
        <f>VLOOKUP(A447,Participanti!A:C,3,0)</f>
        <v>0</v>
      </c>
      <c r="U447" s="18">
        <f t="shared" si="199"/>
        <v>2.674404761904762</v>
      </c>
      <c r="V447" s="58" t="s">
        <v>439</v>
      </c>
      <c r="W447" s="77">
        <f t="shared" si="161"/>
        <v>1</v>
      </c>
      <c r="X447" s="1" t="str">
        <f>VLOOKUP(A447,Data_Echipe!A:R,18,0)</f>
        <v>UltraHaita lu' Borcan</v>
      </c>
      <c r="Z447" s="115">
        <f t="shared" si="200"/>
        <v>1</v>
      </c>
    </row>
    <row r="448" spans="1:26" x14ac:dyDescent="0.3">
      <c r="A448" s="49" t="s">
        <v>383</v>
      </c>
      <c r="B448" s="1" t="str">
        <f>VLOOKUP(A448,Participanti!A:B,2,0)</f>
        <v>F</v>
      </c>
      <c r="C448" s="74">
        <v>6</v>
      </c>
      <c r="D448" s="50">
        <v>10.050000000000001</v>
      </c>
      <c r="E448" s="51">
        <v>4.0902777777777781E-2</v>
      </c>
      <c r="F448" s="51">
        <v>5.063657407407407E-2</v>
      </c>
      <c r="G448" s="69">
        <f t="shared" si="195"/>
        <v>4.5769675925925929E-2</v>
      </c>
      <c r="H448" s="52"/>
      <c r="I448" s="12">
        <f t="shared" si="196"/>
        <v>4.5541966095448685E-3</v>
      </c>
      <c r="J448" s="37">
        <f t="shared" si="197"/>
        <v>2.5125000000000002</v>
      </c>
      <c r="K448" s="37">
        <f>IF(J448=0,0,IF(B448="F",VLOOKUP(I448,Barem!$G$2:$H$16,2,1),VLOOKUP(I448,Barem!$G$17:$H$31,2,1)))</f>
        <v>1.25</v>
      </c>
      <c r="L448" s="50">
        <v>2</v>
      </c>
      <c r="M448" s="124" t="s">
        <v>207</v>
      </c>
      <c r="N448" s="10">
        <f t="shared" ref="N448:P462" si="201">IF($M448=N$1,50%,25%)</f>
        <v>0.25</v>
      </c>
      <c r="O448" s="10">
        <f t="shared" si="201"/>
        <v>0.25</v>
      </c>
      <c r="P448" s="10">
        <f t="shared" si="201"/>
        <v>0.5</v>
      </c>
      <c r="Q448" s="40">
        <f t="shared" si="198"/>
        <v>0</v>
      </c>
      <c r="R448" s="21">
        <f>IF(D448&gt;21,VLOOKUP(D448,Barem!$T$1:$U$141,2,1),0)</f>
        <v>0</v>
      </c>
      <c r="S448" s="152">
        <f>IF(D448&lt;1.609,0,IF(B448="F",VLOOKUP(I448,Barem!$X$2:$Z$13,2,1),VLOOKUP(I448,Barem!$X$14:$Z$25,2,1)))</f>
        <v>0</v>
      </c>
      <c r="T448" s="21">
        <f>VLOOKUP(A448,Participanti!A:C,3,0)</f>
        <v>0</v>
      </c>
      <c r="U448" s="18">
        <f t="shared" si="199"/>
        <v>1.940625</v>
      </c>
      <c r="V448" s="58" t="s">
        <v>439</v>
      </c>
      <c r="W448" s="77">
        <f t="shared" si="161"/>
        <v>1</v>
      </c>
      <c r="X448" s="1" t="str">
        <f>VLOOKUP(A448,Data_Echipe!A:R,18,0)</f>
        <v>The GOATs</v>
      </c>
      <c r="Z448" s="115">
        <f t="shared" si="200"/>
        <v>1</v>
      </c>
    </row>
    <row r="449" spans="1:26" x14ac:dyDescent="0.3">
      <c r="A449" s="49" t="s">
        <v>433</v>
      </c>
      <c r="B449" s="1" t="str">
        <f>VLOOKUP(A449,Participanti!A:B,2,0)</f>
        <v>M</v>
      </c>
      <c r="C449" s="74">
        <v>6</v>
      </c>
      <c r="D449" s="50">
        <v>16.059999999999999</v>
      </c>
      <c r="E449" s="51">
        <v>6.5115740740740738E-2</v>
      </c>
      <c r="F449" s="51">
        <v>6.5277777777777782E-2</v>
      </c>
      <c r="G449" s="69">
        <f t="shared" si="195"/>
        <v>6.519675925925926E-2</v>
      </c>
      <c r="H449" s="52">
        <v>78</v>
      </c>
      <c r="I449" s="12">
        <f t="shared" si="196"/>
        <v>4.0595740510124077E-3</v>
      </c>
      <c r="J449" s="37">
        <f t="shared" si="197"/>
        <v>3.8238095238095235</v>
      </c>
      <c r="K449" s="37">
        <f>IF(J449=0,0,IF(B449="F",VLOOKUP(I449,Barem!$G$2:$H$16,2,1),VLOOKUP(I449,Barem!$G$17:$H$31,2,1)))</f>
        <v>1.5</v>
      </c>
      <c r="L449" s="50">
        <v>1.75</v>
      </c>
      <c r="M449" s="124" t="s">
        <v>106</v>
      </c>
      <c r="N449" s="10">
        <f t="shared" si="201"/>
        <v>0.5</v>
      </c>
      <c r="O449" s="10">
        <f t="shared" si="201"/>
        <v>0.25</v>
      </c>
      <c r="P449" s="10">
        <f t="shared" si="201"/>
        <v>0.25</v>
      </c>
      <c r="Q449" s="40">
        <f t="shared" si="198"/>
        <v>5.1999999999999998E-2</v>
      </c>
      <c r="R449" s="21">
        <f>IF(D449&gt;21,VLOOKUP(D449,Barem!$T$1:$U$141,2,1),0)</f>
        <v>0</v>
      </c>
      <c r="S449" s="152">
        <f>IF(D449&lt;1.609,0,IF(B449="F",VLOOKUP(I449,Barem!$X$2:$Z$13,2,1),VLOOKUP(I449,Barem!$X$14:$Z$25,2,1)))</f>
        <v>0</v>
      </c>
      <c r="T449" s="21">
        <f>VLOOKUP(A449,Participanti!A:C,3,0)</f>
        <v>0</v>
      </c>
      <c r="U449" s="18">
        <f t="shared" si="199"/>
        <v>2.7764047619047618</v>
      </c>
      <c r="V449" s="58" t="s">
        <v>442</v>
      </c>
      <c r="W449" s="77">
        <f t="shared" si="161"/>
        <v>1</v>
      </c>
      <c r="X449" s="1" t="e">
        <f>VLOOKUP(A449,Data_Echipe!A:R,18,0)</f>
        <v>#N/A</v>
      </c>
      <c r="Z449" s="115">
        <f t="shared" si="200"/>
        <v>1</v>
      </c>
    </row>
    <row r="450" spans="1:26" x14ac:dyDescent="0.3">
      <c r="A450" s="49" t="s">
        <v>48</v>
      </c>
      <c r="B450" s="1" t="str">
        <f>VLOOKUP(A450,Participanti!A:B,2,0)</f>
        <v>M</v>
      </c>
      <c r="C450" s="74">
        <v>6</v>
      </c>
      <c r="D450" s="50">
        <v>11.49</v>
      </c>
      <c r="E450" s="51">
        <v>5.4849537037037037E-2</v>
      </c>
      <c r="F450" s="51">
        <v>6.5011574074074083E-2</v>
      </c>
      <c r="G450" s="69">
        <f t="shared" ref="G450:G512" si="202">AVERAGE(E450:F450)</f>
        <v>5.9930555555555556E-2</v>
      </c>
      <c r="H450" s="52">
        <v>127</v>
      </c>
      <c r="I450" s="12">
        <f t="shared" ref="I450:I512" si="203">G450/D450</f>
        <v>5.2158882119717632E-3</v>
      </c>
      <c r="J450" s="37">
        <f t="shared" ref="J450:J512" si="204">IF(B450="F",IF(D450&lt;2.5,0,IF(D450&gt;19.99,5,D450/4)),IF(D450&lt;3,0, IF(D450&gt;20.99,5,D450/4.2)))</f>
        <v>2.7357142857142858</v>
      </c>
      <c r="K450" s="37">
        <f>IF(J450=0,0,IF(B450="F",VLOOKUP(I450,Barem!$G$2:$H$16,2,1),VLOOKUP(I450,Barem!$G$17:$H$31,2,1)))</f>
        <v>0.25</v>
      </c>
      <c r="L450" s="50">
        <v>4</v>
      </c>
      <c r="M450" s="124" t="s">
        <v>207</v>
      </c>
      <c r="N450" s="10">
        <f t="shared" si="201"/>
        <v>0.25</v>
      </c>
      <c r="O450" s="10">
        <f t="shared" si="201"/>
        <v>0.25</v>
      </c>
      <c r="P450" s="10">
        <f t="shared" si="201"/>
        <v>0.5</v>
      </c>
      <c r="Q450" s="40">
        <f t="shared" ref="Q450:Q512" si="205">IF(H450&gt;49,H450/1500,0)</f>
        <v>8.4666666666666668E-2</v>
      </c>
      <c r="R450" s="21">
        <f>IF(D450&gt;21,VLOOKUP(D450,Barem!$T$1:$U$141,2,1),0)</f>
        <v>0</v>
      </c>
      <c r="S450" s="152">
        <f>IF(D450&lt;1.609,0,IF(B450="F",VLOOKUP(I450,Barem!$X$2:$Z$13,2,1),VLOOKUP(I450,Barem!$X$14:$Z$25,2,1)))</f>
        <v>0</v>
      </c>
      <c r="T450" s="21">
        <f>VLOOKUP(A450,Participanti!A:C,3,0)</f>
        <v>0.4</v>
      </c>
      <c r="U450" s="18">
        <f t="shared" ref="U450:U512" si="206">IF(H450&lt;0,0,J450*N450+K450*O450+L450*P450+Q450+R450+S450+T450)</f>
        <v>3.231095238095238</v>
      </c>
      <c r="V450" s="58" t="s">
        <v>442</v>
      </c>
      <c r="W450" s="77">
        <f t="shared" ref="W450:W513" si="207">COUNTIFS(A:A,A450,C:C,C450)</f>
        <v>1</v>
      </c>
      <c r="X450" s="1" t="str">
        <f>VLOOKUP(A450,Data_Echipe!A:R,18,0)</f>
        <v>#notSYRious</v>
      </c>
      <c r="Z450" s="115">
        <f t="shared" ref="Z450:Z512" si="208">IF(K450&gt;0,1,0)</f>
        <v>1</v>
      </c>
    </row>
    <row r="451" spans="1:26" x14ac:dyDescent="0.3">
      <c r="A451" s="49" t="s">
        <v>406</v>
      </c>
      <c r="B451" s="1" t="str">
        <f>VLOOKUP(A451,Participanti!A:B,2,0)</f>
        <v>M</v>
      </c>
      <c r="C451" s="74">
        <v>6</v>
      </c>
      <c r="D451" s="50">
        <v>15.27</v>
      </c>
      <c r="E451" s="51">
        <v>7.3587962962962966E-2</v>
      </c>
      <c r="F451" s="51">
        <v>9.1284722222222225E-2</v>
      </c>
      <c r="G451" s="69">
        <f t="shared" si="202"/>
        <v>8.2436342592592596E-2</v>
      </c>
      <c r="H451" s="52">
        <v>549</v>
      </c>
      <c r="I451" s="12">
        <f t="shared" si="203"/>
        <v>5.398581702199908E-3</v>
      </c>
      <c r="J451" s="37">
        <f t="shared" si="204"/>
        <v>3.6357142857142857</v>
      </c>
      <c r="K451" s="37">
        <f>IF(J451=0,0,IF(B451="F",VLOOKUP(I451,Barem!$G$2:$H$16,2,1),VLOOKUP(I451,Barem!$G$17:$H$31,2,1)))</f>
        <v>0.25</v>
      </c>
      <c r="L451" s="50">
        <v>3</v>
      </c>
      <c r="M451" s="124" t="s">
        <v>207</v>
      </c>
      <c r="N451" s="10">
        <f t="shared" si="201"/>
        <v>0.25</v>
      </c>
      <c r="O451" s="10">
        <f t="shared" si="201"/>
        <v>0.25</v>
      </c>
      <c r="P451" s="10">
        <f t="shared" si="201"/>
        <v>0.5</v>
      </c>
      <c r="Q451" s="40">
        <f t="shared" si="205"/>
        <v>0.36599999999999999</v>
      </c>
      <c r="R451" s="21">
        <f>IF(D451&gt;21,VLOOKUP(D451,Barem!$T$1:$U$141,2,1),0)</f>
        <v>0</v>
      </c>
      <c r="S451" s="152">
        <f>IF(D451&lt;1.609,0,IF(B451="F",VLOOKUP(I451,Barem!$X$2:$Z$13,2,1),VLOOKUP(I451,Barem!$X$14:$Z$25,2,1)))</f>
        <v>0</v>
      </c>
      <c r="T451" s="21">
        <f>VLOOKUP(A451,Participanti!A:C,3,0)</f>
        <v>0</v>
      </c>
      <c r="U451" s="18">
        <f t="shared" si="206"/>
        <v>2.8374285714285716</v>
      </c>
      <c r="V451" s="58" t="s">
        <v>442</v>
      </c>
      <c r="W451" s="77">
        <f t="shared" si="207"/>
        <v>1</v>
      </c>
      <c r="X451" s="1" t="e">
        <f>VLOOKUP(A451,Data_Echipe!A:R,18,0)</f>
        <v>#N/A</v>
      </c>
      <c r="Z451" s="115">
        <f t="shared" si="208"/>
        <v>1</v>
      </c>
    </row>
    <row r="452" spans="1:26" x14ac:dyDescent="0.3">
      <c r="A452" s="49" t="s">
        <v>252</v>
      </c>
      <c r="B452" s="1" t="str">
        <f>VLOOKUP(A452,Participanti!A:B,2,0)</f>
        <v>M</v>
      </c>
      <c r="C452" s="74">
        <v>6</v>
      </c>
      <c r="D452" s="50">
        <v>11.02</v>
      </c>
      <c r="E452" s="51">
        <v>3.695601851851852E-2</v>
      </c>
      <c r="F452" s="51">
        <v>3.7465277777777778E-2</v>
      </c>
      <c r="G452" s="69">
        <f t="shared" si="202"/>
        <v>3.7210648148148145E-2</v>
      </c>
      <c r="H452" s="52"/>
      <c r="I452" s="12">
        <f t="shared" si="203"/>
        <v>3.3766468374000131E-3</v>
      </c>
      <c r="J452" s="37">
        <f t="shared" si="204"/>
        <v>2.6238095238095238</v>
      </c>
      <c r="K452" s="37">
        <f>IF(J452=0,0,IF(B452="F",VLOOKUP(I452,Barem!$G$2:$H$16,2,1),VLOOKUP(I452,Barem!$G$17:$H$31,2,1)))</f>
        <v>3</v>
      </c>
      <c r="L452" s="50">
        <v>2</v>
      </c>
      <c r="M452" s="124" t="s">
        <v>207</v>
      </c>
      <c r="N452" s="10">
        <f t="shared" si="201"/>
        <v>0.25</v>
      </c>
      <c r="O452" s="10">
        <f t="shared" si="201"/>
        <v>0.25</v>
      </c>
      <c r="P452" s="10">
        <f t="shared" si="201"/>
        <v>0.5</v>
      </c>
      <c r="Q452" s="40">
        <f t="shared" si="205"/>
        <v>0</v>
      </c>
      <c r="R452" s="21">
        <f>IF(D452&gt;21,VLOOKUP(D452,Barem!$T$1:$U$141,2,1),0)</f>
        <v>0</v>
      </c>
      <c r="S452" s="152">
        <f>IF(D452&lt;1.609,0,IF(B452="F",VLOOKUP(I452,Barem!$X$2:$Z$13,2,1),VLOOKUP(I452,Barem!$X$14:$Z$25,2,1)))</f>
        <v>0</v>
      </c>
      <c r="T452" s="21">
        <f>VLOOKUP(A452,Participanti!A:C,3,0)</f>
        <v>0</v>
      </c>
      <c r="U452" s="18">
        <f t="shared" si="206"/>
        <v>2.4059523809523808</v>
      </c>
      <c r="V452" s="58" t="s">
        <v>442</v>
      </c>
      <c r="W452" s="77">
        <f t="shared" si="207"/>
        <v>1</v>
      </c>
      <c r="X452" s="1" t="str">
        <f>VLOOKUP(A452,Data_Echipe!A:R,18,0)</f>
        <v>UltraHaita lu' Borcan</v>
      </c>
      <c r="Z452" s="115">
        <f t="shared" si="208"/>
        <v>1</v>
      </c>
    </row>
    <row r="453" spans="1:26" x14ac:dyDescent="0.3">
      <c r="A453" s="49" t="s">
        <v>339</v>
      </c>
      <c r="B453" s="1" t="str">
        <f>VLOOKUP(A453,Participanti!A:B,2,0)</f>
        <v>M</v>
      </c>
      <c r="C453" s="74">
        <v>6</v>
      </c>
      <c r="D453" s="50">
        <v>14.02</v>
      </c>
      <c r="E453" s="51">
        <v>5.6712962962962965E-2</v>
      </c>
      <c r="F453" s="51">
        <v>5.9131944444444445E-2</v>
      </c>
      <c r="G453" s="69">
        <f t="shared" si="202"/>
        <v>5.7922453703703705E-2</v>
      </c>
      <c r="H453" s="52"/>
      <c r="I453" s="12">
        <f t="shared" si="203"/>
        <v>4.1314160986949859E-3</v>
      </c>
      <c r="J453" s="37">
        <f t="shared" si="204"/>
        <v>3.3380952380952378</v>
      </c>
      <c r="K453" s="37">
        <f>IF(J453=0,0,IF(B453="F",VLOOKUP(I453,Barem!$G$2:$H$16,2,1),VLOOKUP(I453,Barem!$G$17:$H$31,2,1)))</f>
        <v>1.5</v>
      </c>
      <c r="L453" s="50">
        <v>4</v>
      </c>
      <c r="M453" s="124" t="s">
        <v>207</v>
      </c>
      <c r="N453" s="10">
        <f t="shared" si="201"/>
        <v>0.25</v>
      </c>
      <c r="O453" s="10">
        <f t="shared" si="201"/>
        <v>0.25</v>
      </c>
      <c r="P453" s="10">
        <f t="shared" si="201"/>
        <v>0.5</v>
      </c>
      <c r="Q453" s="40">
        <f t="shared" si="205"/>
        <v>0</v>
      </c>
      <c r="R453" s="21">
        <f>IF(D453&gt;21,VLOOKUP(D453,Barem!$T$1:$U$141,2,1),0)</f>
        <v>0</v>
      </c>
      <c r="S453" s="152">
        <f>IF(D453&lt;1.609,0,IF(B453="F",VLOOKUP(I453,Barem!$X$2:$Z$13,2,1),VLOOKUP(I453,Barem!$X$14:$Z$25,2,1)))</f>
        <v>0</v>
      </c>
      <c r="T453" s="21">
        <f>VLOOKUP(A453,Participanti!A:C,3,0)</f>
        <v>0</v>
      </c>
      <c r="U453" s="18">
        <f t="shared" si="206"/>
        <v>3.2095238095238097</v>
      </c>
      <c r="V453" s="58" t="s">
        <v>443</v>
      </c>
      <c r="W453" s="77">
        <f t="shared" si="207"/>
        <v>1</v>
      </c>
      <c r="X453" s="1" t="str">
        <f>VLOOKUP(A453,Data_Echipe!A:R,18,0)</f>
        <v>MedgidiaRunning</v>
      </c>
      <c r="Z453" s="115">
        <f t="shared" si="208"/>
        <v>1</v>
      </c>
    </row>
    <row r="454" spans="1:26" x14ac:dyDescent="0.3">
      <c r="A454" s="49" t="s">
        <v>343</v>
      </c>
      <c r="B454" s="1" t="str">
        <f>VLOOKUP(A454,Participanti!A:B,2,0)</f>
        <v>M</v>
      </c>
      <c r="C454" s="74">
        <v>6</v>
      </c>
      <c r="D454" s="50">
        <v>10.01</v>
      </c>
      <c r="E454" s="51">
        <v>2.8587962962962964E-2</v>
      </c>
      <c r="F454" s="51">
        <v>2.8587962962962964E-2</v>
      </c>
      <c r="G454" s="69">
        <f t="shared" si="202"/>
        <v>2.8587962962962964E-2</v>
      </c>
      <c r="H454" s="52"/>
      <c r="I454" s="12">
        <f t="shared" si="203"/>
        <v>2.8559403559403561E-3</v>
      </c>
      <c r="J454" s="37">
        <f t="shared" si="204"/>
        <v>2.3833333333333333</v>
      </c>
      <c r="K454" s="37">
        <f>IF(J454=0,0,IF(B454="F",VLOOKUP(I454,Barem!$G$2:$H$16,2,1),VLOOKUP(I454,Barem!$G$17:$H$31,2,1)))</f>
        <v>4.5</v>
      </c>
      <c r="L454" s="50">
        <v>2.5</v>
      </c>
      <c r="M454" s="124" t="s">
        <v>107</v>
      </c>
      <c r="N454" s="10">
        <f t="shared" si="201"/>
        <v>0.25</v>
      </c>
      <c r="O454" s="10">
        <f t="shared" si="201"/>
        <v>0.5</v>
      </c>
      <c r="P454" s="10">
        <f t="shared" si="201"/>
        <v>0.25</v>
      </c>
      <c r="Q454" s="40">
        <f t="shared" si="205"/>
        <v>0</v>
      </c>
      <c r="R454" s="21">
        <f>IF(D454&gt;21,VLOOKUP(D454,Barem!$T$1:$U$141,2,1),0)</f>
        <v>0</v>
      </c>
      <c r="S454" s="152">
        <f>IF(D454&lt;1.609,0,IF(B454="F",VLOOKUP(I454,Barem!$X$2:$Z$13,2,1),VLOOKUP(I454,Barem!$X$14:$Z$25,2,1)))</f>
        <v>0</v>
      </c>
      <c r="T454" s="21">
        <f>VLOOKUP(A454,Participanti!A:C,3,0)</f>
        <v>0</v>
      </c>
      <c r="U454" s="18">
        <f t="shared" si="206"/>
        <v>3.4708333333333332</v>
      </c>
      <c r="V454" s="58" t="s">
        <v>444</v>
      </c>
      <c r="W454" s="77">
        <f t="shared" si="207"/>
        <v>1</v>
      </c>
      <c r="X454" s="1" t="str">
        <f>VLOOKUP(A454,Data_Echipe!A:R,18,0)</f>
        <v>#notSYRious</v>
      </c>
      <c r="Z454" s="115">
        <f t="shared" si="208"/>
        <v>1</v>
      </c>
    </row>
    <row r="455" spans="1:26" x14ac:dyDescent="0.3">
      <c r="A455" s="49" t="s">
        <v>335</v>
      </c>
      <c r="B455" s="1" t="str">
        <f>VLOOKUP(A455,Participanti!A:B,2,0)</f>
        <v>M</v>
      </c>
      <c r="C455" s="74">
        <v>6</v>
      </c>
      <c r="D455" s="50">
        <v>12.5</v>
      </c>
      <c r="E455" s="51">
        <v>4.4282407407407409E-2</v>
      </c>
      <c r="F455" s="51">
        <v>4.4398148148148152E-2</v>
      </c>
      <c r="G455" s="69">
        <f t="shared" si="202"/>
        <v>4.4340277777777784E-2</v>
      </c>
      <c r="H455" s="52">
        <v>223</v>
      </c>
      <c r="I455" s="12">
        <f t="shared" si="203"/>
        <v>3.5472222222222229E-3</v>
      </c>
      <c r="J455" s="37">
        <f t="shared" si="204"/>
        <v>2.9761904761904763</v>
      </c>
      <c r="K455" s="37">
        <f>IF(J455=0,0,IF(B455="F",VLOOKUP(I455,Barem!$G$2:$H$16,2,1),VLOOKUP(I455,Barem!$G$17:$H$31,2,1)))</f>
        <v>2.5</v>
      </c>
      <c r="L455" s="50">
        <v>2.5</v>
      </c>
      <c r="M455" s="124" t="s">
        <v>207</v>
      </c>
      <c r="N455" s="10">
        <f t="shared" si="201"/>
        <v>0.25</v>
      </c>
      <c r="O455" s="10">
        <f t="shared" si="201"/>
        <v>0.25</v>
      </c>
      <c r="P455" s="10">
        <f t="shared" si="201"/>
        <v>0.5</v>
      </c>
      <c r="Q455" s="40">
        <f t="shared" si="205"/>
        <v>0.14866666666666667</v>
      </c>
      <c r="R455" s="21">
        <f>IF(D455&gt;21,VLOOKUP(D455,Barem!$T$1:$U$141,2,1),0)</f>
        <v>0</v>
      </c>
      <c r="S455" s="152">
        <f>IF(D455&lt;1.609,0,IF(B455="F",VLOOKUP(I455,Barem!$X$2:$Z$13,2,1),VLOOKUP(I455,Barem!$X$14:$Z$25,2,1)))</f>
        <v>0</v>
      </c>
      <c r="T455" s="21">
        <f>VLOOKUP(A455,Participanti!A:C,3,0)</f>
        <v>0.4</v>
      </c>
      <c r="U455" s="18">
        <f t="shared" si="206"/>
        <v>3.1677142857142857</v>
      </c>
      <c r="V455" s="58" t="s">
        <v>444</v>
      </c>
      <c r="W455" s="77">
        <f t="shared" si="207"/>
        <v>1</v>
      </c>
      <c r="X455" s="1" t="e">
        <f>VLOOKUP(A455,Data_Echipe!A:R,18,0)</f>
        <v>#N/A</v>
      </c>
      <c r="Z455" s="115">
        <f t="shared" si="208"/>
        <v>1</v>
      </c>
    </row>
    <row r="456" spans="1:26" x14ac:dyDescent="0.3">
      <c r="A456" s="49" t="s">
        <v>303</v>
      </c>
      <c r="B456" s="1" t="str">
        <f>VLOOKUP(A456,Participanti!A:B,2,0)</f>
        <v>F</v>
      </c>
      <c r="C456" s="74">
        <v>6</v>
      </c>
      <c r="D456" s="50">
        <v>11.37</v>
      </c>
      <c r="E456" s="51">
        <v>5.2094907407407409E-2</v>
      </c>
      <c r="F456" s="51">
        <v>5.3067129629629638E-2</v>
      </c>
      <c r="G456" s="69">
        <f t="shared" si="202"/>
        <v>5.2581018518518527E-2</v>
      </c>
      <c r="H456" s="52">
        <v>194</v>
      </c>
      <c r="I456" s="12">
        <f t="shared" si="203"/>
        <v>4.6245398872927466E-3</v>
      </c>
      <c r="J456" s="37">
        <f t="shared" si="204"/>
        <v>2.8424999999999998</v>
      </c>
      <c r="K456" s="37">
        <f>IF(J456=0,0,IF(B456="F",VLOOKUP(I456,Barem!$G$2:$H$16,2,1),VLOOKUP(I456,Barem!$G$17:$H$31,2,1)))</f>
        <v>1.25</v>
      </c>
      <c r="L456" s="50">
        <v>1.5</v>
      </c>
      <c r="M456" s="124" t="s">
        <v>207</v>
      </c>
      <c r="N456" s="10">
        <f t="shared" si="201"/>
        <v>0.25</v>
      </c>
      <c r="O456" s="10">
        <f t="shared" si="201"/>
        <v>0.25</v>
      </c>
      <c r="P456" s="10">
        <f t="shared" si="201"/>
        <v>0.5</v>
      </c>
      <c r="Q456" s="40">
        <f t="shared" si="205"/>
        <v>0.12933333333333333</v>
      </c>
      <c r="R456" s="21">
        <f>IF(D456&gt;21,VLOOKUP(D456,Barem!$T$1:$U$141,2,1),0)</f>
        <v>0</v>
      </c>
      <c r="S456" s="152">
        <f>IF(D456&lt;1.609,0,IF(B456="F",VLOOKUP(I456,Barem!$X$2:$Z$13,2,1),VLOOKUP(I456,Barem!$X$14:$Z$25,2,1)))</f>
        <v>0</v>
      </c>
      <c r="T456" s="21">
        <f>VLOOKUP(A456,Participanti!A:C,3,0)</f>
        <v>0</v>
      </c>
      <c r="U456" s="18">
        <f t="shared" si="206"/>
        <v>1.9024583333333331</v>
      </c>
      <c r="V456" s="58" t="s">
        <v>445</v>
      </c>
      <c r="W456" s="77">
        <f t="shared" si="207"/>
        <v>1</v>
      </c>
      <c r="X456" s="1" t="e">
        <f>VLOOKUP(A456,Data_Echipe!A:R,18,0)</f>
        <v>#N/A</v>
      </c>
      <c r="Z456" s="115">
        <f t="shared" si="208"/>
        <v>1</v>
      </c>
    </row>
    <row r="457" spans="1:26" x14ac:dyDescent="0.3">
      <c r="A457" s="49" t="s">
        <v>364</v>
      </c>
      <c r="B457" s="1" t="str">
        <f>VLOOKUP(A457,Participanti!A:B,2,0)</f>
        <v>M</v>
      </c>
      <c r="C457" s="74">
        <v>6</v>
      </c>
      <c r="D457" s="50">
        <v>22.5</v>
      </c>
      <c r="E457" s="51">
        <v>0.10332175925925925</v>
      </c>
      <c r="F457" s="51">
        <v>0.10393518518518519</v>
      </c>
      <c r="G457" s="69">
        <f t="shared" si="202"/>
        <v>0.10362847222222221</v>
      </c>
      <c r="H457" s="52">
        <v>85</v>
      </c>
      <c r="I457" s="12">
        <f t="shared" si="203"/>
        <v>4.605709876543209E-3</v>
      </c>
      <c r="J457" s="37">
        <f t="shared" si="204"/>
        <v>5</v>
      </c>
      <c r="K457" s="37">
        <f>IF(J457=0,0,IF(B457="F",VLOOKUP(I457,Barem!$G$2:$H$16,2,1),VLOOKUP(I457,Barem!$G$17:$H$31,2,1)))</f>
        <v>0.75</v>
      </c>
      <c r="L457" s="50">
        <v>2.25</v>
      </c>
      <c r="M457" s="124" t="s">
        <v>106</v>
      </c>
      <c r="N457" s="10">
        <f t="shared" si="201"/>
        <v>0.5</v>
      </c>
      <c r="O457" s="10">
        <f t="shared" si="201"/>
        <v>0.25</v>
      </c>
      <c r="P457" s="10">
        <f t="shared" si="201"/>
        <v>0.25</v>
      </c>
      <c r="Q457" s="40">
        <f t="shared" si="205"/>
        <v>5.6666666666666664E-2</v>
      </c>
      <c r="R457" s="21">
        <f>IF(D457&gt;21,VLOOKUP(D457,Barem!$T$1:$U$141,2,1),0)</f>
        <v>0</v>
      </c>
      <c r="S457" s="152">
        <f>IF(D457&lt;1.609,0,IF(B457="F",VLOOKUP(I457,Barem!$X$2:$Z$13,2,1),VLOOKUP(I457,Barem!$X$14:$Z$25,2,1)))</f>
        <v>0</v>
      </c>
      <c r="T457" s="21">
        <f>VLOOKUP(A457,Participanti!A:C,3,0)</f>
        <v>0</v>
      </c>
      <c r="U457" s="18">
        <f t="shared" si="206"/>
        <v>3.3066666666666666</v>
      </c>
      <c r="V457" s="58" t="s">
        <v>445</v>
      </c>
      <c r="W457" s="77">
        <f t="shared" si="207"/>
        <v>1</v>
      </c>
      <c r="X457" s="1" t="e">
        <f>VLOOKUP(A457,Data_Echipe!A:R,18,0)</f>
        <v>#N/A</v>
      </c>
      <c r="Z457" s="115">
        <f t="shared" si="208"/>
        <v>1</v>
      </c>
    </row>
    <row r="458" spans="1:26" x14ac:dyDescent="0.3">
      <c r="A458" s="49" t="s">
        <v>301</v>
      </c>
      <c r="B458" s="1" t="str">
        <f>VLOOKUP(A458,Participanti!A:B,2,0)</f>
        <v>M</v>
      </c>
      <c r="C458" s="74">
        <v>6</v>
      </c>
      <c r="D458" s="50">
        <v>21.21</v>
      </c>
      <c r="E458" s="51">
        <v>7.8043981481481492E-2</v>
      </c>
      <c r="F458" s="51">
        <v>9.1307870370370373E-2</v>
      </c>
      <c r="G458" s="69">
        <f t="shared" si="202"/>
        <v>8.4675925925925932E-2</v>
      </c>
      <c r="H458" s="52">
        <v>56</v>
      </c>
      <c r="I458" s="12">
        <f t="shared" si="203"/>
        <v>3.9922643057956593E-3</v>
      </c>
      <c r="J458" s="37">
        <f t="shared" si="204"/>
        <v>5</v>
      </c>
      <c r="K458" s="37">
        <f>IF(J458=0,0,IF(B458="F",VLOOKUP(I458,Barem!$G$2:$H$16,2,1),VLOOKUP(I458,Barem!$G$17:$H$31,2,1)))</f>
        <v>1.75</v>
      </c>
      <c r="L458" s="50">
        <v>2.5</v>
      </c>
      <c r="M458" s="124" t="s">
        <v>106</v>
      </c>
      <c r="N458" s="10">
        <f t="shared" si="201"/>
        <v>0.5</v>
      </c>
      <c r="O458" s="10">
        <f t="shared" si="201"/>
        <v>0.25</v>
      </c>
      <c r="P458" s="10">
        <f t="shared" si="201"/>
        <v>0.25</v>
      </c>
      <c r="Q458" s="40">
        <f t="shared" si="205"/>
        <v>3.7333333333333336E-2</v>
      </c>
      <c r="R458" s="21">
        <f>IF(D458&gt;21,VLOOKUP(D458,Barem!$T$1:$U$141,2,1),0)</f>
        <v>0</v>
      </c>
      <c r="S458" s="152">
        <f>IF(D458&lt;1.609,0,IF(B458="F",VLOOKUP(I458,Barem!$X$2:$Z$13,2,1),VLOOKUP(I458,Barem!$X$14:$Z$25,2,1)))</f>
        <v>0</v>
      </c>
      <c r="T458" s="21">
        <f>VLOOKUP(A458,Participanti!A:C,3,0)</f>
        <v>0</v>
      </c>
      <c r="U458" s="18">
        <f t="shared" si="206"/>
        <v>3.5998333333333332</v>
      </c>
      <c r="V458" s="58" t="s">
        <v>445</v>
      </c>
      <c r="W458" s="77">
        <f t="shared" si="207"/>
        <v>1</v>
      </c>
      <c r="X458" s="1" t="e">
        <f>VLOOKUP(A458,Data_Echipe!A:R,18,0)</f>
        <v>#N/A</v>
      </c>
      <c r="Z458" s="115">
        <f t="shared" si="208"/>
        <v>1</v>
      </c>
    </row>
    <row r="459" spans="1:26" x14ac:dyDescent="0.3">
      <c r="A459" s="49" t="s">
        <v>341</v>
      </c>
      <c r="B459" s="1" t="str">
        <f>VLOOKUP(A459,Participanti!A:B,2,0)</f>
        <v>M</v>
      </c>
      <c r="C459" s="74">
        <v>6</v>
      </c>
      <c r="D459" s="50">
        <v>55.07</v>
      </c>
      <c r="E459" s="51">
        <v>0.2270601851851852</v>
      </c>
      <c r="F459" s="51">
        <v>0.22719907407407405</v>
      </c>
      <c r="G459" s="69">
        <f t="shared" si="202"/>
        <v>0.22712962962962963</v>
      </c>
      <c r="H459" s="52">
        <v>105</v>
      </c>
      <c r="I459" s="12">
        <f t="shared" si="203"/>
        <v>4.1243804181882986E-3</v>
      </c>
      <c r="J459" s="37">
        <f t="shared" si="204"/>
        <v>5</v>
      </c>
      <c r="K459" s="37">
        <f>IF(J459=0,0,IF(B459="F",VLOOKUP(I459,Barem!$G$2:$H$16,2,1),VLOOKUP(I459,Barem!$G$17:$H$31,2,1)))</f>
        <v>1.5</v>
      </c>
      <c r="L459" s="50">
        <v>2.5</v>
      </c>
      <c r="M459" s="124" t="s">
        <v>106</v>
      </c>
      <c r="N459" s="10">
        <f t="shared" si="201"/>
        <v>0.5</v>
      </c>
      <c r="O459" s="10">
        <f t="shared" si="201"/>
        <v>0.25</v>
      </c>
      <c r="P459" s="10">
        <f t="shared" si="201"/>
        <v>0.25</v>
      </c>
      <c r="Q459" s="40">
        <f t="shared" si="205"/>
        <v>7.0000000000000007E-2</v>
      </c>
      <c r="R459" s="21">
        <f>IF(D459&gt;21,VLOOKUP(D459,Barem!$T$1:$U$141,2,1),0)</f>
        <v>1.7</v>
      </c>
      <c r="S459" s="152">
        <f>IF(D459&lt;1.609,0,IF(B459="F",VLOOKUP(I459,Barem!$X$2:$Z$13,2,1),VLOOKUP(I459,Barem!$X$14:$Z$25,2,1)))</f>
        <v>0</v>
      </c>
      <c r="T459" s="21">
        <f>VLOOKUP(A459,Participanti!A:C,3,0)</f>
        <v>0</v>
      </c>
      <c r="U459" s="18">
        <f t="shared" si="206"/>
        <v>5.27</v>
      </c>
      <c r="V459" s="58" t="s">
        <v>445</v>
      </c>
      <c r="W459" s="77">
        <f t="shared" si="207"/>
        <v>1</v>
      </c>
      <c r="X459" s="1" t="str">
        <f>VLOOKUP(A459,Data_Echipe!A:R,18,0)</f>
        <v>The GOATs</v>
      </c>
      <c r="Z459" s="115">
        <f t="shared" si="208"/>
        <v>1</v>
      </c>
    </row>
    <row r="460" spans="1:26" x14ac:dyDescent="0.3">
      <c r="A460" s="49" t="s">
        <v>279</v>
      </c>
      <c r="B460" s="1" t="str">
        <f>VLOOKUP(A460,Participanti!A:B,2,0)</f>
        <v>M</v>
      </c>
      <c r="C460" s="74">
        <v>6</v>
      </c>
      <c r="D460" s="50">
        <v>19.010000000000002</v>
      </c>
      <c r="E460" s="51">
        <v>5.1898148148148145E-2</v>
      </c>
      <c r="F460" s="51">
        <v>5.5891203703703707E-2</v>
      </c>
      <c r="G460" s="69">
        <f t="shared" si="202"/>
        <v>5.3894675925925922E-2</v>
      </c>
      <c r="H460" s="52"/>
      <c r="I460" s="12">
        <f t="shared" si="203"/>
        <v>2.8350697488651192E-3</v>
      </c>
      <c r="J460" s="37">
        <f t="shared" si="204"/>
        <v>4.5261904761904761</v>
      </c>
      <c r="K460" s="37">
        <f>IF(J460=0,0,IF(B460="F",VLOOKUP(I460,Barem!$G$2:$H$16,2,1),VLOOKUP(I460,Barem!$G$17:$H$31,2,1)))</f>
        <v>4.5</v>
      </c>
      <c r="L460" s="50">
        <v>2.25</v>
      </c>
      <c r="M460" s="124" t="s">
        <v>107</v>
      </c>
      <c r="N460" s="10">
        <f t="shared" si="201"/>
        <v>0.25</v>
      </c>
      <c r="O460" s="10">
        <f t="shared" si="201"/>
        <v>0.5</v>
      </c>
      <c r="P460" s="10">
        <f t="shared" si="201"/>
        <v>0.25</v>
      </c>
      <c r="Q460" s="40">
        <f t="shared" si="205"/>
        <v>0</v>
      </c>
      <c r="R460" s="21">
        <f>IF(D460&gt;21,VLOOKUP(D460,Barem!$T$1:$U$141,2,1),0)</f>
        <v>0</v>
      </c>
      <c r="S460" s="152">
        <f>IF(D460&lt;1.609,0,IF(B460="F",VLOOKUP(I460,Barem!$X$2:$Z$13,2,1),VLOOKUP(I460,Barem!$X$14:$Z$25,2,1)))</f>
        <v>0</v>
      </c>
      <c r="T460" s="21">
        <f>VLOOKUP(A460,Participanti!A:C,3,0)</f>
        <v>0</v>
      </c>
      <c r="U460" s="18">
        <f t="shared" si="206"/>
        <v>3.9440476190476188</v>
      </c>
      <c r="V460" s="58" t="s">
        <v>445</v>
      </c>
      <c r="W460" s="77">
        <f t="shared" si="207"/>
        <v>1</v>
      </c>
      <c r="X460" s="1" t="str">
        <f>VLOOKUP(A460,Data_Echipe!A:R,18,0)</f>
        <v>Almost Kenyan Runners</v>
      </c>
      <c r="Z460" s="115">
        <f t="shared" si="208"/>
        <v>1</v>
      </c>
    </row>
    <row r="461" spans="1:26" x14ac:dyDescent="0.3">
      <c r="A461" s="49" t="s">
        <v>124</v>
      </c>
      <c r="B461" s="1" t="str">
        <f>VLOOKUP(A461,Participanti!A:B,2,0)</f>
        <v>M</v>
      </c>
      <c r="C461" s="74">
        <v>6</v>
      </c>
      <c r="D461" s="50">
        <v>50.08</v>
      </c>
      <c r="E461" s="51">
        <v>0.1411111111111111</v>
      </c>
      <c r="F461" s="51">
        <v>0.1411111111111111</v>
      </c>
      <c r="G461" s="69">
        <f t="shared" si="202"/>
        <v>0.1411111111111111</v>
      </c>
      <c r="H461" s="52"/>
      <c r="I461" s="12">
        <f t="shared" si="203"/>
        <v>2.8177138800141994E-3</v>
      </c>
      <c r="J461" s="37">
        <f t="shared" si="204"/>
        <v>5</v>
      </c>
      <c r="K461" s="37">
        <f>IF(J461=0,0,IF(B461="F",VLOOKUP(I461,Barem!$G$2:$H$16,2,1),VLOOKUP(I461,Barem!$G$17:$H$31,2,1)))</f>
        <v>4.5</v>
      </c>
      <c r="L461" s="50">
        <v>3.75</v>
      </c>
      <c r="M461" s="124" t="s">
        <v>207</v>
      </c>
      <c r="N461" s="10">
        <f t="shared" si="201"/>
        <v>0.25</v>
      </c>
      <c r="O461" s="10">
        <f t="shared" si="201"/>
        <v>0.25</v>
      </c>
      <c r="P461" s="10">
        <f t="shared" si="201"/>
        <v>0.5</v>
      </c>
      <c r="Q461" s="40">
        <f t="shared" si="205"/>
        <v>0</v>
      </c>
      <c r="R461" s="21">
        <f>IF(D461&gt;21,VLOOKUP(D461,Barem!$T$1:$U$141,2,1),0)</f>
        <v>1.4</v>
      </c>
      <c r="S461" s="152">
        <f>IF(D461&lt;1.609,0,IF(B461="F",VLOOKUP(I461,Barem!$X$2:$Z$13,2,1),VLOOKUP(I461,Barem!$X$14:$Z$25,2,1)))</f>
        <v>0</v>
      </c>
      <c r="T461" s="21">
        <f>VLOOKUP(A461,Participanti!A:C,3,0)</f>
        <v>0</v>
      </c>
      <c r="U461" s="18">
        <f t="shared" si="206"/>
        <v>5.65</v>
      </c>
      <c r="V461" s="58" t="s">
        <v>445</v>
      </c>
      <c r="W461" s="77">
        <f t="shared" si="207"/>
        <v>1</v>
      </c>
      <c r="X461" s="1" t="str">
        <f>VLOOKUP(A461,Data_Echipe!A:R,18,0)</f>
        <v>#notSYRious</v>
      </c>
      <c r="Z461" s="115">
        <f t="shared" si="208"/>
        <v>1</v>
      </c>
    </row>
    <row r="462" spans="1:26" x14ac:dyDescent="0.3">
      <c r="A462" s="49" t="s">
        <v>345</v>
      </c>
      <c r="B462" s="1" t="str">
        <f>VLOOKUP(A462,Participanti!A:B,2,0)</f>
        <v>F</v>
      </c>
      <c r="C462" s="74">
        <v>6</v>
      </c>
      <c r="D462" s="50">
        <v>10.01</v>
      </c>
      <c r="E462" s="51">
        <v>3.8506944444444448E-2</v>
      </c>
      <c r="F462" s="51">
        <v>4.1388888888888892E-2</v>
      </c>
      <c r="G462" s="69">
        <f t="shared" si="202"/>
        <v>3.9947916666666666E-2</v>
      </c>
      <c r="H462" s="52"/>
      <c r="I462" s="12">
        <f t="shared" si="203"/>
        <v>3.990800865800866E-3</v>
      </c>
      <c r="J462" s="37">
        <f t="shared" si="204"/>
        <v>2.5024999999999999</v>
      </c>
      <c r="K462" s="37">
        <f>IF(J462=0,0,IF(B462="F",VLOOKUP(I462,Barem!$G$2:$H$16,2,1),VLOOKUP(I462,Barem!$G$17:$H$31,2,1)))</f>
        <v>2.5</v>
      </c>
      <c r="L462" s="50">
        <v>2.75</v>
      </c>
      <c r="M462" s="124" t="s">
        <v>207</v>
      </c>
      <c r="N462" s="10">
        <f t="shared" si="201"/>
        <v>0.25</v>
      </c>
      <c r="O462" s="10">
        <f t="shared" si="201"/>
        <v>0.25</v>
      </c>
      <c r="P462" s="10">
        <f t="shared" si="201"/>
        <v>0.5</v>
      </c>
      <c r="Q462" s="40">
        <f t="shared" si="205"/>
        <v>0</v>
      </c>
      <c r="R462" s="21">
        <f>IF(D462&gt;21,VLOOKUP(D462,Barem!$T$1:$U$141,2,1),0)</f>
        <v>0</v>
      </c>
      <c r="S462" s="152">
        <f>IF(D462&lt;1.609,0,IF(B462="F",VLOOKUP(I462,Barem!$X$2:$Z$13,2,1),VLOOKUP(I462,Barem!$X$14:$Z$25,2,1)))</f>
        <v>0</v>
      </c>
      <c r="T462" s="21">
        <f>VLOOKUP(A462,Participanti!A:C,3,0)</f>
        <v>0</v>
      </c>
      <c r="U462" s="18">
        <f t="shared" si="206"/>
        <v>2.6256249999999999</v>
      </c>
      <c r="V462" s="58" t="s">
        <v>445</v>
      </c>
      <c r="W462" s="77">
        <f t="shared" si="207"/>
        <v>1</v>
      </c>
      <c r="X462" s="1" t="str">
        <f>VLOOKUP(A462,Data_Echipe!A:R,18,0)</f>
        <v>MedgidiaRunning</v>
      </c>
      <c r="Z462" s="115">
        <f t="shared" si="208"/>
        <v>1</v>
      </c>
    </row>
    <row r="463" spans="1:26" x14ac:dyDescent="0.3">
      <c r="A463" s="49" t="s">
        <v>346</v>
      </c>
      <c r="B463" s="1" t="str">
        <f>VLOOKUP(A463,Participanti!A:B,2,0)</f>
        <v>M</v>
      </c>
      <c r="C463" s="74">
        <v>6</v>
      </c>
      <c r="D463" s="50">
        <v>20.03</v>
      </c>
      <c r="E463" s="51">
        <v>6.7523148148148152E-2</v>
      </c>
      <c r="F463" s="51">
        <v>8.2280092592592599E-2</v>
      </c>
      <c r="G463" s="69">
        <f t="shared" si="202"/>
        <v>7.4901620370370375E-2</v>
      </c>
      <c r="H463" s="52"/>
      <c r="I463" s="12">
        <f t="shared" si="203"/>
        <v>3.7394718108023149E-3</v>
      </c>
      <c r="J463" s="37">
        <f t="shared" si="204"/>
        <v>4.769047619047619</v>
      </c>
      <c r="K463" s="37">
        <f>IF(J463=0,0,IF(B463="F",VLOOKUP(I463,Barem!$G$2:$H$16,2,1),VLOOKUP(I463,Barem!$G$17:$H$31,2,1)))</f>
        <v>2</v>
      </c>
      <c r="L463" s="50">
        <v>3</v>
      </c>
      <c r="M463" s="124" t="s">
        <v>107</v>
      </c>
      <c r="N463" s="10">
        <f t="shared" ref="N463:P525" si="209">IF($M463=N$1,50%,25%)</f>
        <v>0.25</v>
      </c>
      <c r="O463" s="10">
        <f t="shared" si="209"/>
        <v>0.5</v>
      </c>
      <c r="P463" s="10">
        <f t="shared" si="209"/>
        <v>0.25</v>
      </c>
      <c r="Q463" s="40">
        <f t="shared" si="205"/>
        <v>0</v>
      </c>
      <c r="R463" s="21">
        <f>IF(D463&gt;21,VLOOKUP(D463,Barem!$T$1:$U$141,2,1),0)</f>
        <v>0</v>
      </c>
      <c r="S463" s="152">
        <f>IF(D463&lt;1.609,0,IF(B463="F",VLOOKUP(I463,Barem!$X$2:$Z$13,2,1),VLOOKUP(I463,Barem!$X$14:$Z$25,2,1)))</f>
        <v>0</v>
      </c>
      <c r="T463" s="21">
        <f>VLOOKUP(A463,Participanti!A:C,3,0)</f>
        <v>0</v>
      </c>
      <c r="U463" s="18">
        <f t="shared" si="206"/>
        <v>2.9422619047619047</v>
      </c>
      <c r="V463" s="58" t="s">
        <v>445</v>
      </c>
      <c r="W463" s="77">
        <f t="shared" si="207"/>
        <v>1</v>
      </c>
      <c r="X463" s="1" t="str">
        <f>VLOOKUP(A463,Data_Echipe!A:R,18,0)</f>
        <v>UltraHaita lu' Borcan</v>
      </c>
      <c r="Z463" s="115">
        <f t="shared" si="208"/>
        <v>1</v>
      </c>
    </row>
    <row r="464" spans="1:26" x14ac:dyDescent="0.3">
      <c r="A464" s="49" t="s">
        <v>355</v>
      </c>
      <c r="B464" s="1" t="str">
        <f>VLOOKUP(A464,Participanti!A:B,2,0)</f>
        <v>F</v>
      </c>
      <c r="C464" s="74">
        <v>6</v>
      </c>
      <c r="D464" s="50">
        <v>11.26</v>
      </c>
      <c r="E464" s="51">
        <v>5.2326388888888888E-2</v>
      </c>
      <c r="F464" s="51">
        <v>5.8657407407407408E-2</v>
      </c>
      <c r="G464" s="69">
        <f t="shared" si="202"/>
        <v>5.5491898148148144E-2</v>
      </c>
      <c r="H464" s="52"/>
      <c r="I464" s="12">
        <f t="shared" si="203"/>
        <v>4.9282325175975259E-3</v>
      </c>
      <c r="J464" s="37">
        <f t="shared" si="204"/>
        <v>2.8149999999999999</v>
      </c>
      <c r="K464" s="37">
        <f>IF(J464=0,0,IF(B464="F",VLOOKUP(I464,Barem!$G$2:$H$16,2,1),VLOOKUP(I464,Barem!$G$17:$H$31,2,1)))</f>
        <v>0.75</v>
      </c>
      <c r="L464" s="50">
        <v>3.75</v>
      </c>
      <c r="M464" s="124" t="s">
        <v>207</v>
      </c>
      <c r="N464" s="10">
        <f t="shared" si="209"/>
        <v>0.25</v>
      </c>
      <c r="O464" s="10">
        <f t="shared" si="209"/>
        <v>0.25</v>
      </c>
      <c r="P464" s="10">
        <f t="shared" si="209"/>
        <v>0.5</v>
      </c>
      <c r="Q464" s="40">
        <f t="shared" si="205"/>
        <v>0</v>
      </c>
      <c r="R464" s="21">
        <f>IF(D464&gt;21,VLOOKUP(D464,Barem!$T$1:$U$141,2,1),0)</f>
        <v>0</v>
      </c>
      <c r="S464" s="152">
        <f>IF(D464&lt;1.609,0,IF(B464="F",VLOOKUP(I464,Barem!$X$2:$Z$13,2,1),VLOOKUP(I464,Barem!$X$14:$Z$25,2,1)))</f>
        <v>0</v>
      </c>
      <c r="T464" s="21">
        <f>VLOOKUP(A464,Participanti!A:C,3,0)</f>
        <v>0</v>
      </c>
      <c r="U464" s="18">
        <f t="shared" si="206"/>
        <v>2.7662499999999999</v>
      </c>
      <c r="V464" s="58" t="s">
        <v>445</v>
      </c>
      <c r="W464" s="77">
        <f t="shared" si="207"/>
        <v>1</v>
      </c>
      <c r="X464" s="1" t="str">
        <f>VLOOKUP(A464,Data_Echipe!A:R,18,0)</f>
        <v>#notSYRious</v>
      </c>
      <c r="Z464" s="115">
        <f t="shared" si="208"/>
        <v>1</v>
      </c>
    </row>
    <row r="465" spans="1:26" x14ac:dyDescent="0.3">
      <c r="A465" s="49" t="s">
        <v>108</v>
      </c>
      <c r="B465" s="1" t="str">
        <f>VLOOKUP(A465,Participanti!A:B,2,0)</f>
        <v>M</v>
      </c>
      <c r="C465" s="74">
        <v>6</v>
      </c>
      <c r="D465" s="50">
        <v>30.3</v>
      </c>
      <c r="E465" s="51">
        <v>0.11196759259259259</v>
      </c>
      <c r="F465" s="51">
        <v>0.1165625</v>
      </c>
      <c r="G465" s="69">
        <f t="shared" si="202"/>
        <v>0.1142650462962963</v>
      </c>
      <c r="H465" s="52"/>
      <c r="I465" s="12">
        <f t="shared" si="203"/>
        <v>3.7711236401417919E-3</v>
      </c>
      <c r="J465" s="37">
        <f t="shared" si="204"/>
        <v>5</v>
      </c>
      <c r="K465" s="37">
        <f>IF(J465=0,0,IF(B465="F",VLOOKUP(I465,Barem!$G$2:$H$16,2,1),VLOOKUP(I465,Barem!$G$17:$H$31,2,1)))</f>
        <v>2</v>
      </c>
      <c r="L465" s="50">
        <v>3.25</v>
      </c>
      <c r="M465" s="124" t="s">
        <v>106</v>
      </c>
      <c r="N465" s="10">
        <f t="shared" si="209"/>
        <v>0.5</v>
      </c>
      <c r="O465" s="10">
        <f t="shared" si="209"/>
        <v>0.25</v>
      </c>
      <c r="P465" s="10">
        <f t="shared" si="209"/>
        <v>0.25</v>
      </c>
      <c r="Q465" s="40">
        <f t="shared" si="205"/>
        <v>0</v>
      </c>
      <c r="R465" s="21">
        <f>IF(D465&gt;21,VLOOKUP(D465,Barem!$T$1:$U$141,2,1),0)</f>
        <v>0.4</v>
      </c>
      <c r="S465" s="152">
        <f>IF(D465&lt;1.609,0,IF(B465="F",VLOOKUP(I465,Barem!$X$2:$Z$13,2,1),VLOOKUP(I465,Barem!$X$14:$Z$25,2,1)))</f>
        <v>0</v>
      </c>
      <c r="T465" s="21">
        <f>VLOOKUP(A465,Participanti!A:C,3,0)</f>
        <v>0</v>
      </c>
      <c r="U465" s="18">
        <f t="shared" si="206"/>
        <v>4.2125000000000004</v>
      </c>
      <c r="V465" s="58" t="s">
        <v>445</v>
      </c>
      <c r="W465" s="77">
        <f t="shared" si="207"/>
        <v>1</v>
      </c>
      <c r="X465" s="1" t="str">
        <f>VLOOKUP(A465,Data_Echipe!A:R,18,0)</f>
        <v>UltraHaita lu' Borcan</v>
      </c>
      <c r="Z465" s="115">
        <f t="shared" si="208"/>
        <v>1</v>
      </c>
    </row>
    <row r="466" spans="1:26" x14ac:dyDescent="0.3">
      <c r="A466" s="49" t="s">
        <v>288</v>
      </c>
      <c r="B466" s="1" t="str">
        <f>VLOOKUP(A466,Participanti!A:B,2,0)</f>
        <v>M</v>
      </c>
      <c r="C466" s="74">
        <v>6</v>
      </c>
      <c r="D466" s="50">
        <v>9.59</v>
      </c>
      <c r="E466" s="51">
        <v>3.2719907407407406E-2</v>
      </c>
      <c r="F466" s="51">
        <v>3.4236111111111113E-2</v>
      </c>
      <c r="G466" s="69">
        <f t="shared" si="202"/>
        <v>3.3478009259259256E-2</v>
      </c>
      <c r="H466" s="52"/>
      <c r="I466" s="12">
        <f t="shared" si="203"/>
        <v>3.4909290155640516E-3</v>
      </c>
      <c r="J466" s="37">
        <f t="shared" si="204"/>
        <v>2.2833333333333332</v>
      </c>
      <c r="K466" s="37">
        <f>IF(J466=0,0,IF(B466="F",VLOOKUP(I466,Barem!$G$2:$H$16,2,1),VLOOKUP(I466,Barem!$G$17:$H$31,2,1)))</f>
        <v>2.5</v>
      </c>
      <c r="L466" s="50">
        <v>1.75</v>
      </c>
      <c r="M466" s="124" t="s">
        <v>207</v>
      </c>
      <c r="N466" s="10">
        <f t="shared" si="209"/>
        <v>0.25</v>
      </c>
      <c r="O466" s="10">
        <f t="shared" si="209"/>
        <v>0.25</v>
      </c>
      <c r="P466" s="10">
        <f t="shared" si="209"/>
        <v>0.5</v>
      </c>
      <c r="Q466" s="40">
        <f t="shared" si="205"/>
        <v>0</v>
      </c>
      <c r="R466" s="21">
        <f>IF(D466&gt;21,VLOOKUP(D466,Barem!$T$1:$U$141,2,1),0)</f>
        <v>0</v>
      </c>
      <c r="S466" s="152">
        <f>IF(D466&lt;1.609,0,IF(B466="F",VLOOKUP(I466,Barem!$X$2:$Z$13,2,1),VLOOKUP(I466,Barem!$X$14:$Z$25,2,1)))</f>
        <v>0</v>
      </c>
      <c r="T466" s="21">
        <f>VLOOKUP(A466,Participanti!A:C,3,0)</f>
        <v>0</v>
      </c>
      <c r="U466" s="18">
        <f t="shared" si="206"/>
        <v>2.0708333333333333</v>
      </c>
      <c r="V466" s="58" t="s">
        <v>445</v>
      </c>
      <c r="W466" s="77">
        <f t="shared" si="207"/>
        <v>1</v>
      </c>
      <c r="X466" s="1" t="e">
        <f>VLOOKUP(A466,Data_Echipe!A:R,18,0)</f>
        <v>#N/A</v>
      </c>
      <c r="Z466" s="115">
        <f t="shared" si="208"/>
        <v>1</v>
      </c>
    </row>
    <row r="467" spans="1:26" x14ac:dyDescent="0.3">
      <c r="A467" s="49" t="s">
        <v>47</v>
      </c>
      <c r="B467" s="1" t="str">
        <f>VLOOKUP(A467,Participanti!A:B,2,0)</f>
        <v>M</v>
      </c>
      <c r="C467" s="74">
        <v>6</v>
      </c>
      <c r="D467" s="50">
        <v>21.21</v>
      </c>
      <c r="E467" s="51">
        <v>7.6539351851851858E-2</v>
      </c>
      <c r="F467" s="51">
        <v>7.6655092592592594E-2</v>
      </c>
      <c r="G467" s="69">
        <f t="shared" si="202"/>
        <v>7.6597222222222233E-2</v>
      </c>
      <c r="H467" s="52"/>
      <c r="I467" s="12">
        <f t="shared" si="203"/>
        <v>3.6113730420661116E-3</v>
      </c>
      <c r="J467" s="37">
        <f t="shared" si="204"/>
        <v>5</v>
      </c>
      <c r="K467" s="37">
        <f>IF(J467=0,0,IF(B467="F",VLOOKUP(I467,Barem!$G$2:$H$16,2,1),VLOOKUP(I467,Barem!$G$17:$H$31,2,1)))</f>
        <v>2.5</v>
      </c>
      <c r="L467" s="50">
        <v>2.25</v>
      </c>
      <c r="M467" s="124" t="s">
        <v>106</v>
      </c>
      <c r="N467" s="10">
        <f t="shared" si="209"/>
        <v>0.5</v>
      </c>
      <c r="O467" s="10">
        <f t="shared" si="209"/>
        <v>0.25</v>
      </c>
      <c r="P467" s="10">
        <f t="shared" si="209"/>
        <v>0.25</v>
      </c>
      <c r="Q467" s="40">
        <f t="shared" si="205"/>
        <v>0</v>
      </c>
      <c r="R467" s="21">
        <f>IF(D467&gt;21,VLOOKUP(D467,Barem!$T$1:$U$141,2,1),0)</f>
        <v>0</v>
      </c>
      <c r="S467" s="152">
        <f>IF(D467&lt;1.609,0,IF(B467="F",VLOOKUP(I467,Barem!$X$2:$Z$13,2,1),VLOOKUP(I467,Barem!$X$14:$Z$25,2,1)))</f>
        <v>0</v>
      </c>
      <c r="T467" s="21">
        <f>VLOOKUP(A467,Participanti!A:C,3,0)</f>
        <v>0</v>
      </c>
      <c r="U467" s="18">
        <f t="shared" si="206"/>
        <v>3.6875</v>
      </c>
      <c r="V467" s="58" t="s">
        <v>445</v>
      </c>
      <c r="W467" s="77">
        <f t="shared" si="207"/>
        <v>1</v>
      </c>
      <c r="X467" s="1" t="str">
        <f>VLOOKUP(A467,Data_Echipe!A:R,18,0)</f>
        <v>The GOATs</v>
      </c>
      <c r="Z467" s="115">
        <f t="shared" si="208"/>
        <v>1</v>
      </c>
    </row>
    <row r="468" spans="1:26" x14ac:dyDescent="0.3">
      <c r="A468" s="49" t="s">
        <v>368</v>
      </c>
      <c r="B468" s="1" t="str">
        <f>VLOOKUP(A468,Participanti!A:B,2,0)</f>
        <v>M</v>
      </c>
      <c r="C468" s="74">
        <v>6</v>
      </c>
      <c r="D468" s="50">
        <v>10.45</v>
      </c>
      <c r="E468" s="51">
        <v>3.2627314814814817E-2</v>
      </c>
      <c r="F468" s="51">
        <v>3.2881944444444443E-2</v>
      </c>
      <c r="G468" s="69">
        <f t="shared" si="202"/>
        <v>3.2754629629629634E-2</v>
      </c>
      <c r="H468" s="52"/>
      <c r="I468" s="12">
        <f t="shared" si="203"/>
        <v>3.1344143186248456E-3</v>
      </c>
      <c r="J468" s="37">
        <f t="shared" si="204"/>
        <v>2.4880952380952377</v>
      </c>
      <c r="K468" s="37">
        <f>IF(J468=0,0,IF(B468="F",VLOOKUP(I468,Barem!$G$2:$H$16,2,1),VLOOKUP(I468,Barem!$G$17:$H$31,2,1)))</f>
        <v>4</v>
      </c>
      <c r="L468" s="50">
        <v>2</v>
      </c>
      <c r="M468" s="124" t="s">
        <v>207</v>
      </c>
      <c r="N468" s="10">
        <f t="shared" si="209"/>
        <v>0.25</v>
      </c>
      <c r="O468" s="10">
        <f t="shared" si="209"/>
        <v>0.25</v>
      </c>
      <c r="P468" s="10">
        <f t="shared" si="209"/>
        <v>0.5</v>
      </c>
      <c r="Q468" s="40">
        <f t="shared" si="205"/>
        <v>0</v>
      </c>
      <c r="R468" s="21">
        <f>IF(D468&gt;21,VLOOKUP(D468,Barem!$T$1:$U$141,2,1),0)</f>
        <v>0</v>
      </c>
      <c r="S468" s="152">
        <f>IF(D468&lt;1.609,0,IF(B468="F",VLOOKUP(I468,Barem!$X$2:$Z$13,2,1),VLOOKUP(I468,Barem!$X$14:$Z$25,2,1)))</f>
        <v>0</v>
      </c>
      <c r="T468" s="21">
        <f>VLOOKUP(A468,Participanti!A:C,3,0)</f>
        <v>0</v>
      </c>
      <c r="U468" s="18">
        <f t="shared" si="206"/>
        <v>2.6220238095238093</v>
      </c>
      <c r="V468" s="58" t="s">
        <v>446</v>
      </c>
      <c r="W468" s="77">
        <f t="shared" si="207"/>
        <v>1</v>
      </c>
      <c r="X468" s="1" t="str">
        <f>VLOOKUP(A468,Data_Echipe!A:R,18,0)</f>
        <v>Almost Kenyan Runners</v>
      </c>
      <c r="Z468" s="115">
        <f t="shared" si="208"/>
        <v>1</v>
      </c>
    </row>
    <row r="469" spans="1:26" x14ac:dyDescent="0.3">
      <c r="A469" s="49" t="s">
        <v>403</v>
      </c>
      <c r="B469" s="1" t="str">
        <f>VLOOKUP(A469,Participanti!A:B,2,0)</f>
        <v>M</v>
      </c>
      <c r="C469" s="74">
        <v>6</v>
      </c>
      <c r="D469" s="50">
        <v>22.41</v>
      </c>
      <c r="E469" s="51">
        <v>9.6354166666666671E-2</v>
      </c>
      <c r="F469" s="51">
        <v>9.644675925925926E-2</v>
      </c>
      <c r="G469" s="69">
        <f t="shared" si="202"/>
        <v>9.6400462962962966E-2</v>
      </c>
      <c r="H469" s="52">
        <v>151</v>
      </c>
      <c r="I469" s="12">
        <f t="shared" si="203"/>
        <v>4.3016717074057546E-3</v>
      </c>
      <c r="J469" s="37">
        <f t="shared" si="204"/>
        <v>5</v>
      </c>
      <c r="K469" s="37">
        <f>IF(J469=0,0,IF(B469="F",VLOOKUP(I469,Barem!$G$2:$H$16,2,1),VLOOKUP(I469,Barem!$G$17:$H$31,2,1)))</f>
        <v>1.25</v>
      </c>
      <c r="L469" s="50">
        <v>4</v>
      </c>
      <c r="M469" s="124" t="s">
        <v>207</v>
      </c>
      <c r="N469" s="10">
        <f t="shared" si="209"/>
        <v>0.25</v>
      </c>
      <c r="O469" s="10">
        <f t="shared" si="209"/>
        <v>0.25</v>
      </c>
      <c r="P469" s="10">
        <f t="shared" si="209"/>
        <v>0.5</v>
      </c>
      <c r="Q469" s="40">
        <f t="shared" si="205"/>
        <v>0.10066666666666667</v>
      </c>
      <c r="R469" s="21">
        <f>IF(D469&gt;21,VLOOKUP(D469,Barem!$T$1:$U$141,2,1),0)</f>
        <v>0</v>
      </c>
      <c r="S469" s="152">
        <f>IF(D469&lt;1.609,0,IF(B469="F",VLOOKUP(I469,Barem!$X$2:$Z$13,2,1),VLOOKUP(I469,Barem!$X$14:$Z$25,2,1)))</f>
        <v>0</v>
      </c>
      <c r="T469" s="21">
        <f>VLOOKUP(A469,Participanti!A:C,3,0)</f>
        <v>0</v>
      </c>
      <c r="U469" s="18">
        <f t="shared" si="206"/>
        <v>3.6631666666666667</v>
      </c>
      <c r="V469" s="58" t="s">
        <v>446</v>
      </c>
      <c r="W469" s="77">
        <f t="shared" si="207"/>
        <v>1</v>
      </c>
      <c r="X469" s="1" t="str">
        <f>VLOOKUP(A469,Data_Echipe!A:R,18,0)</f>
        <v>The GOATs</v>
      </c>
      <c r="Z469" s="115">
        <f t="shared" si="208"/>
        <v>1</v>
      </c>
    </row>
    <row r="470" spans="1:26" x14ac:dyDescent="0.3">
      <c r="A470" s="49" t="s">
        <v>283</v>
      </c>
      <c r="B470" s="1" t="str">
        <f>VLOOKUP(A470,Participanti!A:B,2,0)</f>
        <v>M</v>
      </c>
      <c r="C470" s="74">
        <v>6</v>
      </c>
      <c r="D470" s="50">
        <v>25.01</v>
      </c>
      <c r="E470" s="51">
        <v>9.9687499999999998E-2</v>
      </c>
      <c r="F470" s="51">
        <v>0.10222222222222221</v>
      </c>
      <c r="G470" s="69">
        <f t="shared" si="202"/>
        <v>0.1009548611111111</v>
      </c>
      <c r="H470" s="52">
        <v>126</v>
      </c>
      <c r="I470" s="12">
        <f t="shared" si="203"/>
        <v>4.0365798125194356E-3</v>
      </c>
      <c r="J470" s="37">
        <f t="shared" si="204"/>
        <v>5</v>
      </c>
      <c r="K470" s="37">
        <f>IF(J470=0,0,IF(B470="F",VLOOKUP(I470,Barem!$G$2:$H$16,2,1),VLOOKUP(I470,Barem!$G$17:$H$31,2,1)))</f>
        <v>1.5</v>
      </c>
      <c r="L470" s="50">
        <v>5</v>
      </c>
      <c r="M470" s="124" t="s">
        <v>207</v>
      </c>
      <c r="N470" s="10">
        <f t="shared" si="209"/>
        <v>0.25</v>
      </c>
      <c r="O470" s="10">
        <f t="shared" si="209"/>
        <v>0.25</v>
      </c>
      <c r="P470" s="10">
        <f t="shared" si="209"/>
        <v>0.5</v>
      </c>
      <c r="Q470" s="40">
        <f t="shared" si="205"/>
        <v>8.4000000000000005E-2</v>
      </c>
      <c r="R470" s="21">
        <f>IF(D470&gt;21,VLOOKUP(D470,Barem!$T$1:$U$141,2,1),0)</f>
        <v>0.2</v>
      </c>
      <c r="S470" s="152">
        <f>IF(D470&lt;1.609,0,IF(B470="F",VLOOKUP(I470,Barem!$X$2:$Z$13,2,1),VLOOKUP(I470,Barem!$X$14:$Z$25,2,1)))</f>
        <v>0</v>
      </c>
      <c r="T470" s="21">
        <f>VLOOKUP(A470,Participanti!A:C,3,0)</f>
        <v>0</v>
      </c>
      <c r="U470" s="18">
        <f t="shared" si="206"/>
        <v>4.4089999999999998</v>
      </c>
      <c r="V470" s="58" t="s">
        <v>446</v>
      </c>
      <c r="W470" s="77">
        <f t="shared" si="207"/>
        <v>1</v>
      </c>
      <c r="X470" s="1" t="str">
        <f>VLOOKUP(A470,Data_Echipe!A:R,18,0)</f>
        <v>The GOATs</v>
      </c>
      <c r="Z470" s="115">
        <f t="shared" si="208"/>
        <v>1</v>
      </c>
    </row>
    <row r="471" spans="1:26" x14ac:dyDescent="0.3">
      <c r="A471" s="49" t="s">
        <v>344</v>
      </c>
      <c r="B471" s="1" t="str">
        <f>VLOOKUP(A471,Participanti!A:B,2,0)</f>
        <v>F</v>
      </c>
      <c r="C471" s="74">
        <v>6</v>
      </c>
      <c r="D471" s="50">
        <v>21.05</v>
      </c>
      <c r="E471" s="51">
        <v>9.0115740740740746E-2</v>
      </c>
      <c r="F471" s="51">
        <v>9.0347222222222232E-2</v>
      </c>
      <c r="G471" s="69">
        <f t="shared" si="202"/>
        <v>9.0231481481481496E-2</v>
      </c>
      <c r="H471" s="52">
        <v>110</v>
      </c>
      <c r="I471" s="12">
        <f t="shared" si="203"/>
        <v>4.2865311867687174E-3</v>
      </c>
      <c r="J471" s="37">
        <f t="shared" si="204"/>
        <v>5</v>
      </c>
      <c r="K471" s="37">
        <f>IF(J471=0,0,IF(B471="F",VLOOKUP(I471,Barem!$G$2:$H$16,2,1),VLOOKUP(I471,Barem!$G$17:$H$31,2,1)))</f>
        <v>1.75</v>
      </c>
      <c r="L471" s="50">
        <v>3.75</v>
      </c>
      <c r="M471" s="124" t="s">
        <v>207</v>
      </c>
      <c r="N471" s="10">
        <f t="shared" si="209"/>
        <v>0.25</v>
      </c>
      <c r="O471" s="10">
        <f t="shared" si="209"/>
        <v>0.25</v>
      </c>
      <c r="P471" s="10">
        <f t="shared" si="209"/>
        <v>0.5</v>
      </c>
      <c r="Q471" s="40">
        <f t="shared" si="205"/>
        <v>7.3333333333333334E-2</v>
      </c>
      <c r="R471" s="21">
        <f>IF(D471&gt;21,VLOOKUP(D471,Barem!$T$1:$U$141,2,1),0)</f>
        <v>0</v>
      </c>
      <c r="S471" s="152">
        <f>IF(D471&lt;1.609,0,IF(B471="F",VLOOKUP(I471,Barem!$X$2:$Z$13,2,1),VLOOKUP(I471,Barem!$X$14:$Z$25,2,1)))</f>
        <v>0</v>
      </c>
      <c r="T471" s="21">
        <f>VLOOKUP(A471,Participanti!A:C,3,0)</f>
        <v>0</v>
      </c>
      <c r="U471" s="18">
        <f t="shared" si="206"/>
        <v>3.6358333333333333</v>
      </c>
      <c r="V471" s="58" t="s">
        <v>446</v>
      </c>
      <c r="W471" s="77">
        <f t="shared" si="207"/>
        <v>1</v>
      </c>
      <c r="X471" s="1" t="e">
        <f>VLOOKUP(A471,Data_Echipe!A:R,18,0)</f>
        <v>#N/A</v>
      </c>
      <c r="Z471" s="115">
        <f t="shared" si="208"/>
        <v>1</v>
      </c>
    </row>
    <row r="472" spans="1:26" x14ac:dyDescent="0.3">
      <c r="A472" s="49" t="s">
        <v>430</v>
      </c>
      <c r="B472" s="1" t="str">
        <f>VLOOKUP(A472,Participanti!A:B,2,0)</f>
        <v>M</v>
      </c>
      <c r="C472" s="74">
        <v>6</v>
      </c>
      <c r="D472" s="50">
        <v>12</v>
      </c>
      <c r="E472" s="51">
        <v>4.1608796296296297E-2</v>
      </c>
      <c r="F472" s="51">
        <v>4.1608796296296297E-2</v>
      </c>
      <c r="G472" s="69">
        <f t="shared" si="202"/>
        <v>4.1608796296296297E-2</v>
      </c>
      <c r="H472" s="52"/>
      <c r="I472" s="12">
        <f t="shared" si="203"/>
        <v>3.4673996913580246E-3</v>
      </c>
      <c r="J472" s="37">
        <f t="shared" si="204"/>
        <v>2.8571428571428572</v>
      </c>
      <c r="K472" s="37">
        <f>IF(J472=0,0,IF(B472="F",VLOOKUP(I472,Barem!$G$2:$H$16,2,1),VLOOKUP(I472,Barem!$G$17:$H$31,2,1)))</f>
        <v>3</v>
      </c>
      <c r="L472" s="50">
        <v>1.25</v>
      </c>
      <c r="M472" s="124" t="s">
        <v>207</v>
      </c>
      <c r="N472" s="10">
        <f t="shared" si="209"/>
        <v>0.25</v>
      </c>
      <c r="O472" s="10">
        <f t="shared" si="209"/>
        <v>0.25</v>
      </c>
      <c r="P472" s="10">
        <f t="shared" si="209"/>
        <v>0.5</v>
      </c>
      <c r="Q472" s="40">
        <f t="shared" si="205"/>
        <v>0</v>
      </c>
      <c r="R472" s="21">
        <f>IF(D472&gt;21,VLOOKUP(D472,Barem!$T$1:$U$141,2,1),0)</f>
        <v>0</v>
      </c>
      <c r="S472" s="152">
        <f>IF(D472&lt;1.609,0,IF(B472="F",VLOOKUP(I472,Barem!$X$2:$Z$13,2,1),VLOOKUP(I472,Barem!$X$14:$Z$25,2,1)))</f>
        <v>0</v>
      </c>
      <c r="T472" s="21">
        <f>VLOOKUP(A472,Participanti!A:C,3,0)</f>
        <v>0</v>
      </c>
      <c r="U472" s="18">
        <f t="shared" si="206"/>
        <v>2.0892857142857144</v>
      </c>
      <c r="V472" s="58" t="s">
        <v>446</v>
      </c>
      <c r="W472" s="77">
        <f t="shared" si="207"/>
        <v>1</v>
      </c>
      <c r="X472" s="1" t="e">
        <f>VLOOKUP(A472,Data_Echipe!A:R,18,0)</f>
        <v>#N/A</v>
      </c>
      <c r="Z472" s="115">
        <f t="shared" si="208"/>
        <v>1</v>
      </c>
    </row>
    <row r="473" spans="1:26" x14ac:dyDescent="0.3">
      <c r="A473" s="49" t="s">
        <v>203</v>
      </c>
      <c r="B473" s="1" t="str">
        <f>VLOOKUP(A473,Participanti!A:B,2,0)</f>
        <v>M</v>
      </c>
      <c r="C473" s="74">
        <v>6</v>
      </c>
      <c r="D473" s="50">
        <v>21.12</v>
      </c>
      <c r="E473" s="51">
        <v>7.1967592592592597E-2</v>
      </c>
      <c r="F473" s="51">
        <v>7.2928240740740738E-2</v>
      </c>
      <c r="G473" s="69">
        <f t="shared" si="202"/>
        <v>7.2447916666666667E-2</v>
      </c>
      <c r="H473" s="52"/>
      <c r="I473" s="12">
        <f t="shared" si="203"/>
        <v>3.4302990845959595E-3</v>
      </c>
      <c r="J473" s="37">
        <f t="shared" si="204"/>
        <v>5</v>
      </c>
      <c r="K473" s="37">
        <f>IF(J473=0,0,IF(B473="F",VLOOKUP(I473,Barem!$G$2:$H$16,2,1),VLOOKUP(I473,Barem!$G$17:$H$31,2,1)))</f>
        <v>3</v>
      </c>
      <c r="L473" s="50">
        <v>3.75</v>
      </c>
      <c r="M473" s="124" t="s">
        <v>207</v>
      </c>
      <c r="N473" s="10">
        <f t="shared" si="209"/>
        <v>0.25</v>
      </c>
      <c r="O473" s="10">
        <f t="shared" si="209"/>
        <v>0.25</v>
      </c>
      <c r="P473" s="10">
        <f t="shared" si="209"/>
        <v>0.5</v>
      </c>
      <c r="Q473" s="40">
        <f t="shared" si="205"/>
        <v>0</v>
      </c>
      <c r="R473" s="21">
        <f>IF(D473&gt;21,VLOOKUP(D473,Barem!$T$1:$U$141,2,1),0)</f>
        <v>0</v>
      </c>
      <c r="S473" s="152">
        <f>IF(D473&lt;1.609,0,IF(B473="F",VLOOKUP(I473,Barem!$X$2:$Z$13,2,1),VLOOKUP(I473,Barem!$X$14:$Z$25,2,1)))</f>
        <v>0</v>
      </c>
      <c r="T473" s="21">
        <f>VLOOKUP(A473,Participanti!A:C,3,0)</f>
        <v>0</v>
      </c>
      <c r="U473" s="18">
        <f t="shared" si="206"/>
        <v>3.875</v>
      </c>
      <c r="V473" s="58" t="s">
        <v>446</v>
      </c>
      <c r="W473" s="77">
        <f t="shared" si="207"/>
        <v>1</v>
      </c>
      <c r="X473" s="1" t="str">
        <f>VLOOKUP(A473,Data_Echipe!A:R,18,0)</f>
        <v>The GOATs</v>
      </c>
      <c r="Z473" s="115">
        <f t="shared" si="208"/>
        <v>1</v>
      </c>
    </row>
    <row r="474" spans="1:26" x14ac:dyDescent="0.3">
      <c r="A474" s="49" t="s">
        <v>296</v>
      </c>
      <c r="B474" s="1" t="str">
        <f>VLOOKUP(A474,Participanti!A:B,2,0)</f>
        <v>M</v>
      </c>
      <c r="C474" s="74">
        <v>6</v>
      </c>
      <c r="D474" s="50">
        <v>4.3099999999999996</v>
      </c>
      <c r="E474" s="51">
        <v>4.8206018518518523E-2</v>
      </c>
      <c r="F474" s="51">
        <v>7.8657407407407412E-2</v>
      </c>
      <c r="G474" s="69">
        <f t="shared" si="202"/>
        <v>6.3431712962962961E-2</v>
      </c>
      <c r="H474" s="52"/>
      <c r="I474" s="12">
        <f t="shared" si="203"/>
        <v>1.4717334794190944E-2</v>
      </c>
      <c r="J474" s="37">
        <f t="shared" si="204"/>
        <v>1.0261904761904761</v>
      </c>
      <c r="K474" s="37">
        <f>IF(J474=0,0,IF(B474="F",VLOOKUP(I474,Barem!$G$2:$H$16,2,1),VLOOKUP(I474,Barem!$G$17:$H$31,2,1)))</f>
        <v>0</v>
      </c>
      <c r="L474" s="50">
        <v>3.25</v>
      </c>
      <c r="M474" s="124" t="s">
        <v>207</v>
      </c>
      <c r="N474" s="10">
        <f t="shared" si="209"/>
        <v>0.25</v>
      </c>
      <c r="O474" s="10">
        <f t="shared" si="209"/>
        <v>0.25</v>
      </c>
      <c r="P474" s="10">
        <f t="shared" si="209"/>
        <v>0.5</v>
      </c>
      <c r="Q474" s="40">
        <f t="shared" si="205"/>
        <v>0</v>
      </c>
      <c r="R474" s="21">
        <f>IF(D474&gt;21,VLOOKUP(D474,Barem!$T$1:$U$141,2,1),0)</f>
        <v>0</v>
      </c>
      <c r="S474" s="152">
        <f>IF(D474&lt;1.609,0,IF(B474="F",VLOOKUP(I474,Barem!$X$2:$Z$13,2,1),VLOOKUP(I474,Barem!$X$14:$Z$25,2,1)))</f>
        <v>0</v>
      </c>
      <c r="T474" s="21">
        <f>VLOOKUP(A474,Participanti!A:C,3,0)</f>
        <v>0</v>
      </c>
      <c r="U474" s="18">
        <f t="shared" si="206"/>
        <v>1.881547619047619</v>
      </c>
      <c r="V474" s="58" t="s">
        <v>446</v>
      </c>
      <c r="W474" s="77">
        <f t="shared" si="207"/>
        <v>1</v>
      </c>
      <c r="X474" s="1" t="str">
        <f>VLOOKUP(A474,Data_Echipe!A:R,18,0)</f>
        <v>MedgidiaRunning</v>
      </c>
      <c r="Z474" s="115">
        <f t="shared" si="208"/>
        <v>0</v>
      </c>
    </row>
    <row r="475" spans="1:26" x14ac:dyDescent="0.3">
      <c r="A475" s="49" t="s">
        <v>128</v>
      </c>
      <c r="B475" s="1" t="str">
        <f>VLOOKUP(A475,Participanti!A:B,2,0)</f>
        <v>M</v>
      </c>
      <c r="C475" s="74">
        <v>6</v>
      </c>
      <c r="D475" s="50">
        <v>25</v>
      </c>
      <c r="E475" s="51">
        <v>8.5104166666666661E-2</v>
      </c>
      <c r="F475" s="51">
        <v>8.5104166666666661E-2</v>
      </c>
      <c r="G475" s="69">
        <f t="shared" si="202"/>
        <v>8.5104166666666661E-2</v>
      </c>
      <c r="H475" s="52"/>
      <c r="I475" s="12">
        <f t="shared" si="203"/>
        <v>3.4041666666666665E-3</v>
      </c>
      <c r="J475" s="37">
        <f t="shared" si="204"/>
        <v>5</v>
      </c>
      <c r="K475" s="37">
        <f>IF(J475=0,0,IF(B475="F",VLOOKUP(I475,Barem!$G$2:$H$16,2,1),VLOOKUP(I475,Barem!$G$17:$H$31,2,1)))</f>
        <v>3</v>
      </c>
      <c r="L475" s="50">
        <v>3.25</v>
      </c>
      <c r="M475" s="124" t="s">
        <v>207</v>
      </c>
      <c r="N475" s="10">
        <f t="shared" si="209"/>
        <v>0.25</v>
      </c>
      <c r="O475" s="10">
        <f t="shared" si="209"/>
        <v>0.25</v>
      </c>
      <c r="P475" s="10">
        <f t="shared" si="209"/>
        <v>0.5</v>
      </c>
      <c r="Q475" s="40">
        <f t="shared" si="205"/>
        <v>0</v>
      </c>
      <c r="R475" s="21">
        <f>IF(D475&gt;21,VLOOKUP(D475,Barem!$T$1:$U$141,2,1),0)</f>
        <v>0.2</v>
      </c>
      <c r="S475" s="152">
        <f>IF(D475&lt;1.609,0,IF(B475="F",VLOOKUP(I475,Barem!$X$2:$Z$13,2,1),VLOOKUP(I475,Barem!$X$14:$Z$25,2,1)))</f>
        <v>0</v>
      </c>
      <c r="T475" s="21">
        <f>VLOOKUP(A475,Participanti!A:C,3,0)</f>
        <v>0</v>
      </c>
      <c r="U475" s="18">
        <f t="shared" si="206"/>
        <v>3.8250000000000002</v>
      </c>
      <c r="V475" s="58" t="s">
        <v>446</v>
      </c>
      <c r="W475" s="77">
        <f t="shared" si="207"/>
        <v>1</v>
      </c>
      <c r="X475" s="1" t="str">
        <f>VLOOKUP(A475,Data_Echipe!A:R,18,0)</f>
        <v>Almost Kenyan Runners</v>
      </c>
      <c r="Z475" s="115">
        <f t="shared" si="208"/>
        <v>1</v>
      </c>
    </row>
    <row r="476" spans="1:26" x14ac:dyDescent="0.3">
      <c r="A476" s="49" t="s">
        <v>361</v>
      </c>
      <c r="B476" s="1" t="str">
        <f>VLOOKUP(A476,Participanti!A:B,2,0)</f>
        <v>M</v>
      </c>
      <c r="C476" s="74">
        <v>6</v>
      </c>
      <c r="D476" s="50">
        <v>21.14</v>
      </c>
      <c r="E476" s="51">
        <v>6.2094907407407411E-2</v>
      </c>
      <c r="F476" s="51">
        <v>6.5416666666666665E-2</v>
      </c>
      <c r="G476" s="69">
        <f t="shared" si="202"/>
        <v>6.3755787037037034E-2</v>
      </c>
      <c r="H476" s="52"/>
      <c r="I476" s="12">
        <f t="shared" si="203"/>
        <v>3.0158839658011843E-3</v>
      </c>
      <c r="J476" s="37">
        <f t="shared" si="204"/>
        <v>5</v>
      </c>
      <c r="K476" s="37">
        <f>IF(J476=0,0,IF(B476="F",VLOOKUP(I476,Barem!$G$2:$H$16,2,1),VLOOKUP(I476,Barem!$G$17:$H$31,2,1)))</f>
        <v>4</v>
      </c>
      <c r="L476" s="50">
        <v>1.25</v>
      </c>
      <c r="M476" s="124" t="s">
        <v>207</v>
      </c>
      <c r="N476" s="10">
        <f t="shared" si="209"/>
        <v>0.25</v>
      </c>
      <c r="O476" s="10">
        <f t="shared" si="209"/>
        <v>0.25</v>
      </c>
      <c r="P476" s="10">
        <f t="shared" si="209"/>
        <v>0.5</v>
      </c>
      <c r="Q476" s="40">
        <f t="shared" si="205"/>
        <v>0</v>
      </c>
      <c r="R476" s="21">
        <f>IF(D476&gt;21,VLOOKUP(D476,Barem!$T$1:$U$141,2,1),0)</f>
        <v>0</v>
      </c>
      <c r="S476" s="152">
        <f>IF(D476&lt;1.609,0,IF(B476="F",VLOOKUP(I476,Barem!$X$2:$Z$13,2,1),VLOOKUP(I476,Barem!$X$14:$Z$25,2,1)))</f>
        <v>0</v>
      </c>
      <c r="T476" s="21">
        <f>VLOOKUP(A476,Participanti!A:C,3,0)</f>
        <v>0</v>
      </c>
      <c r="U476" s="18">
        <f t="shared" si="206"/>
        <v>2.875</v>
      </c>
      <c r="V476" s="58" t="s">
        <v>446</v>
      </c>
      <c r="W476" s="77">
        <f t="shared" si="207"/>
        <v>1</v>
      </c>
      <c r="X476" s="1" t="str">
        <f>VLOOKUP(A476,Data_Echipe!A:R,18,0)</f>
        <v>UltraHaita lu' Borcan</v>
      </c>
      <c r="Z476" s="115">
        <f t="shared" si="208"/>
        <v>1</v>
      </c>
    </row>
    <row r="477" spans="1:26" x14ac:dyDescent="0.3">
      <c r="A477" s="49" t="s">
        <v>132</v>
      </c>
      <c r="B477" s="1" t="str">
        <f>VLOOKUP(A477,Participanti!A:B,2,0)</f>
        <v>F</v>
      </c>
      <c r="C477" s="74">
        <v>6</v>
      </c>
      <c r="D477" s="50">
        <v>10.130000000000001</v>
      </c>
      <c r="E477" s="51">
        <v>4.1701388888888885E-2</v>
      </c>
      <c r="F477" s="51">
        <v>4.3263888888888886E-2</v>
      </c>
      <c r="G477" s="69">
        <f t="shared" si="202"/>
        <v>4.2482638888888882E-2</v>
      </c>
      <c r="H477" s="52"/>
      <c r="I477" s="12">
        <f t="shared" si="203"/>
        <v>4.1937452012723473E-3</v>
      </c>
      <c r="J477" s="37">
        <f t="shared" si="204"/>
        <v>2.5325000000000002</v>
      </c>
      <c r="K477" s="37">
        <f>IF(J477=0,0,IF(B477="F",VLOOKUP(I477,Barem!$G$2:$H$16,2,1),VLOOKUP(I477,Barem!$G$17:$H$31,2,1)))</f>
        <v>1.75</v>
      </c>
      <c r="L477" s="50">
        <v>3.75</v>
      </c>
      <c r="M477" s="124" t="s">
        <v>207</v>
      </c>
      <c r="N477" s="10">
        <f t="shared" si="209"/>
        <v>0.25</v>
      </c>
      <c r="O477" s="10">
        <f t="shared" si="209"/>
        <v>0.25</v>
      </c>
      <c r="P477" s="10">
        <f t="shared" si="209"/>
        <v>0.5</v>
      </c>
      <c r="Q477" s="40">
        <f t="shared" si="205"/>
        <v>0</v>
      </c>
      <c r="R477" s="21">
        <f>IF(D477&gt;21,VLOOKUP(D477,Barem!$T$1:$U$141,2,1),0)</f>
        <v>0</v>
      </c>
      <c r="S477" s="152">
        <f>IF(D477&lt;1.609,0,IF(B477="F",VLOOKUP(I477,Barem!$X$2:$Z$13,2,1),VLOOKUP(I477,Barem!$X$14:$Z$25,2,1)))</f>
        <v>0</v>
      </c>
      <c r="T477" s="21">
        <f>VLOOKUP(A477,Participanti!A:C,3,0)</f>
        <v>0</v>
      </c>
      <c r="U477" s="18">
        <f t="shared" si="206"/>
        <v>2.9456250000000002</v>
      </c>
      <c r="V477" s="58" t="s">
        <v>446</v>
      </c>
      <c r="W477" s="77">
        <f t="shared" si="207"/>
        <v>1</v>
      </c>
      <c r="X477" s="1" t="str">
        <f>VLOOKUP(A477,Data_Echipe!A:R,18,0)</f>
        <v>MedgidiaRunning</v>
      </c>
      <c r="Z477" s="115">
        <f t="shared" si="208"/>
        <v>1</v>
      </c>
    </row>
    <row r="478" spans="1:26" x14ac:dyDescent="0.3">
      <c r="A478" s="49" t="s">
        <v>332</v>
      </c>
      <c r="B478" s="1" t="str">
        <f>VLOOKUP(A478,Participanti!A:B,2,0)</f>
        <v>M</v>
      </c>
      <c r="C478" s="74">
        <v>6</v>
      </c>
      <c r="D478" s="50">
        <v>15.07</v>
      </c>
      <c r="E478" s="51">
        <v>5.4618055555555552E-2</v>
      </c>
      <c r="F478" s="51">
        <v>5.966435185185185E-2</v>
      </c>
      <c r="G478" s="69">
        <f t="shared" si="202"/>
        <v>5.7141203703703701E-2</v>
      </c>
      <c r="H478" s="52"/>
      <c r="I478" s="12">
        <f t="shared" si="203"/>
        <v>3.7917188920838555E-3</v>
      </c>
      <c r="J478" s="37">
        <f t="shared" si="204"/>
        <v>3.5880952380952382</v>
      </c>
      <c r="K478" s="37">
        <f>IF(J478=0,0,IF(B478="F",VLOOKUP(I478,Barem!$G$2:$H$16,2,1),VLOOKUP(I478,Barem!$G$17:$H$31,2,1)))</f>
        <v>2</v>
      </c>
      <c r="L478" s="50">
        <v>4</v>
      </c>
      <c r="M478" s="124" t="s">
        <v>207</v>
      </c>
      <c r="N478" s="10">
        <f t="shared" si="209"/>
        <v>0.25</v>
      </c>
      <c r="O478" s="10">
        <f t="shared" si="209"/>
        <v>0.25</v>
      </c>
      <c r="P478" s="10">
        <f t="shared" si="209"/>
        <v>0.5</v>
      </c>
      <c r="Q478" s="40">
        <f t="shared" si="205"/>
        <v>0</v>
      </c>
      <c r="R478" s="21">
        <f>IF(D478&gt;21,VLOOKUP(D478,Barem!$T$1:$U$141,2,1),0)</f>
        <v>0</v>
      </c>
      <c r="S478" s="152">
        <f>IF(D478&lt;1.609,0,IF(B478="F",VLOOKUP(I478,Barem!$X$2:$Z$13,2,1),VLOOKUP(I478,Barem!$X$14:$Z$25,2,1)))</f>
        <v>0</v>
      </c>
      <c r="T478" s="21">
        <f>VLOOKUP(A478,Participanti!A:C,3,0)</f>
        <v>0.4</v>
      </c>
      <c r="U478" s="18">
        <f t="shared" si="206"/>
        <v>3.7970238095238096</v>
      </c>
      <c r="V478" s="58" t="s">
        <v>446</v>
      </c>
      <c r="W478" s="77">
        <f t="shared" si="207"/>
        <v>1</v>
      </c>
      <c r="X478" s="1" t="str">
        <f>VLOOKUP(A478,Data_Echipe!A:R,18,0)</f>
        <v>MedgidiaRunning</v>
      </c>
      <c r="Z478" s="115">
        <f t="shared" si="208"/>
        <v>1</v>
      </c>
    </row>
    <row r="479" spans="1:26" x14ac:dyDescent="0.3">
      <c r="A479" s="49" t="s">
        <v>245</v>
      </c>
      <c r="B479" s="1" t="str">
        <f>VLOOKUP(A479,Participanti!A:B,2,0)</f>
        <v>M</v>
      </c>
      <c r="C479" s="74">
        <v>6</v>
      </c>
      <c r="D479" s="50">
        <v>21.08</v>
      </c>
      <c r="E479" s="51">
        <v>9.3078703703703705E-2</v>
      </c>
      <c r="F479" s="51">
        <v>9.3645833333333331E-2</v>
      </c>
      <c r="G479" s="69">
        <f t="shared" si="202"/>
        <v>9.3362268518518518E-2</v>
      </c>
      <c r="H479" s="52"/>
      <c r="I479" s="12">
        <f t="shared" si="203"/>
        <v>4.4289501194743133E-3</v>
      </c>
      <c r="J479" s="37">
        <f t="shared" si="204"/>
        <v>5</v>
      </c>
      <c r="K479" s="37">
        <f>IF(J479=0,0,IF(B479="F",VLOOKUP(I479,Barem!$G$2:$H$16,2,1),VLOOKUP(I479,Barem!$G$17:$H$31,2,1)))</f>
        <v>1</v>
      </c>
      <c r="L479" s="50">
        <v>2.75</v>
      </c>
      <c r="M479" s="124" t="s">
        <v>106</v>
      </c>
      <c r="N479" s="10">
        <f t="shared" si="209"/>
        <v>0.5</v>
      </c>
      <c r="O479" s="10">
        <f t="shared" si="209"/>
        <v>0.25</v>
      </c>
      <c r="P479" s="10">
        <f t="shared" si="209"/>
        <v>0.25</v>
      </c>
      <c r="Q479" s="40">
        <f t="shared" si="205"/>
        <v>0</v>
      </c>
      <c r="R479" s="21">
        <f>IF(D479&gt;21,VLOOKUP(D479,Barem!$T$1:$U$141,2,1),0)</f>
        <v>0</v>
      </c>
      <c r="S479" s="152">
        <f>IF(D479&lt;1.609,0,IF(B479="F",VLOOKUP(I479,Barem!$X$2:$Z$13,2,1),VLOOKUP(I479,Barem!$X$14:$Z$25,2,1)))</f>
        <v>0</v>
      </c>
      <c r="T479" s="21">
        <f>VLOOKUP(A479,Participanti!A:C,3,0)</f>
        <v>0</v>
      </c>
      <c r="U479" s="18">
        <f t="shared" si="206"/>
        <v>3.4375</v>
      </c>
      <c r="V479" s="58" t="s">
        <v>446</v>
      </c>
      <c r="W479" s="77">
        <f t="shared" si="207"/>
        <v>1</v>
      </c>
      <c r="X479" s="1" t="str">
        <f>VLOOKUP(A479,Data_Echipe!A:R,18,0)</f>
        <v>#notSYRious</v>
      </c>
      <c r="Z479" s="115">
        <f t="shared" si="208"/>
        <v>1</v>
      </c>
    </row>
    <row r="480" spans="1:26" x14ac:dyDescent="0.3">
      <c r="A480" s="49" t="s">
        <v>347</v>
      </c>
      <c r="B480" s="1" t="str">
        <f>VLOOKUP(A480,Participanti!A:B,2,0)</f>
        <v>F</v>
      </c>
      <c r="C480" s="74">
        <v>6</v>
      </c>
      <c r="D480" s="50">
        <v>10.08</v>
      </c>
      <c r="E480" s="51">
        <v>3.8368055555555551E-2</v>
      </c>
      <c r="F480" s="51">
        <v>3.9710648148148148E-2</v>
      </c>
      <c r="G480" s="69">
        <f t="shared" si="202"/>
        <v>3.9039351851851853E-2</v>
      </c>
      <c r="H480" s="52">
        <v>142</v>
      </c>
      <c r="I480" s="12">
        <f t="shared" si="203"/>
        <v>3.8729515726043506E-3</v>
      </c>
      <c r="J480" s="37">
        <f t="shared" si="204"/>
        <v>2.52</v>
      </c>
      <c r="K480" s="37">
        <f>IF(J480=0,0,IF(B480="F",VLOOKUP(I480,Barem!$G$2:$H$16,2,1),VLOOKUP(I480,Barem!$G$17:$H$31,2,1)))</f>
        <v>2.5</v>
      </c>
      <c r="L480" s="50">
        <v>3.25</v>
      </c>
      <c r="M480" s="124" t="s">
        <v>207</v>
      </c>
      <c r="N480" s="10">
        <f t="shared" si="209"/>
        <v>0.25</v>
      </c>
      <c r="O480" s="10">
        <f t="shared" si="209"/>
        <v>0.25</v>
      </c>
      <c r="P480" s="10">
        <f t="shared" si="209"/>
        <v>0.5</v>
      </c>
      <c r="Q480" s="40">
        <f t="shared" si="205"/>
        <v>9.4666666666666663E-2</v>
      </c>
      <c r="R480" s="21">
        <f>IF(D480&gt;21,VLOOKUP(D480,Barem!$T$1:$U$141,2,1),0)</f>
        <v>0</v>
      </c>
      <c r="S480" s="152">
        <f>IF(D480&lt;1.609,0,IF(B480="F",VLOOKUP(I480,Barem!$X$2:$Z$13,2,1),VLOOKUP(I480,Barem!$X$14:$Z$25,2,1)))</f>
        <v>0</v>
      </c>
      <c r="T480" s="21">
        <f>VLOOKUP(A480,Participanti!A:C,3,0)</f>
        <v>0</v>
      </c>
      <c r="U480" s="18">
        <f t="shared" si="206"/>
        <v>2.9746666666666663</v>
      </c>
      <c r="V480" s="58" t="s">
        <v>446</v>
      </c>
      <c r="W480" s="77">
        <f t="shared" si="207"/>
        <v>1</v>
      </c>
      <c r="X480" s="1" t="str">
        <f>VLOOKUP(A480,Data_Echipe!A:R,18,0)</f>
        <v>MedgidiaRunning</v>
      </c>
      <c r="Z480" s="115">
        <f t="shared" si="208"/>
        <v>1</v>
      </c>
    </row>
    <row r="481" spans="1:26" x14ac:dyDescent="0.3">
      <c r="A481" s="49" t="s">
        <v>208</v>
      </c>
      <c r="B481" s="1" t="str">
        <f>VLOOKUP(A481,Participanti!A:B,2,0)</f>
        <v>M</v>
      </c>
      <c r="C481" s="74">
        <v>6</v>
      </c>
      <c r="D481" s="50">
        <v>22.27</v>
      </c>
      <c r="E481" s="51">
        <v>0.12641203703703704</v>
      </c>
      <c r="F481" s="51">
        <v>0.13392361111111112</v>
      </c>
      <c r="G481" s="69">
        <f t="shared" si="202"/>
        <v>0.13016782407407407</v>
      </c>
      <c r="H481" s="52">
        <v>984</v>
      </c>
      <c r="I481" s="12">
        <f t="shared" si="203"/>
        <v>5.8449853647990152E-3</v>
      </c>
      <c r="J481" s="37">
        <f t="shared" si="204"/>
        <v>5</v>
      </c>
      <c r="K481" s="37">
        <f>IF(J481=0,0,IF(B481="F",VLOOKUP(I481,Barem!$G$2:$H$16,2,1),VLOOKUP(I481,Barem!$G$17:$H$31,2,1)))</f>
        <v>0</v>
      </c>
      <c r="L481" s="50">
        <v>2.75</v>
      </c>
      <c r="M481" s="124" t="s">
        <v>207</v>
      </c>
      <c r="N481" s="10">
        <f t="shared" si="209"/>
        <v>0.25</v>
      </c>
      <c r="O481" s="10">
        <f t="shared" si="209"/>
        <v>0.25</v>
      </c>
      <c r="P481" s="10">
        <f t="shared" si="209"/>
        <v>0.5</v>
      </c>
      <c r="Q481" s="40">
        <f t="shared" si="205"/>
        <v>0.65600000000000003</v>
      </c>
      <c r="R481" s="21">
        <f>IF(D481&gt;21,VLOOKUP(D481,Barem!$T$1:$U$141,2,1),0)</f>
        <v>0</v>
      </c>
      <c r="S481" s="152">
        <f>IF(D481&lt;1.609,0,IF(B481="F",VLOOKUP(I481,Barem!$X$2:$Z$13,2,1),VLOOKUP(I481,Barem!$X$14:$Z$25,2,1)))</f>
        <v>0</v>
      </c>
      <c r="T481" s="21">
        <f>VLOOKUP(A481,Participanti!A:C,3,0)</f>
        <v>0</v>
      </c>
      <c r="U481" s="18">
        <f t="shared" si="206"/>
        <v>3.2810000000000001</v>
      </c>
      <c r="V481" s="58" t="s">
        <v>446</v>
      </c>
      <c r="W481" s="77">
        <f t="shared" si="207"/>
        <v>1</v>
      </c>
      <c r="X481" s="1" t="e">
        <f>VLOOKUP(A481,Data_Echipe!A:R,18,0)</f>
        <v>#N/A</v>
      </c>
      <c r="Z481" s="115">
        <f t="shared" si="208"/>
        <v>0</v>
      </c>
    </row>
    <row r="482" spans="1:26" x14ac:dyDescent="0.3">
      <c r="A482" s="49" t="s">
        <v>225</v>
      </c>
      <c r="B482" s="1" t="str">
        <f>VLOOKUP(A482,Participanti!A:B,2,0)</f>
        <v>F</v>
      </c>
      <c r="C482" s="74">
        <v>6</v>
      </c>
      <c r="D482" s="50">
        <v>16.010000000000002</v>
      </c>
      <c r="E482" s="51">
        <v>5.7118055555555554E-2</v>
      </c>
      <c r="F482" s="51">
        <v>5.7997685185185187E-2</v>
      </c>
      <c r="G482" s="69">
        <f t="shared" si="202"/>
        <v>5.755787037037037E-2</v>
      </c>
      <c r="H482" s="52">
        <v>76</v>
      </c>
      <c r="I482" s="12">
        <f t="shared" si="203"/>
        <v>3.5951199481805349E-3</v>
      </c>
      <c r="J482" s="37">
        <f t="shared" si="204"/>
        <v>4.0025000000000004</v>
      </c>
      <c r="K482" s="37">
        <f>IF(J482=0,0,IF(B482="F",VLOOKUP(I482,Barem!$G$2:$H$16,2,1),VLOOKUP(I482,Barem!$G$17:$H$31,2,1)))</f>
        <v>3.5</v>
      </c>
      <c r="L482" s="50">
        <v>4.75</v>
      </c>
      <c r="M482" s="124" t="s">
        <v>207</v>
      </c>
      <c r="N482" s="10">
        <f t="shared" si="209"/>
        <v>0.25</v>
      </c>
      <c r="O482" s="10">
        <f t="shared" si="209"/>
        <v>0.25</v>
      </c>
      <c r="P482" s="10">
        <f t="shared" si="209"/>
        <v>0.5</v>
      </c>
      <c r="Q482" s="40">
        <f t="shared" si="205"/>
        <v>5.0666666666666665E-2</v>
      </c>
      <c r="R482" s="21">
        <f>IF(D482&gt;21,VLOOKUP(D482,Barem!$T$1:$U$141,2,1),0)</f>
        <v>0</v>
      </c>
      <c r="S482" s="152">
        <f>IF(D482&lt;1.609,0,IF(B482="F",VLOOKUP(I482,Barem!$X$2:$Z$13,2,1),VLOOKUP(I482,Barem!$X$14:$Z$25,2,1)))</f>
        <v>0</v>
      </c>
      <c r="T482" s="21">
        <f>VLOOKUP(A482,Participanti!A:C,3,0)</f>
        <v>0</v>
      </c>
      <c r="U482" s="18">
        <f t="shared" si="206"/>
        <v>4.3012916666666667</v>
      </c>
      <c r="V482" s="58" t="s">
        <v>446</v>
      </c>
      <c r="W482" s="77">
        <f t="shared" si="207"/>
        <v>1</v>
      </c>
      <c r="X482" s="1" t="str">
        <f>VLOOKUP(A482,Data_Echipe!A:R,18,0)</f>
        <v>The GOATs</v>
      </c>
      <c r="Z482" s="115">
        <f t="shared" si="208"/>
        <v>1</v>
      </c>
    </row>
    <row r="483" spans="1:26" x14ac:dyDescent="0.3">
      <c r="A483" s="49" t="s">
        <v>275</v>
      </c>
      <c r="B483" s="1" t="str">
        <f>VLOOKUP(A483,Participanti!A:B,2,0)</f>
        <v>M</v>
      </c>
      <c r="C483" s="74">
        <v>6</v>
      </c>
      <c r="D483" s="50">
        <v>30.01</v>
      </c>
      <c r="E483" s="51">
        <v>9.3993055555555552E-2</v>
      </c>
      <c r="F483" s="51">
        <v>0.11546296296296295</v>
      </c>
      <c r="G483" s="69">
        <f t="shared" si="202"/>
        <v>0.10472800925925925</v>
      </c>
      <c r="H483" s="52">
        <v>65</v>
      </c>
      <c r="I483" s="12">
        <f t="shared" si="203"/>
        <v>3.4897703851802481E-3</v>
      </c>
      <c r="J483" s="37">
        <f t="shared" si="204"/>
        <v>5</v>
      </c>
      <c r="K483" s="37">
        <f>IF(J483=0,0,IF(B483="F",VLOOKUP(I483,Barem!$G$2:$H$16,2,1),VLOOKUP(I483,Barem!$G$17:$H$31,2,1)))</f>
        <v>2.5</v>
      </c>
      <c r="L483" s="50">
        <v>2</v>
      </c>
      <c r="M483" s="124" t="s">
        <v>106</v>
      </c>
      <c r="N483" s="10">
        <f t="shared" si="209"/>
        <v>0.5</v>
      </c>
      <c r="O483" s="10">
        <f t="shared" si="209"/>
        <v>0.25</v>
      </c>
      <c r="P483" s="10">
        <f t="shared" si="209"/>
        <v>0.25</v>
      </c>
      <c r="Q483" s="40">
        <f t="shared" si="205"/>
        <v>4.3333333333333335E-2</v>
      </c>
      <c r="R483" s="21">
        <f>IF(D483&gt;21,VLOOKUP(D483,Barem!$T$1:$U$141,2,1),0)</f>
        <v>0.4</v>
      </c>
      <c r="S483" s="152">
        <f>IF(D483&lt;1.609,0,IF(B483="F",VLOOKUP(I483,Barem!$X$2:$Z$13,2,1),VLOOKUP(I483,Barem!$X$14:$Z$25,2,1)))</f>
        <v>0</v>
      </c>
      <c r="T483" s="21">
        <f>VLOOKUP(A483,Participanti!A:C,3,0)</f>
        <v>0</v>
      </c>
      <c r="U483" s="18">
        <f t="shared" si="206"/>
        <v>4.0683333333333334</v>
      </c>
      <c r="V483" s="58" t="s">
        <v>446</v>
      </c>
      <c r="W483" s="77">
        <f t="shared" si="207"/>
        <v>1</v>
      </c>
      <c r="X483" s="1" t="e">
        <f>VLOOKUP(A483,Data_Echipe!A:R,18,0)</f>
        <v>#N/A</v>
      </c>
      <c r="Z483" s="115">
        <f t="shared" si="208"/>
        <v>1</v>
      </c>
    </row>
    <row r="484" spans="1:26" x14ac:dyDescent="0.3">
      <c r="A484" s="49" t="s">
        <v>247</v>
      </c>
      <c r="B484" s="1" t="str">
        <f>VLOOKUP(A484,Participanti!A:B,2,0)</f>
        <v>M</v>
      </c>
      <c r="C484" s="74">
        <v>6</v>
      </c>
      <c r="D484" s="50">
        <v>8.0399999999999991</v>
      </c>
      <c r="E484" s="51">
        <v>3.2106481481481479E-2</v>
      </c>
      <c r="F484" s="51">
        <v>3.2534722222222222E-2</v>
      </c>
      <c r="G484" s="69">
        <f t="shared" si="202"/>
        <v>3.232060185185185E-2</v>
      </c>
      <c r="H484" s="52"/>
      <c r="I484" s="12">
        <f t="shared" si="203"/>
        <v>4.0199753547079421E-3</v>
      </c>
      <c r="J484" s="37">
        <f t="shared" si="204"/>
        <v>1.9142857142857139</v>
      </c>
      <c r="K484" s="37">
        <f>IF(J484=0,0,IF(B484="F",VLOOKUP(I484,Barem!$G$2:$H$16,2,1),VLOOKUP(I484,Barem!$G$17:$H$31,2,1)))</f>
        <v>1.5</v>
      </c>
      <c r="L484" s="50">
        <v>1.5</v>
      </c>
      <c r="M484" s="124" t="s">
        <v>107</v>
      </c>
      <c r="N484" s="10">
        <f t="shared" si="209"/>
        <v>0.25</v>
      </c>
      <c r="O484" s="10">
        <f t="shared" si="209"/>
        <v>0.5</v>
      </c>
      <c r="P484" s="10">
        <f t="shared" si="209"/>
        <v>0.25</v>
      </c>
      <c r="Q484" s="40">
        <f t="shared" si="205"/>
        <v>0</v>
      </c>
      <c r="R484" s="21">
        <f>IF(D484&gt;21,VLOOKUP(D484,Barem!$T$1:$U$141,2,1),0)</f>
        <v>0</v>
      </c>
      <c r="S484" s="152">
        <f>IF(D484&lt;1.609,0,IF(B484="F",VLOOKUP(I484,Barem!$X$2:$Z$13,2,1),VLOOKUP(I484,Barem!$X$14:$Z$25,2,1)))</f>
        <v>0</v>
      </c>
      <c r="T484" s="21">
        <f>VLOOKUP(A484,Participanti!A:C,3,0)</f>
        <v>0</v>
      </c>
      <c r="U484" s="18">
        <f t="shared" si="206"/>
        <v>1.6035714285714284</v>
      </c>
      <c r="V484" s="58" t="s">
        <v>446</v>
      </c>
      <c r="W484" s="77">
        <f t="shared" si="207"/>
        <v>1</v>
      </c>
      <c r="X484" s="1" t="str">
        <f>VLOOKUP(A484,Data_Echipe!A:R,18,0)</f>
        <v>UltraHaita lu' Borcan</v>
      </c>
      <c r="Z484" s="115">
        <f t="shared" si="208"/>
        <v>1</v>
      </c>
    </row>
    <row r="485" spans="1:26" x14ac:dyDescent="0.3">
      <c r="A485" s="49" t="s">
        <v>387</v>
      </c>
      <c r="B485" s="1" t="str">
        <f>VLOOKUP(A485,Participanti!A:B,2,0)</f>
        <v>F</v>
      </c>
      <c r="C485" s="74">
        <v>6</v>
      </c>
      <c r="D485" s="50">
        <v>15.01</v>
      </c>
      <c r="E485" s="51">
        <v>5.9074074074074077E-2</v>
      </c>
      <c r="F485" s="51">
        <v>5.9074074074074077E-2</v>
      </c>
      <c r="G485" s="69">
        <f t="shared" si="202"/>
        <v>5.9074074074074077E-2</v>
      </c>
      <c r="H485" s="52"/>
      <c r="I485" s="12">
        <f t="shared" si="203"/>
        <v>3.9356478397117971E-3</v>
      </c>
      <c r="J485" s="37">
        <f t="shared" si="204"/>
        <v>3.7524999999999999</v>
      </c>
      <c r="K485" s="37">
        <f>IF(J485=0,0,IF(B485="F",VLOOKUP(I485,Barem!$G$2:$H$16,2,1),VLOOKUP(I485,Barem!$G$17:$H$31,2,1)))</f>
        <v>2.5</v>
      </c>
      <c r="L485" s="50">
        <v>3.5</v>
      </c>
      <c r="M485" s="124" t="s">
        <v>207</v>
      </c>
      <c r="N485" s="10">
        <f t="shared" si="209"/>
        <v>0.25</v>
      </c>
      <c r="O485" s="10">
        <f t="shared" si="209"/>
        <v>0.25</v>
      </c>
      <c r="P485" s="10">
        <f t="shared" si="209"/>
        <v>0.5</v>
      </c>
      <c r="Q485" s="40">
        <f t="shared" si="205"/>
        <v>0</v>
      </c>
      <c r="R485" s="21">
        <f>IF(D485&gt;21,VLOOKUP(D485,Barem!$T$1:$U$141,2,1),0)</f>
        <v>0</v>
      </c>
      <c r="S485" s="152">
        <f>IF(D485&lt;1.609,0,IF(B485="F",VLOOKUP(I485,Barem!$X$2:$Z$13,2,1),VLOOKUP(I485,Barem!$X$14:$Z$25,2,1)))</f>
        <v>0</v>
      </c>
      <c r="T485" s="21">
        <f>VLOOKUP(A485,Participanti!A:C,3,0)</f>
        <v>0</v>
      </c>
      <c r="U485" s="18">
        <f t="shared" si="206"/>
        <v>3.3131249999999999</v>
      </c>
      <c r="V485" s="58" t="s">
        <v>446</v>
      </c>
      <c r="W485" s="77">
        <f t="shared" si="207"/>
        <v>1</v>
      </c>
      <c r="X485" s="1" t="str">
        <f>VLOOKUP(A485,Data_Echipe!A:R,18,0)</f>
        <v>#notSYRious</v>
      </c>
      <c r="Z485" s="115">
        <f t="shared" si="208"/>
        <v>1</v>
      </c>
    </row>
    <row r="486" spans="1:26" x14ac:dyDescent="0.3">
      <c r="A486" s="49" t="s">
        <v>136</v>
      </c>
      <c r="B486" s="1" t="str">
        <f>VLOOKUP(A486,Participanti!A:B,2,0)</f>
        <v>F</v>
      </c>
      <c r="C486" s="74">
        <v>6</v>
      </c>
      <c r="D486" s="50">
        <v>17.37</v>
      </c>
      <c r="E486" s="51">
        <v>0.10910879629629629</v>
      </c>
      <c r="F486" s="51">
        <v>0.12353009259259258</v>
      </c>
      <c r="G486" s="69">
        <f t="shared" si="202"/>
        <v>0.11631944444444443</v>
      </c>
      <c r="H486" s="52">
        <v>676</v>
      </c>
      <c r="I486" s="12">
        <f t="shared" si="203"/>
        <v>6.6965713554660005E-3</v>
      </c>
      <c r="J486" s="37">
        <f t="shared" si="204"/>
        <v>4.3425000000000002</v>
      </c>
      <c r="K486" s="37">
        <f>IF(J486=0,0,IF(B486="F",VLOOKUP(I486,Barem!$G$2:$H$16,2,1),VLOOKUP(I486,Barem!$G$17:$H$31,2,1)))</f>
        <v>0</v>
      </c>
      <c r="L486" s="50">
        <v>3.5</v>
      </c>
      <c r="M486" s="124" t="s">
        <v>207</v>
      </c>
      <c r="N486" s="10">
        <f t="shared" si="209"/>
        <v>0.25</v>
      </c>
      <c r="O486" s="10">
        <f t="shared" si="209"/>
        <v>0.25</v>
      </c>
      <c r="P486" s="10">
        <f t="shared" si="209"/>
        <v>0.5</v>
      </c>
      <c r="Q486" s="40">
        <f t="shared" si="205"/>
        <v>0.45066666666666666</v>
      </c>
      <c r="R486" s="21">
        <f>IF(D486&gt;21,VLOOKUP(D486,Barem!$T$1:$U$141,2,1),0)</f>
        <v>0</v>
      </c>
      <c r="S486" s="152">
        <f>IF(D486&lt;1.609,0,IF(B486="F",VLOOKUP(I486,Barem!$X$2:$Z$13,2,1),VLOOKUP(I486,Barem!$X$14:$Z$25,2,1)))</f>
        <v>0</v>
      </c>
      <c r="T486" s="21">
        <f>VLOOKUP(A486,Participanti!A:C,3,0)</f>
        <v>0</v>
      </c>
      <c r="U486" s="18">
        <f t="shared" si="206"/>
        <v>3.2862916666666671</v>
      </c>
      <c r="V486" s="58" t="s">
        <v>446</v>
      </c>
      <c r="W486" s="77">
        <f t="shared" si="207"/>
        <v>1</v>
      </c>
      <c r="X486" s="1" t="e">
        <f>VLOOKUP(A486,Data_Echipe!A:R,18,0)</f>
        <v>#N/A</v>
      </c>
      <c r="Z486" s="115">
        <f t="shared" si="208"/>
        <v>0</v>
      </c>
    </row>
    <row r="487" spans="1:26" x14ac:dyDescent="0.3">
      <c r="A487" s="49" t="s">
        <v>241</v>
      </c>
      <c r="B487" s="1" t="str">
        <f>VLOOKUP(A487,Participanti!A:B,2,0)</f>
        <v>F</v>
      </c>
      <c r="C487" s="74">
        <v>6</v>
      </c>
      <c r="D487" s="50">
        <v>3.1</v>
      </c>
      <c r="E487" s="51">
        <v>1.3113425925925926E-2</v>
      </c>
      <c r="F487" s="51">
        <v>1.3182870370370371E-2</v>
      </c>
      <c r="G487" s="69">
        <f t="shared" si="202"/>
        <v>1.3148148148148148E-2</v>
      </c>
      <c r="H487" s="52"/>
      <c r="I487" s="12">
        <f t="shared" si="203"/>
        <v>4.2413381123058546E-3</v>
      </c>
      <c r="J487" s="37">
        <f t="shared" si="204"/>
        <v>0.77500000000000002</v>
      </c>
      <c r="K487" s="37">
        <f>IF(J487=0,0,IF(B487="F",VLOOKUP(I487,Barem!$G$2:$H$16,2,1),VLOOKUP(I487,Barem!$G$17:$H$31,2,1)))</f>
        <v>1.75</v>
      </c>
      <c r="L487" s="50">
        <v>1.5</v>
      </c>
      <c r="M487" s="124" t="s">
        <v>207</v>
      </c>
      <c r="N487" s="10">
        <f t="shared" si="209"/>
        <v>0.25</v>
      </c>
      <c r="O487" s="10">
        <f t="shared" si="209"/>
        <v>0.25</v>
      </c>
      <c r="P487" s="10">
        <f t="shared" si="209"/>
        <v>0.5</v>
      </c>
      <c r="Q487" s="40">
        <f t="shared" si="205"/>
        <v>0</v>
      </c>
      <c r="R487" s="21">
        <f>IF(D487&gt;21,VLOOKUP(D487,Barem!$T$1:$U$141,2,1),0)</f>
        <v>0</v>
      </c>
      <c r="S487" s="152">
        <f>IF(D487&lt;1.609,0,IF(B487="F",VLOOKUP(I487,Barem!$X$2:$Z$13,2,1),VLOOKUP(I487,Barem!$X$14:$Z$25,2,1)))</f>
        <v>0</v>
      </c>
      <c r="T487" s="21">
        <f>VLOOKUP(A487,Participanti!A:C,3,0)</f>
        <v>0</v>
      </c>
      <c r="U487" s="18">
        <f t="shared" si="206"/>
        <v>1.3812500000000001</v>
      </c>
      <c r="V487" s="58" t="s">
        <v>446</v>
      </c>
      <c r="W487" s="77">
        <f t="shared" si="207"/>
        <v>1</v>
      </c>
      <c r="X487" s="1" t="str">
        <f>VLOOKUP(A487,Data_Echipe!A:R,18,0)</f>
        <v>Almost Kenyan Runners</v>
      </c>
      <c r="Z487" s="115">
        <f t="shared" si="208"/>
        <v>1</v>
      </c>
    </row>
    <row r="488" spans="1:26" x14ac:dyDescent="0.3">
      <c r="A488" s="132" t="s">
        <v>41</v>
      </c>
      <c r="B488" s="133" t="str">
        <f>VLOOKUP(A488,Participanti!A:B,2,0)</f>
        <v>M</v>
      </c>
      <c r="C488" s="134">
        <v>6</v>
      </c>
      <c r="D488" s="135">
        <v>0</v>
      </c>
      <c r="E488" s="136">
        <v>0</v>
      </c>
      <c r="F488" s="136">
        <v>0</v>
      </c>
      <c r="G488" s="137">
        <f t="shared" si="202"/>
        <v>0</v>
      </c>
      <c r="H488" s="138"/>
      <c r="I488" s="139">
        <v>0</v>
      </c>
      <c r="J488" s="140">
        <f t="shared" si="204"/>
        <v>0</v>
      </c>
      <c r="K488" s="140">
        <f>IF(J488=0,0,IF(B488="F",VLOOKUP(I488,Barem!$G$2:$H$16,2,1),VLOOKUP(I488,Barem!$G$17:$H$31,2,1)))</f>
        <v>0</v>
      </c>
      <c r="L488" s="135">
        <v>0</v>
      </c>
      <c r="M488" s="141" t="s">
        <v>459</v>
      </c>
      <c r="N488" s="142">
        <f t="shared" si="209"/>
        <v>0.25</v>
      </c>
      <c r="O488" s="142">
        <f t="shared" si="209"/>
        <v>0.25</v>
      </c>
      <c r="P488" s="142">
        <f t="shared" si="209"/>
        <v>0.25</v>
      </c>
      <c r="Q488" s="143">
        <f t="shared" si="205"/>
        <v>0</v>
      </c>
      <c r="R488" s="144">
        <f>IF(D488&gt;21,VLOOKUP(D488,Barem!$T$1:$U$141,2,1),0)</f>
        <v>0</v>
      </c>
      <c r="S488" s="152">
        <f>IF(D488&lt;1.609,0,IF(B488="F",VLOOKUP(I488,Barem!$X$2:$Z$13,2,1),VLOOKUP(I488,Barem!$X$14:$Z$25,2,1)))</f>
        <v>0</v>
      </c>
      <c r="T488" s="144">
        <f>VLOOKUP(A488,Participanti!A:C,3,0)</f>
        <v>0</v>
      </c>
      <c r="U488" s="143">
        <v>1.5</v>
      </c>
      <c r="V488" s="145" t="s">
        <v>446</v>
      </c>
      <c r="W488" s="146">
        <f t="shared" si="207"/>
        <v>1</v>
      </c>
      <c r="X488" s="133" t="str">
        <f>VLOOKUP(A488,Data_Echipe!A:R,18,0)</f>
        <v>Almost Kenyan Runners</v>
      </c>
      <c r="Y488" s="133"/>
      <c r="Z488" s="147">
        <f t="shared" si="208"/>
        <v>0</v>
      </c>
    </row>
    <row r="489" spans="1:26" x14ac:dyDescent="0.3">
      <c r="A489" s="49" t="s">
        <v>205</v>
      </c>
      <c r="B489" s="1" t="str">
        <f>VLOOKUP(A489,Participanti!A:B,2,0)</f>
        <v>M</v>
      </c>
      <c r="C489" s="74">
        <v>6</v>
      </c>
      <c r="D489" s="50">
        <v>27</v>
      </c>
      <c r="E489" s="51">
        <v>8.2592592592592592E-2</v>
      </c>
      <c r="F489" s="51">
        <v>8.2939814814814813E-2</v>
      </c>
      <c r="G489" s="69">
        <f t="shared" si="202"/>
        <v>8.2766203703703703E-2</v>
      </c>
      <c r="H489" s="52">
        <v>284</v>
      </c>
      <c r="I489" s="12">
        <f t="shared" si="203"/>
        <v>3.0654149519890261E-3</v>
      </c>
      <c r="J489" s="37">
        <f t="shared" si="204"/>
        <v>5</v>
      </c>
      <c r="K489" s="37">
        <f>IF(J489=0,0,IF(B489="F",VLOOKUP(I489,Barem!$G$2:$H$16,2,1),VLOOKUP(I489,Barem!$G$17:$H$31,2,1)))</f>
        <v>4</v>
      </c>
      <c r="L489" s="50">
        <v>3.5</v>
      </c>
      <c r="M489" s="124" t="s">
        <v>106</v>
      </c>
      <c r="N489" s="10">
        <f t="shared" si="209"/>
        <v>0.5</v>
      </c>
      <c r="O489" s="10">
        <f t="shared" si="209"/>
        <v>0.25</v>
      </c>
      <c r="P489" s="10">
        <f t="shared" si="209"/>
        <v>0.25</v>
      </c>
      <c r="Q489" s="40">
        <f t="shared" si="205"/>
        <v>0.18933333333333333</v>
      </c>
      <c r="R489" s="21">
        <f>IF(D489&gt;21,VLOOKUP(D489,Barem!$T$1:$U$141,2,1),0)</f>
        <v>0.3</v>
      </c>
      <c r="S489" s="152">
        <f>IF(D489&lt;1.609,0,IF(B489="F",VLOOKUP(I489,Barem!$X$2:$Z$13,2,1),VLOOKUP(I489,Barem!$X$14:$Z$25,2,1)))</f>
        <v>0</v>
      </c>
      <c r="T489" s="21">
        <f>VLOOKUP(A489,Participanti!A:C,3,0)</f>
        <v>0</v>
      </c>
      <c r="U489" s="18">
        <f t="shared" si="206"/>
        <v>4.8643333333333327</v>
      </c>
      <c r="V489" s="58" t="s">
        <v>446</v>
      </c>
      <c r="W489" s="77">
        <f t="shared" si="207"/>
        <v>1</v>
      </c>
      <c r="X489" s="1" t="str">
        <f>VLOOKUP(A489,Data_Echipe!A:R,18,0)</f>
        <v>Almost Kenyan Runners</v>
      </c>
      <c r="Z489" s="115">
        <f t="shared" si="208"/>
        <v>1</v>
      </c>
    </row>
    <row r="490" spans="1:26" x14ac:dyDescent="0.3">
      <c r="A490" s="49" t="s">
        <v>431</v>
      </c>
      <c r="B490" s="1" t="str">
        <f>VLOOKUP(A490,Participanti!A:B,2,0)</f>
        <v>F</v>
      </c>
      <c r="C490" s="74">
        <v>6</v>
      </c>
      <c r="D490" s="50">
        <v>2.79</v>
      </c>
      <c r="E490" s="51">
        <v>1.3171296296296294E-2</v>
      </c>
      <c r="F490" s="51">
        <v>1.3206018518518518E-2</v>
      </c>
      <c r="G490" s="69">
        <f t="shared" si="202"/>
        <v>1.3188657407407406E-2</v>
      </c>
      <c r="H490" s="52"/>
      <c r="I490" s="12">
        <f t="shared" si="203"/>
        <v>4.7271173503252353E-3</v>
      </c>
      <c r="J490" s="37">
        <f t="shared" si="204"/>
        <v>0.69750000000000001</v>
      </c>
      <c r="K490" s="37">
        <f>IF(J490=0,0,IF(B490="F",VLOOKUP(I490,Barem!$G$2:$H$16,2,1),VLOOKUP(I490,Barem!$G$17:$H$31,2,1)))</f>
        <v>1</v>
      </c>
      <c r="L490" s="50">
        <v>3.75</v>
      </c>
      <c r="M490" s="124" t="s">
        <v>207</v>
      </c>
      <c r="N490" s="10">
        <f t="shared" si="209"/>
        <v>0.25</v>
      </c>
      <c r="O490" s="10">
        <f t="shared" si="209"/>
        <v>0.25</v>
      </c>
      <c r="P490" s="10">
        <f t="shared" si="209"/>
        <v>0.5</v>
      </c>
      <c r="Q490" s="40">
        <f t="shared" si="205"/>
        <v>0</v>
      </c>
      <c r="R490" s="21">
        <f>IF(D490&gt;21,VLOOKUP(D490,Barem!$T$1:$U$141,2,1),0)</f>
        <v>0</v>
      </c>
      <c r="S490" s="152">
        <f>IF(D490&lt;1.609,0,IF(B490="F",VLOOKUP(I490,Barem!$X$2:$Z$13,2,1),VLOOKUP(I490,Barem!$X$14:$Z$25,2,1)))</f>
        <v>0</v>
      </c>
      <c r="T490" s="21">
        <f>VLOOKUP(A490,Participanti!A:C,3,0)</f>
        <v>0.4</v>
      </c>
      <c r="U490" s="18">
        <f t="shared" si="206"/>
        <v>2.6993749999999999</v>
      </c>
      <c r="V490" s="58" t="s">
        <v>446</v>
      </c>
      <c r="W490" s="77">
        <f t="shared" si="207"/>
        <v>1</v>
      </c>
      <c r="X490" s="1" t="e">
        <f>VLOOKUP(A490,Data_Echipe!A:R,18,0)</f>
        <v>#N/A</v>
      </c>
      <c r="Z490" s="115">
        <f t="shared" si="208"/>
        <v>1</v>
      </c>
    </row>
    <row r="491" spans="1:26" x14ac:dyDescent="0.3">
      <c r="A491" s="49" t="s">
        <v>177</v>
      </c>
      <c r="B491" s="1" t="str">
        <f>VLOOKUP(A491,Participanti!A:B,2,0)</f>
        <v>F</v>
      </c>
      <c r="C491" s="74">
        <v>6</v>
      </c>
      <c r="D491" s="50">
        <v>21.12</v>
      </c>
      <c r="E491" s="51">
        <v>9.2847222222222234E-2</v>
      </c>
      <c r="F491" s="51">
        <v>0.11006944444444444</v>
      </c>
      <c r="G491" s="69">
        <f t="shared" si="202"/>
        <v>0.10145833333333334</v>
      </c>
      <c r="H491" s="52"/>
      <c r="I491" s="12">
        <f t="shared" si="203"/>
        <v>4.8038983585858589E-3</v>
      </c>
      <c r="J491" s="37">
        <f t="shared" si="204"/>
        <v>5</v>
      </c>
      <c r="K491" s="37">
        <f>IF(J491=0,0,IF(B491="F",VLOOKUP(I491,Barem!$G$2:$H$16,2,1),VLOOKUP(I491,Barem!$G$17:$H$31,2,1)))</f>
        <v>1</v>
      </c>
      <c r="L491" s="50">
        <v>3</v>
      </c>
      <c r="M491" s="124" t="s">
        <v>106</v>
      </c>
      <c r="N491" s="10">
        <f t="shared" si="209"/>
        <v>0.5</v>
      </c>
      <c r="O491" s="10">
        <f t="shared" si="209"/>
        <v>0.25</v>
      </c>
      <c r="P491" s="10">
        <f t="shared" si="209"/>
        <v>0.25</v>
      </c>
      <c r="Q491" s="40">
        <f t="shared" si="205"/>
        <v>0</v>
      </c>
      <c r="R491" s="21">
        <f>IF(D491&gt;21,VLOOKUP(D491,Barem!$T$1:$U$141,2,1),0)</f>
        <v>0</v>
      </c>
      <c r="S491" s="152">
        <f>IF(D491&lt;1.609,0,IF(B491="F",VLOOKUP(I491,Barem!$X$2:$Z$13,2,1),VLOOKUP(I491,Barem!$X$14:$Z$25,2,1)))</f>
        <v>0</v>
      </c>
      <c r="T491" s="21">
        <f>VLOOKUP(A491,Participanti!A:C,3,0)</f>
        <v>0</v>
      </c>
      <c r="U491" s="18">
        <f t="shared" si="206"/>
        <v>3.5</v>
      </c>
      <c r="V491" s="58" t="s">
        <v>446</v>
      </c>
      <c r="W491" s="77">
        <f t="shared" si="207"/>
        <v>1</v>
      </c>
      <c r="X491" s="1" t="str">
        <f>VLOOKUP(A491,Data_Echipe!A:R,18,0)</f>
        <v>UltraHaita lu' Borcan</v>
      </c>
      <c r="Z491" s="115">
        <f t="shared" si="208"/>
        <v>1</v>
      </c>
    </row>
    <row r="492" spans="1:26" x14ac:dyDescent="0.3">
      <c r="A492" s="49" t="s">
        <v>351</v>
      </c>
      <c r="B492" s="1" t="str">
        <f>VLOOKUP(A492,Participanti!A:B,2,0)</f>
        <v>F</v>
      </c>
      <c r="C492" s="74">
        <v>6</v>
      </c>
      <c r="D492" s="50">
        <v>10.02</v>
      </c>
      <c r="E492" s="51">
        <v>3.4606481481481481E-2</v>
      </c>
      <c r="F492" s="51">
        <v>3.4606481481481481E-2</v>
      </c>
      <c r="G492" s="69">
        <f t="shared" si="202"/>
        <v>3.4606481481481481E-2</v>
      </c>
      <c r="H492" s="52"/>
      <c r="I492" s="12">
        <f t="shared" si="203"/>
        <v>3.4537406668145192E-3</v>
      </c>
      <c r="J492" s="37">
        <f t="shared" si="204"/>
        <v>2.5049999999999999</v>
      </c>
      <c r="K492" s="37">
        <f>IF(J492=0,0,IF(B492="F",VLOOKUP(I492,Barem!$G$2:$H$16,2,1),VLOOKUP(I492,Barem!$G$17:$H$31,2,1)))</f>
        <v>4</v>
      </c>
      <c r="L492" s="50">
        <v>1.75</v>
      </c>
      <c r="M492" s="124" t="s">
        <v>107</v>
      </c>
      <c r="N492" s="10">
        <f t="shared" si="209"/>
        <v>0.25</v>
      </c>
      <c r="O492" s="10">
        <f t="shared" si="209"/>
        <v>0.5</v>
      </c>
      <c r="P492" s="10">
        <f t="shared" si="209"/>
        <v>0.25</v>
      </c>
      <c r="Q492" s="40">
        <f t="shared" si="205"/>
        <v>0</v>
      </c>
      <c r="R492" s="21">
        <f>IF(D492&gt;21,VLOOKUP(D492,Barem!$T$1:$U$141,2,1),0)</f>
        <v>0</v>
      </c>
      <c r="S492" s="152">
        <f>IF(D492&lt;1.609,0,IF(B492="F",VLOOKUP(I492,Barem!$X$2:$Z$13,2,1),VLOOKUP(I492,Barem!$X$14:$Z$25,2,1)))</f>
        <v>0</v>
      </c>
      <c r="T492" s="21">
        <f>VLOOKUP(A492,Participanti!A:C,3,0)</f>
        <v>0</v>
      </c>
      <c r="U492" s="18">
        <f t="shared" si="206"/>
        <v>3.0637499999999998</v>
      </c>
      <c r="V492" s="58" t="s">
        <v>446</v>
      </c>
      <c r="W492" s="77">
        <f t="shared" si="207"/>
        <v>1</v>
      </c>
      <c r="X492" s="1" t="e">
        <f>VLOOKUP(A492,Data_Echipe!A:R,18,0)</f>
        <v>#N/A</v>
      </c>
      <c r="Z492" s="115">
        <f t="shared" si="208"/>
        <v>1</v>
      </c>
    </row>
    <row r="493" spans="1:26" x14ac:dyDescent="0.3">
      <c r="A493" s="49" t="s">
        <v>369</v>
      </c>
      <c r="B493" s="1" t="str">
        <f>VLOOKUP(A493,Participanti!A:B,2,0)</f>
        <v>M</v>
      </c>
      <c r="C493" s="74">
        <v>6</v>
      </c>
      <c r="D493" s="50">
        <v>12.74</v>
      </c>
      <c r="E493" s="51">
        <v>9.2905092592592595E-2</v>
      </c>
      <c r="F493" s="51">
        <v>0.25126157407407407</v>
      </c>
      <c r="G493" s="69">
        <f t="shared" si="202"/>
        <v>0.17208333333333334</v>
      </c>
      <c r="H493" s="52">
        <v>674</v>
      </c>
      <c r="I493" s="12">
        <f t="shared" si="203"/>
        <v>1.3507326007326008E-2</v>
      </c>
      <c r="J493" s="37">
        <f t="shared" si="204"/>
        <v>3.0333333333333332</v>
      </c>
      <c r="K493" s="37">
        <f>IF(J493=0,0,IF(B493="F",VLOOKUP(I493,Barem!$G$2:$H$16,2,1),VLOOKUP(I493,Barem!$G$17:$H$31,2,1)))</f>
        <v>0</v>
      </c>
      <c r="L493" s="50">
        <v>3.75</v>
      </c>
      <c r="M493" s="124" t="s">
        <v>207</v>
      </c>
      <c r="N493" s="10">
        <f t="shared" si="209"/>
        <v>0.25</v>
      </c>
      <c r="O493" s="10">
        <f t="shared" si="209"/>
        <v>0.25</v>
      </c>
      <c r="P493" s="10">
        <f t="shared" si="209"/>
        <v>0.5</v>
      </c>
      <c r="Q493" s="40">
        <f t="shared" si="205"/>
        <v>0.44933333333333331</v>
      </c>
      <c r="R493" s="21">
        <f>IF(D493&gt;21,VLOOKUP(D493,Barem!$T$1:$U$141,2,1),0)</f>
        <v>0</v>
      </c>
      <c r="S493" s="152">
        <f>IF(D493&lt;1.609,0,IF(B493="F",VLOOKUP(I493,Barem!$X$2:$Z$13,2,1),VLOOKUP(I493,Barem!$X$14:$Z$25,2,1)))</f>
        <v>0</v>
      </c>
      <c r="T493" s="21">
        <f>VLOOKUP(A493,Participanti!A:C,3,0)</f>
        <v>0</v>
      </c>
      <c r="U493" s="18">
        <f t="shared" si="206"/>
        <v>3.0826666666666664</v>
      </c>
      <c r="V493" s="58" t="s">
        <v>446</v>
      </c>
      <c r="W493" s="77">
        <f t="shared" si="207"/>
        <v>1</v>
      </c>
      <c r="X493" s="1" t="str">
        <f>VLOOKUP(A493,Data_Echipe!A:R,18,0)</f>
        <v>MedgidiaRunning</v>
      </c>
      <c r="Z493" s="115">
        <f t="shared" si="208"/>
        <v>0</v>
      </c>
    </row>
    <row r="494" spans="1:26" x14ac:dyDescent="0.3">
      <c r="A494" s="49" t="s">
        <v>340</v>
      </c>
      <c r="B494" s="1" t="str">
        <f>VLOOKUP(A494,Participanti!A:B,2,0)</f>
        <v>M</v>
      </c>
      <c r="C494" s="74">
        <v>6</v>
      </c>
      <c r="D494" s="50">
        <v>10.01</v>
      </c>
      <c r="E494" s="51">
        <v>3.3425925925925921E-2</v>
      </c>
      <c r="F494" s="51">
        <v>4.1874999999999996E-2</v>
      </c>
      <c r="G494" s="69">
        <f t="shared" si="202"/>
        <v>3.7650462962962955E-2</v>
      </c>
      <c r="H494" s="52"/>
      <c r="I494" s="12">
        <f t="shared" si="203"/>
        <v>3.7612850112850107E-3</v>
      </c>
      <c r="J494" s="37">
        <f t="shared" si="204"/>
        <v>2.3833333333333333</v>
      </c>
      <c r="K494" s="37">
        <f>IF(J494=0,0,IF(B494="F",VLOOKUP(I494,Barem!$G$2:$H$16,2,1),VLOOKUP(I494,Barem!$G$17:$H$31,2,1)))</f>
        <v>2</v>
      </c>
      <c r="L494" s="50">
        <v>0.5</v>
      </c>
      <c r="M494" s="124" t="s">
        <v>207</v>
      </c>
      <c r="N494" s="10">
        <f t="shared" si="209"/>
        <v>0.25</v>
      </c>
      <c r="O494" s="10">
        <f t="shared" si="209"/>
        <v>0.25</v>
      </c>
      <c r="P494" s="10">
        <f t="shared" si="209"/>
        <v>0.5</v>
      </c>
      <c r="Q494" s="40">
        <f t="shared" si="205"/>
        <v>0</v>
      </c>
      <c r="R494" s="21">
        <f>IF(D494&gt;21,VLOOKUP(D494,Barem!$T$1:$U$141,2,1),0)</f>
        <v>0</v>
      </c>
      <c r="S494" s="152">
        <f>IF(D494&lt;1.609,0,IF(B494="F",VLOOKUP(I494,Barem!$X$2:$Z$13,2,1),VLOOKUP(I494,Barem!$X$14:$Z$25,2,1)))</f>
        <v>0</v>
      </c>
      <c r="T494" s="21">
        <f>VLOOKUP(A494,Participanti!A:C,3,0)</f>
        <v>0</v>
      </c>
      <c r="U494" s="18">
        <f t="shared" si="206"/>
        <v>1.3458333333333332</v>
      </c>
      <c r="V494" s="58" t="s">
        <v>446</v>
      </c>
      <c r="W494" s="77">
        <f t="shared" si="207"/>
        <v>1</v>
      </c>
      <c r="X494" s="1" t="e">
        <f>VLOOKUP(A494,Data_Echipe!A:R,18,0)</f>
        <v>#N/A</v>
      </c>
      <c r="Z494" s="115">
        <f t="shared" si="208"/>
        <v>1</v>
      </c>
    </row>
    <row r="495" spans="1:26" x14ac:dyDescent="0.3">
      <c r="A495" s="49" t="s">
        <v>378</v>
      </c>
      <c r="B495" s="1" t="str">
        <f>VLOOKUP(A495,Participanti!A:B,2,0)</f>
        <v>F</v>
      </c>
      <c r="C495" s="74">
        <v>6</v>
      </c>
      <c r="D495" s="50">
        <v>10</v>
      </c>
      <c r="E495" s="51">
        <v>3.8773148148148147E-2</v>
      </c>
      <c r="F495" s="51">
        <v>4.1030092592592597E-2</v>
      </c>
      <c r="G495" s="69">
        <f t="shared" si="202"/>
        <v>3.9901620370370372E-2</v>
      </c>
      <c r="H495" s="52">
        <v>50</v>
      </c>
      <c r="I495" s="12">
        <f t="shared" si="203"/>
        <v>3.9901620370370369E-3</v>
      </c>
      <c r="J495" s="37">
        <f t="shared" si="204"/>
        <v>2.5</v>
      </c>
      <c r="K495" s="37">
        <f>IF(J495=0,0,IF(B495="F",VLOOKUP(I495,Barem!$G$2:$H$16,2,1),VLOOKUP(I495,Barem!$G$17:$H$31,2,1)))</f>
        <v>2.5</v>
      </c>
      <c r="L495" s="50">
        <v>2.25</v>
      </c>
      <c r="M495" s="124" t="s">
        <v>106</v>
      </c>
      <c r="N495" s="10">
        <f t="shared" si="209"/>
        <v>0.5</v>
      </c>
      <c r="O495" s="10">
        <f t="shared" si="209"/>
        <v>0.25</v>
      </c>
      <c r="P495" s="10">
        <f t="shared" si="209"/>
        <v>0.25</v>
      </c>
      <c r="Q495" s="40">
        <f t="shared" si="205"/>
        <v>3.3333333333333333E-2</v>
      </c>
      <c r="R495" s="21">
        <f>IF(D495&gt;21,VLOOKUP(D495,Barem!$T$1:$U$141,2,1),0)</f>
        <v>0</v>
      </c>
      <c r="S495" s="152">
        <f>IF(D495&lt;1.609,0,IF(B495="F",VLOOKUP(I495,Barem!$X$2:$Z$13,2,1),VLOOKUP(I495,Barem!$X$14:$Z$25,2,1)))</f>
        <v>0</v>
      </c>
      <c r="T495" s="21">
        <f>VLOOKUP(A495,Participanti!A:C,3,0)</f>
        <v>0</v>
      </c>
      <c r="U495" s="18">
        <f t="shared" si="206"/>
        <v>2.4708333333333332</v>
      </c>
      <c r="V495" s="58" t="s">
        <v>446</v>
      </c>
      <c r="W495" s="77">
        <f t="shared" si="207"/>
        <v>1</v>
      </c>
      <c r="X495" s="1" t="str">
        <f>VLOOKUP(A495,Data_Echipe!A:R,18,0)</f>
        <v>MedgidiaRunning</v>
      </c>
      <c r="Z495" s="115">
        <f t="shared" si="208"/>
        <v>1</v>
      </c>
    </row>
    <row r="496" spans="1:26" x14ac:dyDescent="0.3">
      <c r="A496" s="49" t="s">
        <v>362</v>
      </c>
      <c r="B496" s="1" t="str">
        <f>VLOOKUP(A496,Participanti!A:B,2,0)</f>
        <v>M</v>
      </c>
      <c r="C496" s="74">
        <v>6</v>
      </c>
      <c r="D496" s="50">
        <v>12.58</v>
      </c>
      <c r="E496" s="51">
        <v>5.1006944444444445E-2</v>
      </c>
      <c r="F496" s="51">
        <v>5.4756944444444448E-2</v>
      </c>
      <c r="G496" s="69">
        <f t="shared" si="202"/>
        <v>5.2881944444444447E-2</v>
      </c>
      <c r="H496" s="52"/>
      <c r="I496" s="12">
        <f t="shared" si="203"/>
        <v>4.203652181593358E-3</v>
      </c>
      <c r="J496" s="37">
        <f t="shared" si="204"/>
        <v>2.9952380952380953</v>
      </c>
      <c r="K496" s="37">
        <f>IF(J496=0,0,IF(B496="F",VLOOKUP(I496,Barem!$G$2:$H$16,2,1),VLOOKUP(I496,Barem!$G$17:$H$31,2,1)))</f>
        <v>1.25</v>
      </c>
      <c r="L496" s="50">
        <v>1.75</v>
      </c>
      <c r="M496" s="124" t="s">
        <v>207</v>
      </c>
      <c r="N496" s="10">
        <f t="shared" si="209"/>
        <v>0.25</v>
      </c>
      <c r="O496" s="10">
        <f t="shared" si="209"/>
        <v>0.25</v>
      </c>
      <c r="P496" s="10">
        <f t="shared" si="209"/>
        <v>0.5</v>
      </c>
      <c r="Q496" s="40">
        <f t="shared" si="205"/>
        <v>0</v>
      </c>
      <c r="R496" s="21">
        <f>IF(D496&gt;21,VLOOKUP(D496,Barem!$T$1:$U$141,2,1),0)</f>
        <v>0</v>
      </c>
      <c r="S496" s="152">
        <f>IF(D496&lt;1.609,0,IF(B496="F",VLOOKUP(I496,Barem!$X$2:$Z$13,2,1),VLOOKUP(I496,Barem!$X$14:$Z$25,2,1)))</f>
        <v>0</v>
      </c>
      <c r="T496" s="21">
        <f>VLOOKUP(A496,Participanti!A:C,3,0)</f>
        <v>0</v>
      </c>
      <c r="U496" s="18">
        <f t="shared" si="206"/>
        <v>1.9363095238095238</v>
      </c>
      <c r="V496" s="58" t="s">
        <v>446</v>
      </c>
      <c r="W496" s="77">
        <f t="shared" si="207"/>
        <v>1</v>
      </c>
      <c r="X496" s="1" t="e">
        <f>VLOOKUP(A496,Data_Echipe!A:R,18,0)</f>
        <v>#N/A</v>
      </c>
      <c r="Z496" s="115">
        <f t="shared" si="208"/>
        <v>1</v>
      </c>
    </row>
    <row r="497" spans="1:26" x14ac:dyDescent="0.3">
      <c r="A497" s="49" t="s">
        <v>354</v>
      </c>
      <c r="B497" s="1" t="str">
        <f>VLOOKUP(A497,Participanti!A:B,2,0)</f>
        <v>M</v>
      </c>
      <c r="C497" s="74">
        <v>6</v>
      </c>
      <c r="D497" s="50">
        <v>10.61</v>
      </c>
      <c r="E497" s="51">
        <v>6.3125000000000001E-2</v>
      </c>
      <c r="F497" s="51">
        <v>6.7337962962962961E-2</v>
      </c>
      <c r="G497" s="69">
        <f t="shared" si="202"/>
        <v>6.5231481481481474E-2</v>
      </c>
      <c r="H497" s="52">
        <v>376</v>
      </c>
      <c r="I497" s="12">
        <f t="shared" si="203"/>
        <v>6.148113240478933E-3</v>
      </c>
      <c r="J497" s="37">
        <f t="shared" si="204"/>
        <v>2.5261904761904761</v>
      </c>
      <c r="K497" s="37">
        <f>IF(J497=0,0,IF(B497="F",VLOOKUP(I497,Barem!$G$2:$H$16,2,1),VLOOKUP(I497,Barem!$G$17:$H$31,2,1)))</f>
        <v>0</v>
      </c>
      <c r="L497" s="50">
        <v>2.25</v>
      </c>
      <c r="M497" s="124" t="s">
        <v>207</v>
      </c>
      <c r="N497" s="10">
        <f t="shared" si="209"/>
        <v>0.25</v>
      </c>
      <c r="O497" s="10">
        <f t="shared" si="209"/>
        <v>0.25</v>
      </c>
      <c r="P497" s="10">
        <f t="shared" si="209"/>
        <v>0.5</v>
      </c>
      <c r="Q497" s="40">
        <f t="shared" si="205"/>
        <v>0.25066666666666665</v>
      </c>
      <c r="R497" s="21">
        <f>IF(D497&gt;21,VLOOKUP(D497,Barem!$T$1:$U$141,2,1),0)</f>
        <v>0</v>
      </c>
      <c r="S497" s="152">
        <f>IF(D497&lt;1.609,0,IF(B497="F",VLOOKUP(I497,Barem!$X$2:$Z$13,2,1),VLOOKUP(I497,Barem!$X$14:$Z$25,2,1)))</f>
        <v>0</v>
      </c>
      <c r="T497" s="21">
        <f>VLOOKUP(A497,Participanti!A:C,3,0)</f>
        <v>0</v>
      </c>
      <c r="U497" s="18">
        <f t="shared" si="206"/>
        <v>2.0072142857142858</v>
      </c>
      <c r="V497" s="58" t="s">
        <v>446</v>
      </c>
      <c r="W497" s="77">
        <f t="shared" si="207"/>
        <v>1</v>
      </c>
      <c r="X497" s="1" t="e">
        <f>VLOOKUP(A497,Data_Echipe!A:R,18,0)</f>
        <v>#N/A</v>
      </c>
      <c r="Z497" s="115">
        <f t="shared" si="208"/>
        <v>0</v>
      </c>
    </row>
    <row r="498" spans="1:26" x14ac:dyDescent="0.3">
      <c r="A498" s="49" t="s">
        <v>356</v>
      </c>
      <c r="B498" s="1" t="str">
        <f>VLOOKUP(A498,Participanti!A:B,2,0)</f>
        <v>M</v>
      </c>
      <c r="C498" s="74">
        <v>6</v>
      </c>
      <c r="D498" s="50">
        <v>10.01</v>
      </c>
      <c r="E498" s="51">
        <v>3.4768518518518525E-2</v>
      </c>
      <c r="F498" s="51">
        <v>3.6203703703703703E-2</v>
      </c>
      <c r="G498" s="69">
        <f t="shared" si="202"/>
        <v>3.5486111111111114E-2</v>
      </c>
      <c r="H498" s="52"/>
      <c r="I498" s="12">
        <f t="shared" si="203"/>
        <v>3.5450660450660454E-3</v>
      </c>
      <c r="J498" s="37">
        <f t="shared" si="204"/>
        <v>2.3833333333333333</v>
      </c>
      <c r="K498" s="37">
        <f>IF(J498=0,0,IF(B498="F",VLOOKUP(I498,Barem!$G$2:$H$16,2,1),VLOOKUP(I498,Barem!$G$17:$H$31,2,1)))</f>
        <v>2.5</v>
      </c>
      <c r="L498" s="50">
        <v>3.5</v>
      </c>
      <c r="M498" s="124" t="s">
        <v>107</v>
      </c>
      <c r="N498" s="10">
        <f t="shared" si="209"/>
        <v>0.25</v>
      </c>
      <c r="O498" s="10">
        <f t="shared" si="209"/>
        <v>0.5</v>
      </c>
      <c r="P498" s="10">
        <f t="shared" si="209"/>
        <v>0.25</v>
      </c>
      <c r="Q498" s="40">
        <f t="shared" si="205"/>
        <v>0</v>
      </c>
      <c r="R498" s="21">
        <f>IF(D498&gt;21,VLOOKUP(D498,Barem!$T$1:$U$141,2,1),0)</f>
        <v>0</v>
      </c>
      <c r="S498" s="152">
        <f>IF(D498&lt;1.609,0,IF(B498="F",VLOOKUP(I498,Barem!$X$2:$Z$13,2,1),VLOOKUP(I498,Barem!$X$14:$Z$25,2,1)))</f>
        <v>0</v>
      </c>
      <c r="T498" s="21">
        <f>VLOOKUP(A498,Participanti!A:C,3,0)</f>
        <v>0</v>
      </c>
      <c r="U498" s="18">
        <f t="shared" si="206"/>
        <v>2.7208333333333332</v>
      </c>
      <c r="V498" s="58" t="s">
        <v>446</v>
      </c>
      <c r="W498" s="77">
        <f t="shared" si="207"/>
        <v>1</v>
      </c>
      <c r="X498" s="1" t="str">
        <f>VLOOKUP(A498,Data_Echipe!A:R,18,0)</f>
        <v>MedgidiaRunning</v>
      </c>
      <c r="Z498" s="115">
        <f t="shared" si="208"/>
        <v>1</v>
      </c>
    </row>
    <row r="499" spans="1:26" x14ac:dyDescent="0.3">
      <c r="A499" s="49" t="s">
        <v>59</v>
      </c>
      <c r="B499" s="1" t="str">
        <f>VLOOKUP(A499,Participanti!A:B,2,0)</f>
        <v>M</v>
      </c>
      <c r="C499" s="74">
        <v>6</v>
      </c>
      <c r="D499" s="50">
        <v>3.14</v>
      </c>
      <c r="E499" s="51">
        <v>8.5416666666666679E-3</v>
      </c>
      <c r="F499" s="51">
        <v>8.5416666666666679E-3</v>
      </c>
      <c r="G499" s="69">
        <f t="shared" si="202"/>
        <v>8.5416666666666679E-3</v>
      </c>
      <c r="H499" s="52"/>
      <c r="I499" s="12">
        <f t="shared" si="203"/>
        <v>2.7202760084925693E-3</v>
      </c>
      <c r="J499" s="37">
        <f t="shared" si="204"/>
        <v>0.74761904761904763</v>
      </c>
      <c r="K499" s="37">
        <f>IF(J499=0,0,IF(B499="F",VLOOKUP(I499,Barem!$G$2:$H$16,2,1),VLOOKUP(I499,Barem!$G$17:$H$31,2,1)))</f>
        <v>5</v>
      </c>
      <c r="L499" s="50">
        <v>3.75</v>
      </c>
      <c r="M499" s="124" t="s">
        <v>107</v>
      </c>
      <c r="N499" s="10">
        <f t="shared" si="209"/>
        <v>0.25</v>
      </c>
      <c r="O499" s="10">
        <f t="shared" si="209"/>
        <v>0.5</v>
      </c>
      <c r="P499" s="10">
        <f t="shared" si="209"/>
        <v>0.25</v>
      </c>
      <c r="Q499" s="40">
        <f t="shared" si="205"/>
        <v>0</v>
      </c>
      <c r="R499" s="21">
        <f>IF(D499&gt;21,VLOOKUP(D499,Barem!$T$1:$U$141,2,1),0)</f>
        <v>0</v>
      </c>
      <c r="S499" s="152">
        <f>IF(D499&lt;1.609,0,IF(B499="F",VLOOKUP(I499,Barem!$X$2:$Z$13,2,1),VLOOKUP(I499,Barem!$X$14:$Z$25,2,1)))</f>
        <v>0.45000000000000007</v>
      </c>
      <c r="T499" s="21">
        <f>VLOOKUP(A499,Participanti!A:C,3,0)</f>
        <v>0</v>
      </c>
      <c r="U499" s="18">
        <f t="shared" si="206"/>
        <v>4.0744047619047619</v>
      </c>
      <c r="V499" s="58" t="s">
        <v>446</v>
      </c>
      <c r="W499" s="77">
        <f t="shared" si="207"/>
        <v>1</v>
      </c>
      <c r="X499" s="1" t="str">
        <f>VLOOKUP(A499,Data_Echipe!A:R,18,0)</f>
        <v>Almost Kenyan Runners</v>
      </c>
      <c r="Z499" s="115">
        <f t="shared" si="208"/>
        <v>1</v>
      </c>
    </row>
    <row r="500" spans="1:26" x14ac:dyDescent="0.3">
      <c r="A500" s="49" t="s">
        <v>100</v>
      </c>
      <c r="B500" s="1" t="str">
        <f>VLOOKUP(A500,Participanti!A:B,2,0)</f>
        <v>F</v>
      </c>
      <c r="C500" s="74">
        <v>6</v>
      </c>
      <c r="D500" s="50">
        <v>10.02</v>
      </c>
      <c r="E500" s="51">
        <v>3.9710648148148148E-2</v>
      </c>
      <c r="F500" s="51">
        <v>4.0555555555555553E-2</v>
      </c>
      <c r="G500" s="69">
        <f t="shared" si="202"/>
        <v>4.013310185185185E-2</v>
      </c>
      <c r="H500" s="52"/>
      <c r="I500" s="12">
        <f t="shared" si="203"/>
        <v>4.0052995860131585E-3</v>
      </c>
      <c r="J500" s="37">
        <f t="shared" si="204"/>
        <v>2.5049999999999999</v>
      </c>
      <c r="K500" s="37">
        <f>IF(J500=0,0,IF(B500="F",VLOOKUP(I500,Barem!$G$2:$H$16,2,1),VLOOKUP(I500,Barem!$G$17:$H$31,2,1)))</f>
        <v>2</v>
      </c>
      <c r="L500" s="50">
        <v>1.5</v>
      </c>
      <c r="M500" s="124" t="s">
        <v>207</v>
      </c>
      <c r="N500" s="10">
        <f t="shared" si="209"/>
        <v>0.25</v>
      </c>
      <c r="O500" s="10">
        <f t="shared" si="209"/>
        <v>0.25</v>
      </c>
      <c r="P500" s="10">
        <f t="shared" si="209"/>
        <v>0.5</v>
      </c>
      <c r="Q500" s="40">
        <f t="shared" si="205"/>
        <v>0</v>
      </c>
      <c r="R500" s="21">
        <f>IF(D500&gt;21,VLOOKUP(D500,Barem!$T$1:$U$141,2,1),0)</f>
        <v>0</v>
      </c>
      <c r="S500" s="152">
        <f>IF(D500&lt;1.609,0,IF(B500="F",VLOOKUP(I500,Barem!$X$2:$Z$13,2,1),VLOOKUP(I500,Barem!$X$14:$Z$25,2,1)))</f>
        <v>0</v>
      </c>
      <c r="T500" s="21">
        <f>VLOOKUP(A500,Participanti!A:C,3,0)</f>
        <v>0</v>
      </c>
      <c r="U500" s="18">
        <f t="shared" si="206"/>
        <v>1.87625</v>
      </c>
      <c r="V500" s="58" t="s">
        <v>446</v>
      </c>
      <c r="W500" s="77">
        <f t="shared" si="207"/>
        <v>1</v>
      </c>
      <c r="X500" s="1" t="e">
        <f>VLOOKUP(A500,Data_Echipe!A:R,18,0)</f>
        <v>#N/A</v>
      </c>
      <c r="Z500" s="115">
        <f t="shared" si="208"/>
        <v>1</v>
      </c>
    </row>
    <row r="501" spans="1:26" x14ac:dyDescent="0.3">
      <c r="A501" s="49" t="s">
        <v>375</v>
      </c>
      <c r="B501" s="1" t="str">
        <f>VLOOKUP(A501,Participanti!A:B,2,0)</f>
        <v>M</v>
      </c>
      <c r="C501" s="74">
        <v>6</v>
      </c>
      <c r="D501" s="50">
        <v>20.25</v>
      </c>
      <c r="E501" s="51">
        <v>0.15099537037037036</v>
      </c>
      <c r="F501" s="51">
        <v>0.15831018518518519</v>
      </c>
      <c r="G501" s="69">
        <f t="shared" si="202"/>
        <v>0.15465277777777778</v>
      </c>
      <c r="H501" s="52">
        <v>1480</v>
      </c>
      <c r="I501" s="12">
        <f t="shared" si="203"/>
        <v>7.6371742112482854E-3</v>
      </c>
      <c r="J501" s="37">
        <f t="shared" si="204"/>
        <v>4.8214285714285712</v>
      </c>
      <c r="K501" s="37">
        <f>IF(J501=0,0,IF(B501="F",VLOOKUP(I501,Barem!$G$2:$H$16,2,1),VLOOKUP(I501,Barem!$G$17:$H$31,2,1)))</f>
        <v>0</v>
      </c>
      <c r="L501" s="50">
        <v>3</v>
      </c>
      <c r="M501" s="124" t="s">
        <v>207</v>
      </c>
      <c r="N501" s="10">
        <f t="shared" si="209"/>
        <v>0.25</v>
      </c>
      <c r="O501" s="10">
        <f t="shared" si="209"/>
        <v>0.25</v>
      </c>
      <c r="P501" s="10">
        <f t="shared" si="209"/>
        <v>0.5</v>
      </c>
      <c r="Q501" s="40">
        <f t="shared" si="205"/>
        <v>0.98666666666666669</v>
      </c>
      <c r="R501" s="21">
        <f>IF(D501&gt;21,VLOOKUP(D501,Barem!$T$1:$U$141,2,1),0)</f>
        <v>0</v>
      </c>
      <c r="S501" s="152">
        <f>IF(D501&lt;1.609,0,IF(B501="F",VLOOKUP(I501,Barem!$X$2:$Z$13,2,1),VLOOKUP(I501,Barem!$X$14:$Z$25,2,1)))</f>
        <v>0</v>
      </c>
      <c r="T501" s="21">
        <f>VLOOKUP(A501,Participanti!A:C,3,0)</f>
        <v>0</v>
      </c>
      <c r="U501" s="18">
        <f t="shared" si="206"/>
        <v>3.6920238095238096</v>
      </c>
      <c r="V501" s="58" t="s">
        <v>446</v>
      </c>
      <c r="W501" s="77">
        <f t="shared" si="207"/>
        <v>1</v>
      </c>
      <c r="X501" s="1" t="e">
        <f>VLOOKUP(A501,Data_Echipe!A:R,18,0)</f>
        <v>#N/A</v>
      </c>
      <c r="Z501" s="115">
        <f t="shared" si="208"/>
        <v>0</v>
      </c>
    </row>
    <row r="502" spans="1:26" x14ac:dyDescent="0.3">
      <c r="A502" s="49" t="s">
        <v>396</v>
      </c>
      <c r="B502" s="1" t="str">
        <f>VLOOKUP(A502,Participanti!A:B,2,0)</f>
        <v>F</v>
      </c>
      <c r="C502" s="74">
        <v>6</v>
      </c>
      <c r="D502" s="50">
        <v>7.3</v>
      </c>
      <c r="E502" s="51">
        <v>3.3240740740740744E-2</v>
      </c>
      <c r="F502" s="51">
        <v>3.4837962962962959E-2</v>
      </c>
      <c r="G502" s="69">
        <f t="shared" si="202"/>
        <v>3.4039351851851848E-2</v>
      </c>
      <c r="H502" s="52"/>
      <c r="I502" s="12">
        <f t="shared" si="203"/>
        <v>4.6629249112125817E-3</v>
      </c>
      <c r="J502" s="37">
        <f t="shared" si="204"/>
        <v>1.825</v>
      </c>
      <c r="K502" s="37">
        <f>IF(J502=0,0,IF(B502="F",VLOOKUP(I502,Barem!$G$2:$H$16,2,1),VLOOKUP(I502,Barem!$G$17:$H$31,2,1)))</f>
        <v>1.25</v>
      </c>
      <c r="L502" s="50">
        <v>4</v>
      </c>
      <c r="M502" s="124" t="s">
        <v>207</v>
      </c>
      <c r="N502" s="10">
        <f t="shared" si="209"/>
        <v>0.25</v>
      </c>
      <c r="O502" s="10">
        <f t="shared" si="209"/>
        <v>0.25</v>
      </c>
      <c r="P502" s="10">
        <f t="shared" si="209"/>
        <v>0.5</v>
      </c>
      <c r="Q502" s="40">
        <f t="shared" si="205"/>
        <v>0</v>
      </c>
      <c r="R502" s="21">
        <f>IF(D502&gt;21,VLOOKUP(D502,Barem!$T$1:$U$141,2,1),0)</f>
        <v>0</v>
      </c>
      <c r="S502" s="152">
        <f>IF(D502&lt;1.609,0,IF(B502="F",VLOOKUP(I502,Barem!$X$2:$Z$13,2,1),VLOOKUP(I502,Barem!$X$14:$Z$25,2,1)))</f>
        <v>0</v>
      </c>
      <c r="T502" s="21">
        <f>VLOOKUP(A502,Participanti!A:C,3,0)</f>
        <v>0</v>
      </c>
      <c r="U502" s="18">
        <f t="shared" si="206"/>
        <v>2.7687499999999998</v>
      </c>
      <c r="V502" s="58" t="s">
        <v>446</v>
      </c>
      <c r="W502" s="77">
        <f t="shared" si="207"/>
        <v>1</v>
      </c>
      <c r="X502" s="1" t="str">
        <f>VLOOKUP(A502,Data_Echipe!A:R,18,0)</f>
        <v>MedgidiaRunning</v>
      </c>
      <c r="Z502" s="115">
        <f t="shared" si="208"/>
        <v>1</v>
      </c>
    </row>
    <row r="503" spans="1:26" x14ac:dyDescent="0.3">
      <c r="A503" s="49" t="s">
        <v>376</v>
      </c>
      <c r="B503" s="1" t="str">
        <f>VLOOKUP(A503,Participanti!A:B,2,0)</f>
        <v>M</v>
      </c>
      <c r="C503" s="74">
        <v>6</v>
      </c>
      <c r="D503" s="50">
        <v>42.27</v>
      </c>
      <c r="E503" s="51">
        <v>0.10831018518518519</v>
      </c>
      <c r="F503" s="51">
        <v>0.1082175925925926</v>
      </c>
      <c r="G503" s="69">
        <f t="shared" si="202"/>
        <v>0.1082638888888889</v>
      </c>
      <c r="H503" s="52">
        <v>124</v>
      </c>
      <c r="I503" s="12">
        <f t="shared" si="203"/>
        <v>2.5612464842415163E-3</v>
      </c>
      <c r="J503" s="37">
        <f t="shared" si="204"/>
        <v>5</v>
      </c>
      <c r="K503" s="37">
        <f>IF(J503=0,0,IF(B503="F",VLOOKUP(I503,Barem!$G$2:$H$16,2,1),VLOOKUP(I503,Barem!$G$17:$H$31,2,1)))</f>
        <v>5</v>
      </c>
      <c r="L503" s="50">
        <v>4</v>
      </c>
      <c r="M503" s="124" t="s">
        <v>207</v>
      </c>
      <c r="N503" s="10">
        <f t="shared" si="209"/>
        <v>0.25</v>
      </c>
      <c r="O503" s="10">
        <f t="shared" si="209"/>
        <v>0.25</v>
      </c>
      <c r="P503" s="10">
        <f t="shared" si="209"/>
        <v>0.5</v>
      </c>
      <c r="Q503" s="40">
        <f t="shared" si="205"/>
        <v>8.2666666666666666E-2</v>
      </c>
      <c r="R503" s="21">
        <f>IF(D503&gt;21,VLOOKUP(D503,Barem!$T$1:$U$141,2,1),0)</f>
        <v>1</v>
      </c>
      <c r="S503" s="152">
        <f>IF(D503&lt;1.609,0,IF(B503="F",VLOOKUP(I503,Barem!$X$2:$Z$13,2,1),VLOOKUP(I503,Barem!$X$14:$Z$25,2,1)))</f>
        <v>1.4999999999999998</v>
      </c>
      <c r="T503" s="21">
        <f>VLOOKUP(A503,Participanti!A:C,3,0)</f>
        <v>0</v>
      </c>
      <c r="U503" s="18">
        <f t="shared" si="206"/>
        <v>7.0826666666666664</v>
      </c>
      <c r="V503" s="58" t="s">
        <v>447</v>
      </c>
      <c r="W503" s="77">
        <f t="shared" si="207"/>
        <v>1</v>
      </c>
      <c r="X503" s="1" t="e">
        <f>VLOOKUP(A503,Data_Echipe!A:R,18,0)</f>
        <v>#N/A</v>
      </c>
      <c r="Z503" s="115">
        <f t="shared" si="208"/>
        <v>1</v>
      </c>
    </row>
    <row r="504" spans="1:26" x14ac:dyDescent="0.3">
      <c r="A504" s="49" t="s">
        <v>78</v>
      </c>
      <c r="B504" s="1" t="str">
        <f>VLOOKUP(A504,Participanti!A:B,2,0)</f>
        <v>M</v>
      </c>
      <c r="C504" s="74">
        <v>6</v>
      </c>
      <c r="D504" s="50">
        <v>33.82</v>
      </c>
      <c r="E504" s="51">
        <v>0.25447916666666665</v>
      </c>
      <c r="F504" s="51">
        <v>0.27269675925925924</v>
      </c>
      <c r="G504" s="69">
        <f t="shared" si="202"/>
        <v>0.26358796296296294</v>
      </c>
      <c r="H504" s="52">
        <v>331</v>
      </c>
      <c r="I504" s="12">
        <f t="shared" si="203"/>
        <v>7.7938486978995549E-3</v>
      </c>
      <c r="J504" s="37">
        <f t="shared" si="204"/>
        <v>5</v>
      </c>
      <c r="K504" s="37">
        <f>IF(J504=0,0,IF(B504="F",VLOOKUP(I504,Barem!$G$2:$H$16,2,1),VLOOKUP(I504,Barem!$G$17:$H$31,2,1)))</f>
        <v>0</v>
      </c>
      <c r="L504" s="50">
        <v>2.5</v>
      </c>
      <c r="M504" s="124" t="s">
        <v>107</v>
      </c>
      <c r="N504" s="10">
        <f t="shared" si="209"/>
        <v>0.25</v>
      </c>
      <c r="O504" s="10">
        <f t="shared" si="209"/>
        <v>0.5</v>
      </c>
      <c r="P504" s="10">
        <f t="shared" si="209"/>
        <v>0.25</v>
      </c>
      <c r="Q504" s="40">
        <f t="shared" si="205"/>
        <v>0.22066666666666668</v>
      </c>
      <c r="R504" s="21">
        <f>IF(D504&gt;21,VLOOKUP(D504,Barem!$T$1:$U$141,2,1),0)</f>
        <v>0.6</v>
      </c>
      <c r="S504" s="152">
        <f>IF(D504&lt;1.609,0,IF(B504="F",VLOOKUP(I504,Barem!$X$2:$Z$13,2,1),VLOOKUP(I504,Barem!$X$14:$Z$25,2,1)))</f>
        <v>0</v>
      </c>
      <c r="T504" s="21">
        <f>VLOOKUP(A504,Participanti!A:C,3,0)</f>
        <v>0.4</v>
      </c>
      <c r="U504" s="18">
        <f t="shared" si="206"/>
        <v>3.0956666666666668</v>
      </c>
      <c r="V504" s="58" t="s">
        <v>447</v>
      </c>
      <c r="W504" s="77">
        <f t="shared" si="207"/>
        <v>1</v>
      </c>
      <c r="X504" s="1" t="str">
        <f>VLOOKUP(A504,Data_Echipe!A:R,18,0)</f>
        <v>Almost Kenyan Runners</v>
      </c>
      <c r="Z504" s="115">
        <f t="shared" si="208"/>
        <v>0</v>
      </c>
    </row>
    <row r="505" spans="1:26" x14ac:dyDescent="0.3">
      <c r="A505" s="49" t="s">
        <v>366</v>
      </c>
      <c r="B505" s="1" t="str">
        <f>VLOOKUP(A505,Participanti!A:B,2,0)</f>
        <v>M</v>
      </c>
      <c r="C505" s="74">
        <v>6</v>
      </c>
      <c r="D505" s="50">
        <v>21.1</v>
      </c>
      <c r="E505" s="51">
        <v>8.458333333333333E-2</v>
      </c>
      <c r="F505" s="51">
        <v>9.8761574074074085E-2</v>
      </c>
      <c r="G505" s="69">
        <f t="shared" si="202"/>
        <v>9.1672453703703707E-2</v>
      </c>
      <c r="H505" s="52">
        <v>96</v>
      </c>
      <c r="I505" s="12">
        <f t="shared" si="203"/>
        <v>4.344666052308232E-3</v>
      </c>
      <c r="J505" s="37">
        <f t="shared" si="204"/>
        <v>5</v>
      </c>
      <c r="K505" s="37">
        <f>IF(J505=0,0,IF(B505="F",VLOOKUP(I505,Barem!$G$2:$H$16,2,1),VLOOKUP(I505,Barem!$G$17:$H$31,2,1)))</f>
        <v>1.25</v>
      </c>
      <c r="L505" s="50">
        <v>3.25</v>
      </c>
      <c r="M505" s="124" t="s">
        <v>106</v>
      </c>
      <c r="N505" s="10">
        <f t="shared" si="209"/>
        <v>0.5</v>
      </c>
      <c r="O505" s="10">
        <f t="shared" si="209"/>
        <v>0.25</v>
      </c>
      <c r="P505" s="10">
        <f t="shared" si="209"/>
        <v>0.25</v>
      </c>
      <c r="Q505" s="40">
        <f t="shared" si="205"/>
        <v>6.4000000000000001E-2</v>
      </c>
      <c r="R505" s="21">
        <f>IF(D505&gt;21,VLOOKUP(D505,Barem!$T$1:$U$141,2,1),0)</f>
        <v>0</v>
      </c>
      <c r="S505" s="152">
        <f>IF(D505&lt;1.609,0,IF(B505="F",VLOOKUP(I505,Barem!$X$2:$Z$13,2,1),VLOOKUP(I505,Barem!$X$14:$Z$25,2,1)))</f>
        <v>0</v>
      </c>
      <c r="T505" s="21">
        <f>VLOOKUP(A505,Participanti!A:C,3,0)</f>
        <v>0</v>
      </c>
      <c r="U505" s="18">
        <f t="shared" si="206"/>
        <v>3.6890000000000001</v>
      </c>
      <c r="V505" s="58" t="s">
        <v>447</v>
      </c>
      <c r="W505" s="77">
        <f t="shared" si="207"/>
        <v>1</v>
      </c>
      <c r="X505" s="1" t="str">
        <f>VLOOKUP(A505,Data_Echipe!A:R,18,0)</f>
        <v>The GOATs</v>
      </c>
      <c r="Z505" s="115">
        <f t="shared" si="208"/>
        <v>1</v>
      </c>
    </row>
    <row r="506" spans="1:26" x14ac:dyDescent="0.3">
      <c r="A506" s="49" t="s">
        <v>370</v>
      </c>
      <c r="B506" s="1" t="str">
        <f>VLOOKUP(A506,Participanti!A:B,2,0)</f>
        <v>F</v>
      </c>
      <c r="C506" s="74">
        <v>6</v>
      </c>
      <c r="D506" s="50">
        <v>10.09</v>
      </c>
      <c r="E506" s="51">
        <v>4.2094907407407407E-2</v>
      </c>
      <c r="F506" s="51">
        <v>4.2268518518518518E-2</v>
      </c>
      <c r="G506" s="69">
        <f t="shared" si="202"/>
        <v>4.2181712962962963E-2</v>
      </c>
      <c r="H506" s="52"/>
      <c r="I506" s="12">
        <f t="shared" si="203"/>
        <v>4.1805463788863193E-3</v>
      </c>
      <c r="J506" s="37">
        <f t="shared" si="204"/>
        <v>2.5225</v>
      </c>
      <c r="K506" s="37">
        <f>IF(J506=0,0,IF(B506="F",VLOOKUP(I506,Barem!$G$2:$H$16,2,1),VLOOKUP(I506,Barem!$G$17:$H$31,2,1)))</f>
        <v>1.75</v>
      </c>
      <c r="L506" s="50">
        <v>4</v>
      </c>
      <c r="M506" s="124" t="s">
        <v>207</v>
      </c>
      <c r="N506" s="10">
        <f t="shared" si="209"/>
        <v>0.25</v>
      </c>
      <c r="O506" s="10">
        <f t="shared" si="209"/>
        <v>0.25</v>
      </c>
      <c r="P506" s="10">
        <f t="shared" si="209"/>
        <v>0.5</v>
      </c>
      <c r="Q506" s="40">
        <f t="shared" si="205"/>
        <v>0</v>
      </c>
      <c r="R506" s="21">
        <f>IF(D506&gt;21,VLOOKUP(D506,Barem!$T$1:$U$141,2,1),0)</f>
        <v>0</v>
      </c>
      <c r="S506" s="152">
        <f>IF(D506&lt;1.609,0,IF(B506="F",VLOOKUP(I506,Barem!$X$2:$Z$13,2,1),VLOOKUP(I506,Barem!$X$14:$Z$25,2,1)))</f>
        <v>0</v>
      </c>
      <c r="T506" s="21">
        <f>VLOOKUP(A506,Participanti!A:C,3,0)</f>
        <v>0</v>
      </c>
      <c r="U506" s="18">
        <f t="shared" si="206"/>
        <v>3.0681250000000002</v>
      </c>
      <c r="V506" s="58" t="s">
        <v>447</v>
      </c>
      <c r="W506" s="77">
        <f t="shared" si="207"/>
        <v>1</v>
      </c>
      <c r="X506" s="1" t="e">
        <f>VLOOKUP(A506,Data_Echipe!A:R,18,0)</f>
        <v>#N/A</v>
      </c>
      <c r="Z506" s="115">
        <f t="shared" si="208"/>
        <v>1</v>
      </c>
    </row>
    <row r="507" spans="1:26" x14ac:dyDescent="0.3">
      <c r="A507" s="49" t="s">
        <v>291</v>
      </c>
      <c r="B507" s="1" t="str">
        <f>VLOOKUP(A507,Participanti!A:B,2,0)</f>
        <v>F</v>
      </c>
      <c r="C507" s="74">
        <v>6</v>
      </c>
      <c r="D507" s="50">
        <v>14.03</v>
      </c>
      <c r="E507" s="51">
        <v>0.15966435185185185</v>
      </c>
      <c r="F507" s="51">
        <v>0.15998842592592591</v>
      </c>
      <c r="G507" s="69">
        <f t="shared" si="202"/>
        <v>0.15982638888888889</v>
      </c>
      <c r="H507" s="52">
        <v>944</v>
      </c>
      <c r="I507" s="12">
        <f t="shared" si="203"/>
        <v>1.139175972123228E-2</v>
      </c>
      <c r="J507" s="37">
        <f t="shared" si="204"/>
        <v>3.5074999999999998</v>
      </c>
      <c r="K507" s="37">
        <f>IF(J507=0,0,IF(B507="F",VLOOKUP(I507,Barem!$G$2:$H$16,2,1),VLOOKUP(I507,Barem!$G$17:$H$31,2,1)))</f>
        <v>0</v>
      </c>
      <c r="L507" s="50">
        <v>3.5</v>
      </c>
      <c r="M507" s="124" t="s">
        <v>207</v>
      </c>
      <c r="N507" s="10">
        <f t="shared" si="209"/>
        <v>0.25</v>
      </c>
      <c r="O507" s="10">
        <f t="shared" si="209"/>
        <v>0.25</v>
      </c>
      <c r="P507" s="10">
        <f t="shared" si="209"/>
        <v>0.5</v>
      </c>
      <c r="Q507" s="40">
        <f t="shared" si="205"/>
        <v>0.6293333333333333</v>
      </c>
      <c r="R507" s="21">
        <f>IF(D507&gt;21,VLOOKUP(D507,Barem!$T$1:$U$141,2,1),0)</f>
        <v>0</v>
      </c>
      <c r="S507" s="152">
        <f>IF(D507&lt;1.609,0,IF(B507="F",VLOOKUP(I507,Barem!$X$2:$Z$13,2,1),VLOOKUP(I507,Barem!$X$14:$Z$25,2,1)))</f>
        <v>0</v>
      </c>
      <c r="T507" s="21">
        <f>VLOOKUP(A507,Participanti!A:C,3,0)</f>
        <v>0</v>
      </c>
      <c r="U507" s="18">
        <f t="shared" si="206"/>
        <v>3.2562083333333334</v>
      </c>
      <c r="V507" s="58" t="s">
        <v>447</v>
      </c>
      <c r="W507" s="77">
        <f t="shared" si="207"/>
        <v>1</v>
      </c>
      <c r="X507" s="1" t="str">
        <f>VLOOKUP(A507,Data_Echipe!A:R,18,0)</f>
        <v>#notSYRious</v>
      </c>
      <c r="Z507" s="115">
        <f t="shared" si="208"/>
        <v>0</v>
      </c>
    </row>
    <row r="508" spans="1:26" x14ac:dyDescent="0.3">
      <c r="A508" s="49" t="s">
        <v>120</v>
      </c>
      <c r="B508" s="1" t="str">
        <f>VLOOKUP(A508,Participanti!A:B,2,0)</f>
        <v>M</v>
      </c>
      <c r="C508" s="74">
        <v>6</v>
      </c>
      <c r="D508" s="50">
        <v>23.01</v>
      </c>
      <c r="E508" s="51">
        <v>8.2488425925925923E-2</v>
      </c>
      <c r="F508" s="51">
        <v>8.4039351851851851E-2</v>
      </c>
      <c r="G508" s="69">
        <f t="shared" si="202"/>
        <v>8.3263888888888887E-2</v>
      </c>
      <c r="H508" s="52">
        <v>81</v>
      </c>
      <c r="I508" s="12">
        <f t="shared" si="203"/>
        <v>3.6185957796127286E-3</v>
      </c>
      <c r="J508" s="37">
        <f t="shared" si="204"/>
        <v>5</v>
      </c>
      <c r="K508" s="37">
        <f>IF(J508=0,0,IF(B508="F",VLOOKUP(I508,Barem!$G$2:$H$16,2,1),VLOOKUP(I508,Barem!$G$17:$H$31,2,1)))</f>
        <v>2.5</v>
      </c>
      <c r="L508" s="50">
        <v>2.5</v>
      </c>
      <c r="M508" s="124" t="s">
        <v>207</v>
      </c>
      <c r="N508" s="10">
        <f t="shared" si="209"/>
        <v>0.25</v>
      </c>
      <c r="O508" s="10">
        <f t="shared" si="209"/>
        <v>0.25</v>
      </c>
      <c r="P508" s="10">
        <f t="shared" si="209"/>
        <v>0.5</v>
      </c>
      <c r="Q508" s="40">
        <f t="shared" si="205"/>
        <v>5.3999999999999999E-2</v>
      </c>
      <c r="R508" s="21">
        <f>IF(D508&gt;21,VLOOKUP(D508,Barem!$T$1:$U$141,2,1),0)</f>
        <v>0.1</v>
      </c>
      <c r="S508" s="152">
        <f>IF(D508&lt;1.609,0,IF(B508="F",VLOOKUP(I508,Barem!$X$2:$Z$13,2,1),VLOOKUP(I508,Barem!$X$14:$Z$25,2,1)))</f>
        <v>0</v>
      </c>
      <c r="T508" s="21">
        <f>VLOOKUP(A508,Participanti!A:C,3,0)</f>
        <v>0</v>
      </c>
      <c r="U508" s="18">
        <f t="shared" si="206"/>
        <v>3.2789999999999999</v>
      </c>
      <c r="V508" s="58" t="s">
        <v>447</v>
      </c>
      <c r="W508" s="77">
        <f t="shared" si="207"/>
        <v>1</v>
      </c>
      <c r="X508" s="1" t="str">
        <f>VLOOKUP(A508,Data_Echipe!A:R,18,0)</f>
        <v>Almost Kenyan Runners</v>
      </c>
      <c r="Z508" s="115">
        <f t="shared" si="208"/>
        <v>1</v>
      </c>
    </row>
    <row r="509" spans="1:26" x14ac:dyDescent="0.3">
      <c r="A509" s="49" t="s">
        <v>204</v>
      </c>
      <c r="B509" s="1" t="str">
        <f>VLOOKUP(A509,Participanti!A:B,2,0)</f>
        <v>M</v>
      </c>
      <c r="C509" s="74">
        <v>6</v>
      </c>
      <c r="D509" s="50">
        <v>11.33</v>
      </c>
      <c r="E509" s="51">
        <v>3.7384259259259263E-2</v>
      </c>
      <c r="F509" s="51">
        <v>3.8101851851851852E-2</v>
      </c>
      <c r="G509" s="69">
        <f t="shared" si="202"/>
        <v>3.7743055555555557E-2</v>
      </c>
      <c r="H509" s="52"/>
      <c r="I509" s="12">
        <f t="shared" si="203"/>
        <v>3.3312493870746298E-3</v>
      </c>
      <c r="J509" s="37">
        <f t="shared" si="204"/>
        <v>2.6976190476190474</v>
      </c>
      <c r="K509" s="37">
        <f>IF(J509=0,0,IF(B509="F",VLOOKUP(I509,Barem!$G$2:$H$16,2,1),VLOOKUP(I509,Barem!$G$17:$H$31,2,1)))</f>
        <v>3</v>
      </c>
      <c r="L509" s="50">
        <v>1.5</v>
      </c>
      <c r="M509" s="124" t="s">
        <v>106</v>
      </c>
      <c r="N509" s="10">
        <f t="shared" si="209"/>
        <v>0.5</v>
      </c>
      <c r="O509" s="10">
        <f t="shared" si="209"/>
        <v>0.25</v>
      </c>
      <c r="P509" s="10">
        <f t="shared" si="209"/>
        <v>0.25</v>
      </c>
      <c r="Q509" s="40">
        <f t="shared" si="205"/>
        <v>0</v>
      </c>
      <c r="R509" s="21">
        <f>IF(D509&gt;21,VLOOKUP(D509,Barem!$T$1:$U$141,2,1),0)</f>
        <v>0</v>
      </c>
      <c r="S509" s="152">
        <f>IF(D509&lt;1.609,0,IF(B509="F",VLOOKUP(I509,Barem!$X$2:$Z$13,2,1),VLOOKUP(I509,Barem!$X$14:$Z$25,2,1)))</f>
        <v>0</v>
      </c>
      <c r="T509" s="21">
        <f>VLOOKUP(A509,Participanti!A:C,3,0)</f>
        <v>0</v>
      </c>
      <c r="U509" s="18">
        <f t="shared" si="206"/>
        <v>2.4738095238095239</v>
      </c>
      <c r="V509" s="58" t="s">
        <v>447</v>
      </c>
      <c r="W509" s="77">
        <f t="shared" si="207"/>
        <v>1</v>
      </c>
      <c r="X509" s="1" t="e">
        <f>VLOOKUP(A509,Data_Echipe!A:R,18,0)</f>
        <v>#N/A</v>
      </c>
      <c r="Z509" s="115">
        <f t="shared" si="208"/>
        <v>1</v>
      </c>
    </row>
    <row r="510" spans="1:26" x14ac:dyDescent="0.3">
      <c r="A510" s="49" t="s">
        <v>292</v>
      </c>
      <c r="B510" s="1" t="str">
        <f>VLOOKUP(A510,Participanti!A:B,2,0)</f>
        <v>F</v>
      </c>
      <c r="C510" s="74">
        <v>6</v>
      </c>
      <c r="D510" s="50">
        <v>11.69</v>
      </c>
      <c r="E510" s="51">
        <v>6.732638888888888E-2</v>
      </c>
      <c r="F510" s="51">
        <v>7.6817129629629624E-2</v>
      </c>
      <c r="G510" s="69">
        <f t="shared" si="202"/>
        <v>7.2071759259259252E-2</v>
      </c>
      <c r="H510" s="52">
        <v>414</v>
      </c>
      <c r="I510" s="12">
        <f t="shared" si="203"/>
        <v>6.1652488673446752E-3</v>
      </c>
      <c r="J510" s="37">
        <f t="shared" si="204"/>
        <v>2.9224999999999999</v>
      </c>
      <c r="K510" s="37">
        <f>IF(J510=0,0,IF(B510="F",VLOOKUP(I510,Barem!$G$2:$H$16,2,1),VLOOKUP(I510,Barem!$G$17:$H$31,2,1)))</f>
        <v>0.25</v>
      </c>
      <c r="L510" s="50">
        <v>1.25</v>
      </c>
      <c r="M510" s="124" t="s">
        <v>207</v>
      </c>
      <c r="N510" s="10">
        <f t="shared" si="209"/>
        <v>0.25</v>
      </c>
      <c r="O510" s="10">
        <f t="shared" si="209"/>
        <v>0.25</v>
      </c>
      <c r="P510" s="10">
        <f t="shared" si="209"/>
        <v>0.5</v>
      </c>
      <c r="Q510" s="40">
        <f t="shared" si="205"/>
        <v>0.27600000000000002</v>
      </c>
      <c r="R510" s="21">
        <f>IF(D510&gt;21,VLOOKUP(D510,Barem!$T$1:$U$141,2,1),0)</f>
        <v>0</v>
      </c>
      <c r="S510" s="152">
        <f>IF(D510&lt;1.609,0,IF(B510="F",VLOOKUP(I510,Barem!$X$2:$Z$13,2,1),VLOOKUP(I510,Barem!$X$14:$Z$25,2,1)))</f>
        <v>0</v>
      </c>
      <c r="T510" s="21">
        <f>VLOOKUP(A510,Participanti!A:C,3,0)</f>
        <v>0</v>
      </c>
      <c r="U510" s="18">
        <f t="shared" si="206"/>
        <v>1.6941249999999999</v>
      </c>
      <c r="V510" s="58" t="s">
        <v>447</v>
      </c>
      <c r="W510" s="77">
        <f t="shared" si="207"/>
        <v>1</v>
      </c>
      <c r="X510" s="1" t="e">
        <f>VLOOKUP(A510,Data_Echipe!A:R,18,0)</f>
        <v>#N/A</v>
      </c>
      <c r="Z510" s="115">
        <f t="shared" si="208"/>
        <v>1</v>
      </c>
    </row>
    <row r="511" spans="1:26" x14ac:dyDescent="0.3">
      <c r="A511" s="49" t="s">
        <v>359</v>
      </c>
      <c r="B511" s="1" t="str">
        <f>VLOOKUP(A511,Participanti!A:B,2,0)</f>
        <v>M</v>
      </c>
      <c r="C511" s="74">
        <v>6</v>
      </c>
      <c r="D511" s="50">
        <v>18.21</v>
      </c>
      <c r="E511" s="51">
        <v>7.2916666666666671E-2</v>
      </c>
      <c r="F511" s="51">
        <v>7.2951388888888885E-2</v>
      </c>
      <c r="G511" s="69">
        <f t="shared" si="202"/>
        <v>7.2934027777777771E-2</v>
      </c>
      <c r="H511" s="52">
        <v>75</v>
      </c>
      <c r="I511" s="12">
        <f t="shared" si="203"/>
        <v>4.0051635243150887E-3</v>
      </c>
      <c r="J511" s="37">
        <f t="shared" si="204"/>
        <v>4.3357142857142854</v>
      </c>
      <c r="K511" s="37">
        <f>IF(J511=0,0,IF(B511="F",VLOOKUP(I511,Barem!$G$2:$H$16,2,1),VLOOKUP(I511,Barem!$G$17:$H$31,2,1)))</f>
        <v>1.5</v>
      </c>
      <c r="L511" s="50">
        <v>1.25</v>
      </c>
      <c r="M511" s="124" t="s">
        <v>106</v>
      </c>
      <c r="N511" s="10">
        <f t="shared" si="209"/>
        <v>0.5</v>
      </c>
      <c r="O511" s="10">
        <f t="shared" si="209"/>
        <v>0.25</v>
      </c>
      <c r="P511" s="10">
        <f t="shared" si="209"/>
        <v>0.25</v>
      </c>
      <c r="Q511" s="40">
        <f t="shared" si="205"/>
        <v>0.05</v>
      </c>
      <c r="R511" s="21">
        <f>IF(D511&gt;21,VLOOKUP(D511,Barem!$T$1:$U$141,2,1),0)</f>
        <v>0</v>
      </c>
      <c r="S511" s="152">
        <f>IF(D511&lt;1.609,0,IF(B511="F",VLOOKUP(I511,Barem!$X$2:$Z$13,2,1),VLOOKUP(I511,Barem!$X$14:$Z$25,2,1)))</f>
        <v>0</v>
      </c>
      <c r="T511" s="21">
        <f>VLOOKUP(A511,Participanti!A:C,3,0)</f>
        <v>0</v>
      </c>
      <c r="U511" s="18">
        <f t="shared" si="206"/>
        <v>2.9053571428571425</v>
      </c>
      <c r="V511" s="58" t="s">
        <v>447</v>
      </c>
      <c r="W511" s="77">
        <f t="shared" si="207"/>
        <v>1</v>
      </c>
      <c r="X511" s="1" t="str">
        <f>VLOOKUP(A511,Data_Echipe!A:R,18,0)</f>
        <v>Almost Kenyan Runners</v>
      </c>
      <c r="Z511" s="115">
        <f t="shared" si="208"/>
        <v>1</v>
      </c>
    </row>
    <row r="512" spans="1:26" x14ac:dyDescent="0.3">
      <c r="A512" s="49" t="s">
        <v>137</v>
      </c>
      <c r="B512" s="1" t="str">
        <f>VLOOKUP(A512,Participanti!A:B,2,0)</f>
        <v>M</v>
      </c>
      <c r="C512" s="74">
        <v>6</v>
      </c>
      <c r="D512" s="50">
        <v>12.24</v>
      </c>
      <c r="E512" s="51">
        <v>4.0682870370370376E-2</v>
      </c>
      <c r="F512" s="51">
        <v>4.0682870370370376E-2</v>
      </c>
      <c r="G512" s="69">
        <f t="shared" si="202"/>
        <v>4.0682870370370376E-2</v>
      </c>
      <c r="H512" s="52"/>
      <c r="I512" s="12">
        <f t="shared" si="203"/>
        <v>3.3237639191479066E-3</v>
      </c>
      <c r="J512" s="37">
        <f t="shared" si="204"/>
        <v>2.9142857142857141</v>
      </c>
      <c r="K512" s="37">
        <f>IF(J512=0,0,IF(B512="F",VLOOKUP(I512,Barem!$G$2:$H$16,2,1),VLOOKUP(I512,Barem!$G$17:$H$31,2,1)))</f>
        <v>3</v>
      </c>
      <c r="L512" s="50">
        <v>2</v>
      </c>
      <c r="M512" s="124" t="s">
        <v>107</v>
      </c>
      <c r="N512" s="10">
        <f t="shared" si="209"/>
        <v>0.25</v>
      </c>
      <c r="O512" s="10">
        <f t="shared" si="209"/>
        <v>0.5</v>
      </c>
      <c r="P512" s="10">
        <f t="shared" si="209"/>
        <v>0.25</v>
      </c>
      <c r="Q512" s="40">
        <f t="shared" si="205"/>
        <v>0</v>
      </c>
      <c r="R512" s="21">
        <f>IF(D512&gt;21,VLOOKUP(D512,Barem!$T$1:$U$141,2,1),0)</f>
        <v>0</v>
      </c>
      <c r="S512" s="152">
        <f>IF(D512&lt;1.609,0,IF(B512="F",VLOOKUP(I512,Barem!$X$2:$Z$13,2,1),VLOOKUP(I512,Barem!$X$14:$Z$25,2,1)))</f>
        <v>0</v>
      </c>
      <c r="T512" s="21">
        <f>VLOOKUP(A512,Participanti!A:C,3,0)</f>
        <v>0</v>
      </c>
      <c r="U512" s="18">
        <f t="shared" si="206"/>
        <v>2.7285714285714286</v>
      </c>
      <c r="V512" s="58" t="s">
        <v>447</v>
      </c>
      <c r="W512" s="77">
        <f t="shared" si="207"/>
        <v>1</v>
      </c>
      <c r="X512" s="1" t="str">
        <f>VLOOKUP(A512,Data_Echipe!A:R,18,0)</f>
        <v>The GOATs</v>
      </c>
      <c r="Z512" s="115">
        <f t="shared" si="208"/>
        <v>1</v>
      </c>
    </row>
    <row r="513" spans="1:26" x14ac:dyDescent="0.3">
      <c r="A513" s="49" t="s">
        <v>226</v>
      </c>
      <c r="B513" s="1" t="str">
        <f>VLOOKUP(A513,Participanti!A:B,2,0)</f>
        <v>M</v>
      </c>
      <c r="C513" s="74">
        <v>6</v>
      </c>
      <c r="D513" s="50">
        <v>16.98</v>
      </c>
      <c r="E513" s="51">
        <v>7.6018518518518527E-2</v>
      </c>
      <c r="F513" s="51">
        <v>7.6226851851851851E-2</v>
      </c>
      <c r="G513" s="69">
        <f t="shared" ref="G513:G558" si="210">AVERAGE(E513:F513)</f>
        <v>7.6122685185185196E-2</v>
      </c>
      <c r="H513" s="52"/>
      <c r="I513" s="12">
        <f t="shared" ref="I513:I558" si="211">G513/D513</f>
        <v>4.4830792217423554E-3</v>
      </c>
      <c r="J513" s="37">
        <f t="shared" ref="J513:J558" si="212">IF(B513="F",IF(D513&lt;2.5,0,IF(D513&gt;19.99,5,D513/4)),IF(D513&lt;3,0, IF(D513&gt;20.99,5,D513/4.2)))</f>
        <v>4.0428571428571427</v>
      </c>
      <c r="K513" s="37">
        <f>IF(J513=0,0,IF(B513="F",VLOOKUP(I513,Barem!$G$2:$H$16,2,1),VLOOKUP(I513,Barem!$G$17:$H$31,2,1)))</f>
        <v>1</v>
      </c>
      <c r="L513" s="50">
        <v>1.5</v>
      </c>
      <c r="M513" s="124" t="s">
        <v>207</v>
      </c>
      <c r="N513" s="10">
        <f t="shared" si="209"/>
        <v>0.25</v>
      </c>
      <c r="O513" s="10">
        <f t="shared" si="209"/>
        <v>0.25</v>
      </c>
      <c r="P513" s="10">
        <f t="shared" si="209"/>
        <v>0.5</v>
      </c>
      <c r="Q513" s="40">
        <f t="shared" ref="Q513:Q558" si="213">IF(H513&gt;49,H513/1500,0)</f>
        <v>0</v>
      </c>
      <c r="R513" s="21">
        <f>IF(D513&gt;21,VLOOKUP(D513,Barem!$T$1:$U$141,2,1),0)</f>
        <v>0</v>
      </c>
      <c r="S513" s="152">
        <f>IF(D513&lt;1.609,0,IF(B513="F",VLOOKUP(I513,Barem!$X$2:$Z$13,2,1),VLOOKUP(I513,Barem!$X$14:$Z$25,2,1)))</f>
        <v>0</v>
      </c>
      <c r="T513" s="21">
        <f>VLOOKUP(A513,Participanti!A:C,3,0)</f>
        <v>0</v>
      </c>
      <c r="U513" s="18">
        <f t="shared" ref="U513:U558" si="214">IF(H513&lt;0,0,J513*N513+K513*O513+L513*P513+Q513+R513+S513+T513)</f>
        <v>2.0107142857142857</v>
      </c>
      <c r="V513" s="58" t="s">
        <v>447</v>
      </c>
      <c r="W513" s="77">
        <f t="shared" si="207"/>
        <v>1</v>
      </c>
      <c r="X513" s="1" t="e">
        <f>VLOOKUP(A513,Data_Echipe!A:R,18,0)</f>
        <v>#N/A</v>
      </c>
      <c r="Z513" s="115">
        <f t="shared" ref="Z513:Z558" si="215">IF(K513&gt;0,1,0)</f>
        <v>1</v>
      </c>
    </row>
    <row r="514" spans="1:26" x14ac:dyDescent="0.3">
      <c r="A514" s="49" t="s">
        <v>64</v>
      </c>
      <c r="B514" s="1" t="str">
        <f>VLOOKUP(A514,Participanti!A:B,2,0)</f>
        <v>F</v>
      </c>
      <c r="C514" s="74">
        <v>6</v>
      </c>
      <c r="D514" s="50">
        <v>8.1</v>
      </c>
      <c r="E514" s="51">
        <v>4.1874999999999996E-2</v>
      </c>
      <c r="F514" s="51">
        <v>6.2546296296296294E-2</v>
      </c>
      <c r="G514" s="69">
        <f t="shared" si="210"/>
        <v>5.2210648148148145E-2</v>
      </c>
      <c r="H514" s="52"/>
      <c r="I514" s="12">
        <f t="shared" si="211"/>
        <v>6.4457590306355736E-3</v>
      </c>
      <c r="J514" s="37">
        <f t="shared" si="212"/>
        <v>2.0249999999999999</v>
      </c>
      <c r="K514" s="37">
        <f>IF(J514=0,0,IF(B514="F",VLOOKUP(I514,Barem!$G$2:$H$16,2,1),VLOOKUP(I514,Barem!$G$17:$H$31,2,1)))</f>
        <v>0</v>
      </c>
      <c r="L514" s="50">
        <v>2.25</v>
      </c>
      <c r="M514" s="124" t="s">
        <v>207</v>
      </c>
      <c r="N514" s="10">
        <f t="shared" si="209"/>
        <v>0.25</v>
      </c>
      <c r="O514" s="10">
        <f t="shared" si="209"/>
        <v>0.25</v>
      </c>
      <c r="P514" s="10">
        <f t="shared" si="209"/>
        <v>0.5</v>
      </c>
      <c r="Q514" s="40">
        <f t="shared" si="213"/>
        <v>0</v>
      </c>
      <c r="R514" s="21">
        <f>IF(D514&gt;21,VLOOKUP(D514,Barem!$T$1:$U$141,2,1),0)</f>
        <v>0</v>
      </c>
      <c r="S514" s="152">
        <f>IF(D514&lt;1.609,0,IF(B514="F",VLOOKUP(I514,Barem!$X$2:$Z$13,2,1),VLOOKUP(I514,Barem!$X$14:$Z$25,2,1)))</f>
        <v>0</v>
      </c>
      <c r="T514" s="21">
        <f>VLOOKUP(A514,Participanti!A:C,3,0)</f>
        <v>0.7</v>
      </c>
      <c r="U514" s="18">
        <f t="shared" si="214"/>
        <v>2.3312499999999998</v>
      </c>
      <c r="V514" s="58" t="s">
        <v>447</v>
      </c>
      <c r="W514" s="77">
        <f t="shared" ref="W514:W577" si="216">COUNTIFS(A:A,A514,C:C,C514)</f>
        <v>1</v>
      </c>
      <c r="X514" s="1" t="str">
        <f>VLOOKUP(A514,Data_Echipe!A:R,18,0)</f>
        <v>UltraHaita lu' Borcan</v>
      </c>
      <c r="Z514" s="115">
        <f t="shared" si="215"/>
        <v>0</v>
      </c>
    </row>
    <row r="515" spans="1:26" x14ac:dyDescent="0.3">
      <c r="A515" s="49" t="s">
        <v>357</v>
      </c>
      <c r="B515" s="1" t="str">
        <f>VLOOKUP(A515,Participanti!A:B,2,0)</f>
        <v>M</v>
      </c>
      <c r="C515" s="74">
        <v>6</v>
      </c>
      <c r="D515" s="50">
        <v>10.31</v>
      </c>
      <c r="E515" s="51">
        <v>3.8402777777777779E-2</v>
      </c>
      <c r="F515" s="51">
        <v>3.8437499999999999E-2</v>
      </c>
      <c r="G515" s="69">
        <f t="shared" si="210"/>
        <v>3.8420138888888886E-2</v>
      </c>
      <c r="H515" s="52"/>
      <c r="I515" s="12">
        <f t="shared" si="211"/>
        <v>3.7264926177389798E-3</v>
      </c>
      <c r="J515" s="37">
        <f t="shared" si="212"/>
        <v>2.4547619047619049</v>
      </c>
      <c r="K515" s="37">
        <f>IF(J515=0,0,IF(B515="F",VLOOKUP(I515,Barem!$G$2:$H$16,2,1),VLOOKUP(I515,Barem!$G$17:$H$31,2,1)))</f>
        <v>2</v>
      </c>
      <c r="L515" s="50">
        <v>2</v>
      </c>
      <c r="M515" s="124" t="s">
        <v>207</v>
      </c>
      <c r="N515" s="10">
        <f t="shared" si="209"/>
        <v>0.25</v>
      </c>
      <c r="O515" s="10">
        <f t="shared" si="209"/>
        <v>0.25</v>
      </c>
      <c r="P515" s="10">
        <f t="shared" si="209"/>
        <v>0.5</v>
      </c>
      <c r="Q515" s="40">
        <f t="shared" si="213"/>
        <v>0</v>
      </c>
      <c r="R515" s="21">
        <f>IF(D515&gt;21,VLOOKUP(D515,Barem!$T$1:$U$141,2,1),0)</f>
        <v>0</v>
      </c>
      <c r="S515" s="152">
        <f>IF(D515&lt;1.609,0,IF(B515="F",VLOOKUP(I515,Barem!$X$2:$Z$13,2,1),VLOOKUP(I515,Barem!$X$14:$Z$25,2,1)))</f>
        <v>0</v>
      </c>
      <c r="T515" s="21">
        <f>VLOOKUP(A515,Participanti!A:C,3,0)</f>
        <v>0</v>
      </c>
      <c r="U515" s="18">
        <f t="shared" si="214"/>
        <v>2.1136904761904765</v>
      </c>
      <c r="V515" s="58" t="s">
        <v>447</v>
      </c>
      <c r="W515" s="77">
        <f t="shared" si="216"/>
        <v>1</v>
      </c>
      <c r="X515" s="1" t="e">
        <f>VLOOKUP(A515,Data_Echipe!A:R,18,0)</f>
        <v>#N/A</v>
      </c>
      <c r="Z515" s="115">
        <f t="shared" si="215"/>
        <v>1</v>
      </c>
    </row>
    <row r="516" spans="1:26" x14ac:dyDescent="0.3">
      <c r="A516" s="49" t="s">
        <v>398</v>
      </c>
      <c r="B516" s="1" t="str">
        <f>VLOOKUP(A516,Participanti!A:B,2,0)</f>
        <v>F</v>
      </c>
      <c r="C516" s="74">
        <v>6</v>
      </c>
      <c r="D516" s="50">
        <v>5.0199999999999996</v>
      </c>
      <c r="E516" s="51">
        <v>3.6689814814814821E-2</v>
      </c>
      <c r="F516" s="51">
        <v>4.1608796296296297E-2</v>
      </c>
      <c r="G516" s="69">
        <f t="shared" si="210"/>
        <v>3.9149305555555555E-2</v>
      </c>
      <c r="H516" s="52"/>
      <c r="I516" s="12">
        <f t="shared" si="211"/>
        <v>7.7986664453297922E-3</v>
      </c>
      <c r="J516" s="37">
        <f t="shared" si="212"/>
        <v>1.2549999999999999</v>
      </c>
      <c r="K516" s="37">
        <f>IF(J516=0,0,IF(B516="F",VLOOKUP(I516,Barem!$G$2:$H$16,2,1),VLOOKUP(I516,Barem!$G$17:$H$31,2,1)))</f>
        <v>0</v>
      </c>
      <c r="L516" s="50">
        <v>2</v>
      </c>
      <c r="M516" s="124" t="s">
        <v>207</v>
      </c>
      <c r="N516" s="10">
        <f t="shared" si="209"/>
        <v>0.25</v>
      </c>
      <c r="O516" s="10">
        <f t="shared" si="209"/>
        <v>0.25</v>
      </c>
      <c r="P516" s="10">
        <f t="shared" si="209"/>
        <v>0.5</v>
      </c>
      <c r="Q516" s="40">
        <f t="shared" si="213"/>
        <v>0</v>
      </c>
      <c r="R516" s="21">
        <f>IF(D516&gt;21,VLOOKUP(D516,Barem!$T$1:$U$141,2,1),0)</f>
        <v>0</v>
      </c>
      <c r="S516" s="152">
        <f>IF(D516&lt;1.609,0,IF(B516="F",VLOOKUP(I516,Barem!$X$2:$Z$13,2,1),VLOOKUP(I516,Barem!$X$14:$Z$25,2,1)))</f>
        <v>0</v>
      </c>
      <c r="T516" s="21">
        <f>VLOOKUP(A516,Participanti!A:C,3,0)</f>
        <v>0.7</v>
      </c>
      <c r="U516" s="18">
        <f t="shared" si="214"/>
        <v>2.0137499999999999</v>
      </c>
      <c r="V516" s="58" t="s">
        <v>447</v>
      </c>
      <c r="W516" s="77">
        <f t="shared" si="216"/>
        <v>1</v>
      </c>
      <c r="X516" s="1" t="e">
        <f>VLOOKUP(A516,Data_Echipe!A:R,18,0)</f>
        <v>#N/A</v>
      </c>
      <c r="Z516" s="115">
        <f t="shared" si="215"/>
        <v>0</v>
      </c>
    </row>
    <row r="517" spans="1:26" x14ac:dyDescent="0.3">
      <c r="A517" s="49" t="s">
        <v>448</v>
      </c>
      <c r="B517" s="1" t="str">
        <f>VLOOKUP(A517,Participanti!A:B,2,0)</f>
        <v>M</v>
      </c>
      <c r="C517" s="74">
        <v>6</v>
      </c>
      <c r="D517" s="50">
        <v>27.19</v>
      </c>
      <c r="E517" s="51">
        <v>0.11440972222222223</v>
      </c>
      <c r="F517" s="51">
        <v>0.11552083333333334</v>
      </c>
      <c r="G517" s="69">
        <f t="shared" si="210"/>
        <v>0.11496527777777779</v>
      </c>
      <c r="H517" s="52"/>
      <c r="I517" s="12">
        <f t="shared" si="211"/>
        <v>4.2282191165052517E-3</v>
      </c>
      <c r="J517" s="37">
        <f t="shared" si="212"/>
        <v>5</v>
      </c>
      <c r="K517" s="37">
        <f>IF(J517=0,0,IF(B517="F",VLOOKUP(I517,Barem!$G$2:$H$16,2,1),VLOOKUP(I517,Barem!$G$17:$H$31,2,1)))</f>
        <v>1.25</v>
      </c>
      <c r="L517" s="50">
        <v>0.5</v>
      </c>
      <c r="M517" s="124" t="s">
        <v>207</v>
      </c>
      <c r="N517" s="10">
        <f t="shared" si="209"/>
        <v>0.25</v>
      </c>
      <c r="O517" s="10">
        <f t="shared" si="209"/>
        <v>0.25</v>
      </c>
      <c r="P517" s="10">
        <f t="shared" si="209"/>
        <v>0.5</v>
      </c>
      <c r="Q517" s="40">
        <f t="shared" si="213"/>
        <v>0</v>
      </c>
      <c r="R517" s="21">
        <f>IF(D517&gt;21,VLOOKUP(D517,Barem!$T$1:$U$141,2,1),0)</f>
        <v>0.3</v>
      </c>
      <c r="S517" s="152">
        <f>IF(D517&lt;1.609,0,IF(B517="F",VLOOKUP(I517,Barem!$X$2:$Z$13,2,1),VLOOKUP(I517,Barem!$X$14:$Z$25,2,1)))</f>
        <v>0</v>
      </c>
      <c r="T517" s="21">
        <f>VLOOKUP(A517,Participanti!A:C,3,0)</f>
        <v>0</v>
      </c>
      <c r="U517" s="18">
        <f t="shared" si="214"/>
        <v>2.1124999999999998</v>
      </c>
      <c r="V517" s="58" t="s">
        <v>447</v>
      </c>
      <c r="W517" s="77">
        <f t="shared" si="216"/>
        <v>1</v>
      </c>
      <c r="X517" s="1" t="e">
        <f>VLOOKUP(A517,Data_Echipe!A:R,18,0)</f>
        <v>#N/A</v>
      </c>
      <c r="Z517" s="115">
        <f t="shared" si="215"/>
        <v>1</v>
      </c>
    </row>
    <row r="518" spans="1:26" x14ac:dyDescent="0.3">
      <c r="A518" s="49" t="s">
        <v>392</v>
      </c>
      <c r="B518" s="1" t="str">
        <f>VLOOKUP(A518,Participanti!A:B,2,0)</f>
        <v>M</v>
      </c>
      <c r="C518" s="74">
        <v>6</v>
      </c>
      <c r="D518" s="50">
        <v>21.11</v>
      </c>
      <c r="E518" s="51">
        <v>0.10017361111111112</v>
      </c>
      <c r="F518" s="51">
        <v>0.1013425925925926</v>
      </c>
      <c r="G518" s="69">
        <f t="shared" si="210"/>
        <v>0.10075810185185186</v>
      </c>
      <c r="H518" s="52"/>
      <c r="I518" s="12">
        <f t="shared" si="211"/>
        <v>4.7730034036879134E-3</v>
      </c>
      <c r="J518" s="37">
        <f t="shared" si="212"/>
        <v>5</v>
      </c>
      <c r="K518" s="37">
        <f>IF(J518=0,0,IF(B518="F",VLOOKUP(I518,Barem!$G$2:$H$16,2,1),VLOOKUP(I518,Barem!$G$17:$H$31,2,1)))</f>
        <v>0.5</v>
      </c>
      <c r="L518" s="50">
        <v>2</v>
      </c>
      <c r="M518" s="124" t="s">
        <v>106</v>
      </c>
      <c r="N518" s="10">
        <f t="shared" si="209"/>
        <v>0.5</v>
      </c>
      <c r="O518" s="10">
        <f t="shared" si="209"/>
        <v>0.25</v>
      </c>
      <c r="P518" s="10">
        <f t="shared" si="209"/>
        <v>0.25</v>
      </c>
      <c r="Q518" s="40">
        <f t="shared" si="213"/>
        <v>0</v>
      </c>
      <c r="R518" s="21">
        <f>IF(D518&gt;21,VLOOKUP(D518,Barem!$T$1:$U$141,2,1),0)</f>
        <v>0</v>
      </c>
      <c r="S518" s="152">
        <f>IF(D518&lt;1.609,0,IF(B518="F",VLOOKUP(I518,Barem!$X$2:$Z$13,2,1),VLOOKUP(I518,Barem!$X$14:$Z$25,2,1)))</f>
        <v>0</v>
      </c>
      <c r="T518" s="21">
        <f>VLOOKUP(A518,Participanti!A:C,3,0)</f>
        <v>0</v>
      </c>
      <c r="U518" s="18">
        <f t="shared" si="214"/>
        <v>3.125</v>
      </c>
      <c r="V518" s="58" t="s">
        <v>447</v>
      </c>
      <c r="W518" s="77">
        <f t="shared" si="216"/>
        <v>1</v>
      </c>
      <c r="X518" s="1" t="e">
        <f>VLOOKUP(A518,Data_Echipe!A:R,18,0)</f>
        <v>#N/A</v>
      </c>
      <c r="Z518" s="115">
        <f t="shared" si="215"/>
        <v>1</v>
      </c>
    </row>
    <row r="519" spans="1:26" x14ac:dyDescent="0.3">
      <c r="A519" s="49" t="s">
        <v>353</v>
      </c>
      <c r="B519" s="1" t="str">
        <f>VLOOKUP(A519,Participanti!A:B,2,0)</f>
        <v>M</v>
      </c>
      <c r="C519" s="74">
        <v>6</v>
      </c>
      <c r="D519" s="50">
        <v>28.01</v>
      </c>
      <c r="E519" s="51">
        <v>9.8425925925925917E-2</v>
      </c>
      <c r="F519" s="51">
        <v>9.869212962962963E-2</v>
      </c>
      <c r="G519" s="69">
        <f t="shared" si="210"/>
        <v>9.855902777777778E-2</v>
      </c>
      <c r="H519" s="52"/>
      <c r="I519" s="12">
        <f t="shared" si="211"/>
        <v>3.5187085961363002E-3</v>
      </c>
      <c r="J519" s="37">
        <f t="shared" si="212"/>
        <v>5</v>
      </c>
      <c r="K519" s="37">
        <f>IF(J519=0,0,IF(B519="F",VLOOKUP(I519,Barem!$G$2:$H$16,2,1),VLOOKUP(I519,Barem!$G$17:$H$31,2,1)))</f>
        <v>2.5</v>
      </c>
      <c r="L519" s="50">
        <v>2</v>
      </c>
      <c r="M519" s="124" t="s">
        <v>106</v>
      </c>
      <c r="N519" s="10">
        <f t="shared" si="209"/>
        <v>0.5</v>
      </c>
      <c r="O519" s="10">
        <f t="shared" si="209"/>
        <v>0.25</v>
      </c>
      <c r="P519" s="10">
        <f t="shared" si="209"/>
        <v>0.25</v>
      </c>
      <c r="Q519" s="40">
        <f t="shared" si="213"/>
        <v>0</v>
      </c>
      <c r="R519" s="21">
        <f>IF(D519&gt;21,VLOOKUP(D519,Barem!$T$1:$U$141,2,1),0)</f>
        <v>0.3</v>
      </c>
      <c r="S519" s="152">
        <f>IF(D519&lt;1.609,0,IF(B519="F",VLOOKUP(I519,Barem!$X$2:$Z$13,2,1),VLOOKUP(I519,Barem!$X$14:$Z$25,2,1)))</f>
        <v>0</v>
      </c>
      <c r="T519" s="21">
        <f>VLOOKUP(A519,Participanti!A:C,3,0)</f>
        <v>0</v>
      </c>
      <c r="U519" s="18">
        <f t="shared" si="214"/>
        <v>3.9249999999999998</v>
      </c>
      <c r="V519" s="58" t="s">
        <v>447</v>
      </c>
      <c r="W519" s="77">
        <f t="shared" si="216"/>
        <v>1</v>
      </c>
      <c r="X519" s="1" t="e">
        <f>VLOOKUP(A519,Data_Echipe!A:R,18,0)</f>
        <v>#N/A</v>
      </c>
      <c r="Z519" s="115">
        <f t="shared" si="215"/>
        <v>1</v>
      </c>
    </row>
    <row r="520" spans="1:26" x14ac:dyDescent="0.3">
      <c r="A520" s="49" t="s">
        <v>133</v>
      </c>
      <c r="B520" s="1" t="str">
        <f>VLOOKUP(A520,Participanti!A:B,2,0)</f>
        <v>M</v>
      </c>
      <c r="C520" s="74">
        <v>6</v>
      </c>
      <c r="D520" s="50">
        <v>42.25</v>
      </c>
      <c r="E520" s="51">
        <v>0.14420138888888889</v>
      </c>
      <c r="F520" s="51">
        <v>0.144375</v>
      </c>
      <c r="G520" s="69">
        <f t="shared" si="210"/>
        <v>0.14428819444444446</v>
      </c>
      <c r="H520" s="52"/>
      <c r="I520" s="12">
        <f t="shared" si="211"/>
        <v>3.4151051939513483E-3</v>
      </c>
      <c r="J520" s="37">
        <f t="shared" si="212"/>
        <v>5</v>
      </c>
      <c r="K520" s="37">
        <f>IF(J520=0,0,IF(B520="F",VLOOKUP(I520,Barem!$G$2:$H$16,2,1),VLOOKUP(I520,Barem!$G$17:$H$31,2,1)))</f>
        <v>3</v>
      </c>
      <c r="L520" s="50">
        <v>1</v>
      </c>
      <c r="M520" s="124" t="s">
        <v>106</v>
      </c>
      <c r="N520" s="10">
        <f t="shared" si="209"/>
        <v>0.5</v>
      </c>
      <c r="O520" s="10">
        <f t="shared" si="209"/>
        <v>0.25</v>
      </c>
      <c r="P520" s="10">
        <f t="shared" si="209"/>
        <v>0.25</v>
      </c>
      <c r="Q520" s="40">
        <f t="shared" si="213"/>
        <v>0</v>
      </c>
      <c r="R520" s="21">
        <f>IF(D520&gt;21,VLOOKUP(D520,Barem!$T$1:$U$141,2,1),0)</f>
        <v>1</v>
      </c>
      <c r="S520" s="152">
        <f>IF(D520&lt;1.609,0,IF(B520="F",VLOOKUP(I520,Barem!$X$2:$Z$13,2,1),VLOOKUP(I520,Barem!$X$14:$Z$25,2,1)))</f>
        <v>0</v>
      </c>
      <c r="T520" s="21">
        <f>VLOOKUP(A520,Participanti!A:C,3,0)</f>
        <v>0.4</v>
      </c>
      <c r="U520" s="18">
        <f t="shared" si="214"/>
        <v>4.9000000000000004</v>
      </c>
      <c r="V520" s="58" t="s">
        <v>447</v>
      </c>
      <c r="W520" s="77">
        <f t="shared" si="216"/>
        <v>1</v>
      </c>
      <c r="X520" s="1" t="str">
        <f>VLOOKUP(A520,Data_Echipe!A:R,18,0)</f>
        <v>UltraHaita lu' Borcan</v>
      </c>
      <c r="Z520" s="115">
        <f t="shared" si="215"/>
        <v>1</v>
      </c>
    </row>
    <row r="521" spans="1:26" x14ac:dyDescent="0.3">
      <c r="A521" s="132" t="s">
        <v>284</v>
      </c>
      <c r="B521" s="133" t="str">
        <f>VLOOKUP(A521,Participanti!A:B,2,0)</f>
        <v>M</v>
      </c>
      <c r="C521" s="134">
        <v>6</v>
      </c>
      <c r="D521" s="135">
        <v>0</v>
      </c>
      <c r="E521" s="136">
        <v>0</v>
      </c>
      <c r="F521" s="136">
        <v>0</v>
      </c>
      <c r="G521" s="137">
        <f t="shared" si="210"/>
        <v>0</v>
      </c>
      <c r="H521" s="138"/>
      <c r="I521" s="139">
        <v>0</v>
      </c>
      <c r="J521" s="140">
        <f t="shared" si="212"/>
        <v>0</v>
      </c>
      <c r="K521" s="140">
        <f>IF(J521=0,0,IF(B521="F",VLOOKUP(I521,Barem!$G$2:$H$16,2,1),VLOOKUP(I521,Barem!$G$17:$H$31,2,1)))</f>
        <v>0</v>
      </c>
      <c r="L521" s="135">
        <v>0</v>
      </c>
      <c r="M521" s="141" t="s">
        <v>459</v>
      </c>
      <c r="N521" s="142">
        <f t="shared" si="209"/>
        <v>0.25</v>
      </c>
      <c r="O521" s="142">
        <f t="shared" si="209"/>
        <v>0.25</v>
      </c>
      <c r="P521" s="142">
        <f t="shared" si="209"/>
        <v>0.25</v>
      </c>
      <c r="Q521" s="143">
        <f t="shared" si="213"/>
        <v>0</v>
      </c>
      <c r="R521" s="144">
        <f>IF(D521&gt;21,VLOOKUP(D521,Barem!$T$1:$U$141,2,1),0)</f>
        <v>0</v>
      </c>
      <c r="S521" s="152">
        <f>IF(D521&lt;1.609,0,IF(B521="F",VLOOKUP(I521,Barem!$X$2:$Z$13,2,1),VLOOKUP(I521,Barem!$X$14:$Z$25,2,1)))</f>
        <v>0</v>
      </c>
      <c r="T521" s="144">
        <f>VLOOKUP(A521,Participanti!A:C,3,0)</f>
        <v>0</v>
      </c>
      <c r="U521" s="143">
        <v>1.5</v>
      </c>
      <c r="V521" s="145" t="s">
        <v>447</v>
      </c>
      <c r="W521" s="146">
        <f t="shared" si="216"/>
        <v>1</v>
      </c>
      <c r="X521" s="133" t="str">
        <f>VLOOKUP(A521,Data_Echipe!A:R,18,0)</f>
        <v>The GOATs</v>
      </c>
      <c r="Y521" s="133"/>
      <c r="Z521" s="147">
        <f t="shared" si="215"/>
        <v>0</v>
      </c>
    </row>
    <row r="522" spans="1:26" x14ac:dyDescent="0.3">
      <c r="A522" s="49" t="s">
        <v>374</v>
      </c>
      <c r="B522" s="1" t="str">
        <f>VLOOKUP(A522,Participanti!A:B,2,0)</f>
        <v>M</v>
      </c>
      <c r="C522" s="74">
        <v>6</v>
      </c>
      <c r="D522" s="50">
        <v>20.399999999999999</v>
      </c>
      <c r="E522" s="51">
        <v>6.2928240740740743E-2</v>
      </c>
      <c r="F522" s="51">
        <v>6.2928240740740743E-2</v>
      </c>
      <c r="G522" s="69">
        <f t="shared" si="210"/>
        <v>6.2928240740740743E-2</v>
      </c>
      <c r="H522" s="52">
        <v>45</v>
      </c>
      <c r="I522" s="12">
        <f t="shared" si="211"/>
        <v>3.0847176833696446E-3</v>
      </c>
      <c r="J522" s="37">
        <f t="shared" si="212"/>
        <v>4.8571428571428568</v>
      </c>
      <c r="K522" s="37">
        <f>IF(J522=0,0,IF(B522="F",VLOOKUP(I522,Barem!$G$2:$H$16,2,1),VLOOKUP(I522,Barem!$G$17:$H$31,2,1)))</f>
        <v>4</v>
      </c>
      <c r="L522" s="50">
        <v>2</v>
      </c>
      <c r="M522" s="124" t="s">
        <v>207</v>
      </c>
      <c r="N522" s="10">
        <f t="shared" si="209"/>
        <v>0.25</v>
      </c>
      <c r="O522" s="10">
        <f t="shared" si="209"/>
        <v>0.25</v>
      </c>
      <c r="P522" s="10">
        <f t="shared" si="209"/>
        <v>0.5</v>
      </c>
      <c r="Q522" s="40">
        <f t="shared" si="213"/>
        <v>0</v>
      </c>
      <c r="R522" s="21">
        <f>IF(D522&gt;21,VLOOKUP(D522,Barem!$T$1:$U$141,2,1),0)</f>
        <v>0</v>
      </c>
      <c r="S522" s="152">
        <f>IF(D522&lt;1.609,0,IF(B522="F",VLOOKUP(I522,Barem!$X$2:$Z$13,2,1),VLOOKUP(I522,Barem!$X$14:$Z$25,2,1)))</f>
        <v>0</v>
      </c>
      <c r="T522" s="21">
        <f>VLOOKUP(A522,Participanti!A:C,3,0)</f>
        <v>0</v>
      </c>
      <c r="U522" s="18">
        <f t="shared" si="214"/>
        <v>3.2142857142857144</v>
      </c>
      <c r="V522" s="58" t="s">
        <v>447</v>
      </c>
      <c r="W522" s="77">
        <f t="shared" si="216"/>
        <v>1</v>
      </c>
      <c r="X522" s="1" t="e">
        <f>VLOOKUP(A522,Data_Echipe!A:R,18,0)</f>
        <v>#N/A</v>
      </c>
      <c r="Z522" s="115">
        <f t="shared" si="215"/>
        <v>1</v>
      </c>
    </row>
    <row r="523" spans="1:26" x14ac:dyDescent="0.3">
      <c r="A523" s="49" t="s">
        <v>125</v>
      </c>
      <c r="B523" s="1" t="str">
        <f>VLOOKUP(A523,Participanti!A:B,2,0)</f>
        <v>M</v>
      </c>
      <c r="C523" s="74">
        <v>6</v>
      </c>
      <c r="D523" s="50">
        <v>14.01</v>
      </c>
      <c r="E523" s="51">
        <v>3.9722222222222221E-2</v>
      </c>
      <c r="F523" s="51">
        <v>4.040509259259259E-2</v>
      </c>
      <c r="G523" s="69">
        <f t="shared" si="210"/>
        <v>4.0063657407407402E-2</v>
      </c>
      <c r="H523" s="52">
        <v>57</v>
      </c>
      <c r="I523" s="12">
        <f t="shared" si="211"/>
        <v>2.8596472096650539E-3</v>
      </c>
      <c r="J523" s="37">
        <f t="shared" si="212"/>
        <v>3.3357142857142854</v>
      </c>
      <c r="K523" s="37">
        <f>IF(J523=0,0,IF(B523="F",VLOOKUP(I523,Barem!$G$2:$H$16,2,1),VLOOKUP(I523,Barem!$G$17:$H$31,2,1)))</f>
        <v>4.5</v>
      </c>
      <c r="L523" s="50">
        <v>0.5</v>
      </c>
      <c r="M523" s="124" t="s">
        <v>106</v>
      </c>
      <c r="N523" s="10">
        <f t="shared" si="209"/>
        <v>0.5</v>
      </c>
      <c r="O523" s="10">
        <f t="shared" si="209"/>
        <v>0.25</v>
      </c>
      <c r="P523" s="10">
        <f t="shared" si="209"/>
        <v>0.25</v>
      </c>
      <c r="Q523" s="40">
        <f t="shared" si="213"/>
        <v>3.7999999999999999E-2</v>
      </c>
      <c r="R523" s="21">
        <f>IF(D523&gt;21,VLOOKUP(D523,Barem!$T$1:$U$141,2,1),0)</f>
        <v>0</v>
      </c>
      <c r="S523" s="152">
        <f>IF(D523&lt;1.609,0,IF(B523="F",VLOOKUP(I523,Barem!$X$2:$Z$13,2,1),VLOOKUP(I523,Barem!$X$14:$Z$25,2,1)))</f>
        <v>0</v>
      </c>
      <c r="T523" s="21">
        <f>VLOOKUP(A523,Participanti!A:C,3,0)</f>
        <v>0</v>
      </c>
      <c r="U523" s="18">
        <f t="shared" si="214"/>
        <v>2.9558571428571425</v>
      </c>
      <c r="V523" s="58" t="s">
        <v>447</v>
      </c>
      <c r="W523" s="77">
        <f t="shared" si="216"/>
        <v>1</v>
      </c>
      <c r="X523" s="1" t="str">
        <f>VLOOKUP(A523,Data_Echipe!A:R,18,0)</f>
        <v>The GOATs</v>
      </c>
      <c r="Z523" s="115">
        <f t="shared" si="215"/>
        <v>1</v>
      </c>
    </row>
    <row r="524" spans="1:26" x14ac:dyDescent="0.3">
      <c r="A524" s="49" t="s">
        <v>45</v>
      </c>
      <c r="B524" s="1" t="str">
        <f>VLOOKUP(A524,Participanti!A:B,2,0)</f>
        <v>F</v>
      </c>
      <c r="C524" s="74">
        <v>6</v>
      </c>
      <c r="D524" s="50">
        <v>8.4</v>
      </c>
      <c r="E524" s="51">
        <v>3.2708333333333332E-2</v>
      </c>
      <c r="F524" s="51">
        <v>3.3958333333333333E-2</v>
      </c>
      <c r="G524" s="69">
        <f t="shared" si="210"/>
        <v>3.3333333333333333E-2</v>
      </c>
      <c r="H524" s="52"/>
      <c r="I524" s="12">
        <f t="shared" si="211"/>
        <v>3.968253968253968E-3</v>
      </c>
      <c r="J524" s="37">
        <f t="shared" si="212"/>
        <v>2.1</v>
      </c>
      <c r="K524" s="37">
        <f>IF(J524=0,0,IF(B524="F",VLOOKUP(I524,Barem!$G$2:$H$16,2,1),VLOOKUP(I524,Barem!$G$17:$H$31,2,1)))</f>
        <v>2.5</v>
      </c>
      <c r="L524" s="50">
        <v>2.75</v>
      </c>
      <c r="M524" s="124" t="s">
        <v>107</v>
      </c>
      <c r="N524" s="10">
        <f t="shared" si="209"/>
        <v>0.25</v>
      </c>
      <c r="O524" s="10">
        <f t="shared" si="209"/>
        <v>0.5</v>
      </c>
      <c r="P524" s="10">
        <f t="shared" si="209"/>
        <v>0.25</v>
      </c>
      <c r="Q524" s="40">
        <f t="shared" si="213"/>
        <v>0</v>
      </c>
      <c r="R524" s="21">
        <f>IF(D524&gt;21,VLOOKUP(D524,Barem!$T$1:$U$141,2,1),0)</f>
        <v>0</v>
      </c>
      <c r="S524" s="152">
        <f>IF(D524&lt;1.609,0,IF(B524="F",VLOOKUP(I524,Barem!$X$2:$Z$13,2,1),VLOOKUP(I524,Barem!$X$14:$Z$25,2,1)))</f>
        <v>0</v>
      </c>
      <c r="T524" s="21">
        <f>VLOOKUP(A524,Participanti!A:C,3,0)</f>
        <v>0</v>
      </c>
      <c r="U524" s="18">
        <f t="shared" si="214"/>
        <v>2.4624999999999999</v>
      </c>
      <c r="V524" s="58" t="s">
        <v>447</v>
      </c>
      <c r="W524" s="77">
        <f t="shared" si="216"/>
        <v>1</v>
      </c>
      <c r="X524" s="1" t="e">
        <f>VLOOKUP(A524,Data_Echipe!A:R,18,0)</f>
        <v>#N/A</v>
      </c>
      <c r="Z524" s="115">
        <f t="shared" si="215"/>
        <v>1</v>
      </c>
    </row>
    <row r="525" spans="1:26" x14ac:dyDescent="0.3">
      <c r="A525" s="49" t="s">
        <v>51</v>
      </c>
      <c r="B525" s="1" t="str">
        <f>VLOOKUP(A525,Participanti!A:B,2,0)</f>
        <v>M</v>
      </c>
      <c r="C525" s="74">
        <v>6</v>
      </c>
      <c r="D525" s="50">
        <v>25.16</v>
      </c>
      <c r="E525" s="51">
        <v>0.10918981481481482</v>
      </c>
      <c r="F525" s="51">
        <v>0.10945601851851851</v>
      </c>
      <c r="G525" s="69">
        <f t="shared" si="210"/>
        <v>0.10932291666666666</v>
      </c>
      <c r="H525" s="52">
        <v>1086</v>
      </c>
      <c r="I525" s="12">
        <f t="shared" si="211"/>
        <v>4.3451079756226816E-3</v>
      </c>
      <c r="J525" s="37">
        <f t="shared" si="212"/>
        <v>5</v>
      </c>
      <c r="K525" s="37">
        <f>IF(J525=0,0,IF(B525="F",VLOOKUP(I525,Barem!$G$2:$H$16,2,1),VLOOKUP(I525,Barem!$G$17:$H$31,2,1)))</f>
        <v>1.25</v>
      </c>
      <c r="L525" s="50">
        <v>4</v>
      </c>
      <c r="M525" s="124" t="s">
        <v>207</v>
      </c>
      <c r="N525" s="10">
        <f t="shared" si="209"/>
        <v>0.25</v>
      </c>
      <c r="O525" s="10">
        <f t="shared" si="209"/>
        <v>0.25</v>
      </c>
      <c r="P525" s="10">
        <f t="shared" si="209"/>
        <v>0.5</v>
      </c>
      <c r="Q525" s="40">
        <f t="shared" si="213"/>
        <v>0.72399999999999998</v>
      </c>
      <c r="R525" s="21">
        <f>IF(D525&gt;21,VLOOKUP(D525,Barem!$T$1:$U$141,2,1),0)</f>
        <v>0.2</v>
      </c>
      <c r="S525" s="152">
        <f>IF(D525&lt;1.609,0,IF(B525="F",VLOOKUP(I525,Barem!$X$2:$Z$13,2,1),VLOOKUP(I525,Barem!$X$14:$Z$25,2,1)))</f>
        <v>0</v>
      </c>
      <c r="T525" s="21">
        <f>VLOOKUP(A525,Participanti!A:C,3,0)</f>
        <v>0</v>
      </c>
      <c r="U525" s="18">
        <f t="shared" si="214"/>
        <v>4.4865000000000004</v>
      </c>
      <c r="V525" s="58" t="s">
        <v>449</v>
      </c>
      <c r="W525" s="77">
        <f t="shared" si="216"/>
        <v>1</v>
      </c>
      <c r="X525" s="1" t="str">
        <f>VLOOKUP(A525,Data_Echipe!A:R,18,0)</f>
        <v>The GOATs</v>
      </c>
      <c r="Z525" s="115">
        <f t="shared" si="215"/>
        <v>1</v>
      </c>
    </row>
    <row r="526" spans="1:26" x14ac:dyDescent="0.3">
      <c r="A526" s="49" t="s">
        <v>227</v>
      </c>
      <c r="B526" s="1" t="str">
        <f>VLOOKUP(A526,Participanti!A:B,2,0)</f>
        <v>M</v>
      </c>
      <c r="C526" s="74">
        <v>6</v>
      </c>
      <c r="D526" s="50">
        <v>22.06</v>
      </c>
      <c r="E526" s="51">
        <v>6.5115740740740738E-2</v>
      </c>
      <c r="F526" s="51">
        <v>6.5347222222222223E-2</v>
      </c>
      <c r="G526" s="69">
        <f t="shared" si="210"/>
        <v>6.5231481481481474E-2</v>
      </c>
      <c r="H526" s="52">
        <v>75</v>
      </c>
      <c r="I526" s="12">
        <f t="shared" si="211"/>
        <v>2.9570027870118531E-3</v>
      </c>
      <c r="J526" s="37">
        <f t="shared" si="212"/>
        <v>5</v>
      </c>
      <c r="K526" s="37">
        <f>IF(J526=0,0,IF(B526="F",VLOOKUP(I526,Barem!$G$2:$H$16,2,1),VLOOKUP(I526,Barem!$G$17:$H$31,2,1)))</f>
        <v>4.5</v>
      </c>
      <c r="L526" s="50">
        <v>3.25</v>
      </c>
      <c r="M526" s="124" t="s">
        <v>107</v>
      </c>
      <c r="N526" s="10">
        <f t="shared" ref="N526:P559" si="217">IF($M526=N$1,50%,25%)</f>
        <v>0.25</v>
      </c>
      <c r="O526" s="10">
        <f t="shared" si="217"/>
        <v>0.5</v>
      </c>
      <c r="P526" s="10">
        <f t="shared" si="217"/>
        <v>0.25</v>
      </c>
      <c r="Q526" s="40">
        <f t="shared" si="213"/>
        <v>0.05</v>
      </c>
      <c r="R526" s="21">
        <f>IF(D526&gt;21,VLOOKUP(D526,Barem!$T$1:$U$141,2,1),0)</f>
        <v>0</v>
      </c>
      <c r="S526" s="152">
        <f>IF(D526&lt;1.609,0,IF(B526="F",VLOOKUP(I526,Barem!$X$2:$Z$13,2,1),VLOOKUP(I526,Barem!$X$14:$Z$25,2,1)))</f>
        <v>0</v>
      </c>
      <c r="T526" s="21">
        <f>VLOOKUP(A526,Participanti!A:C,3,0)</f>
        <v>0</v>
      </c>
      <c r="U526" s="18">
        <f t="shared" si="214"/>
        <v>4.3624999999999998</v>
      </c>
      <c r="V526" s="58" t="s">
        <v>449</v>
      </c>
      <c r="W526" s="77">
        <f t="shared" si="216"/>
        <v>1</v>
      </c>
      <c r="X526" s="1" t="str">
        <f>VLOOKUP(A526,Data_Echipe!A:R,18,0)</f>
        <v>UltraHaita lu' Borcan</v>
      </c>
      <c r="Z526" s="115">
        <f t="shared" si="215"/>
        <v>1</v>
      </c>
    </row>
    <row r="527" spans="1:26" x14ac:dyDescent="0.3">
      <c r="A527" s="49" t="s">
        <v>331</v>
      </c>
      <c r="B527" s="1" t="str">
        <f>VLOOKUP(A527,Participanti!A:B,2,0)</f>
        <v>F</v>
      </c>
      <c r="C527" s="74">
        <v>6</v>
      </c>
      <c r="D527" s="50">
        <v>7.57</v>
      </c>
      <c r="E527" s="51">
        <v>3.3842592592592598E-2</v>
      </c>
      <c r="F527" s="51">
        <v>3.498842592592593E-2</v>
      </c>
      <c r="G527" s="69">
        <f t="shared" si="210"/>
        <v>3.4415509259259264E-2</v>
      </c>
      <c r="H527" s="52"/>
      <c r="I527" s="12">
        <f t="shared" si="211"/>
        <v>4.5463024120553849E-3</v>
      </c>
      <c r="J527" s="37">
        <f t="shared" si="212"/>
        <v>1.8925000000000001</v>
      </c>
      <c r="K527" s="37">
        <f>IF(J527=0,0,IF(B527="F",VLOOKUP(I527,Barem!$G$2:$H$16,2,1),VLOOKUP(I527,Barem!$G$17:$H$31,2,1)))</f>
        <v>1.25</v>
      </c>
      <c r="L527" s="50">
        <v>3.75</v>
      </c>
      <c r="M527" s="124" t="s">
        <v>207</v>
      </c>
      <c r="N527" s="10">
        <f t="shared" si="217"/>
        <v>0.25</v>
      </c>
      <c r="O527" s="10">
        <f t="shared" si="217"/>
        <v>0.25</v>
      </c>
      <c r="P527" s="10">
        <f t="shared" si="217"/>
        <v>0.5</v>
      </c>
      <c r="Q527" s="40">
        <f t="shared" si="213"/>
        <v>0</v>
      </c>
      <c r="R527" s="21">
        <f>IF(D527&gt;21,VLOOKUP(D527,Barem!$T$1:$U$141,2,1),0)</f>
        <v>0</v>
      </c>
      <c r="S527" s="152">
        <f>IF(D527&lt;1.609,0,IF(B527="F",VLOOKUP(I527,Barem!$X$2:$Z$13,2,1),VLOOKUP(I527,Barem!$X$14:$Z$25,2,1)))</f>
        <v>0</v>
      </c>
      <c r="T527" s="21">
        <f>VLOOKUP(A527,Participanti!A:C,3,0)</f>
        <v>0</v>
      </c>
      <c r="U527" s="18">
        <f t="shared" si="214"/>
        <v>2.660625</v>
      </c>
      <c r="V527" s="58" t="s">
        <v>449</v>
      </c>
      <c r="W527" s="77">
        <f t="shared" si="216"/>
        <v>1</v>
      </c>
      <c r="X527" s="1" t="str">
        <f>VLOOKUP(A527,Data_Echipe!A:R,18,0)</f>
        <v>MedgidiaRunning</v>
      </c>
      <c r="Z527" s="115">
        <f t="shared" si="215"/>
        <v>1</v>
      </c>
    </row>
    <row r="528" spans="1:26" x14ac:dyDescent="0.3">
      <c r="A528" s="49" t="s">
        <v>49</v>
      </c>
      <c r="B528" s="1" t="str">
        <f>VLOOKUP(A528,Participanti!A:B,2,0)</f>
        <v>M</v>
      </c>
      <c r="C528" s="74">
        <v>6</v>
      </c>
      <c r="D528" s="50">
        <v>21.06</v>
      </c>
      <c r="E528" s="51">
        <v>8.4571759259259263E-2</v>
      </c>
      <c r="F528" s="51">
        <v>9.599537037037037E-2</v>
      </c>
      <c r="G528" s="69">
        <f t="shared" si="210"/>
        <v>9.028356481481481E-2</v>
      </c>
      <c r="H528" s="52">
        <v>67</v>
      </c>
      <c r="I528" s="12">
        <f t="shared" si="211"/>
        <v>4.2869688895923463E-3</v>
      </c>
      <c r="J528" s="37">
        <f t="shared" si="212"/>
        <v>5</v>
      </c>
      <c r="K528" s="37">
        <f>IF(J528=0,0,IF(B528="F",VLOOKUP(I528,Barem!$G$2:$H$16,2,1),VLOOKUP(I528,Barem!$G$17:$H$31,2,1)))</f>
        <v>1.25</v>
      </c>
      <c r="L528" s="50">
        <v>4.25</v>
      </c>
      <c r="M528" s="124" t="s">
        <v>106</v>
      </c>
      <c r="N528" s="10">
        <f t="shared" si="217"/>
        <v>0.5</v>
      </c>
      <c r="O528" s="10">
        <f t="shared" si="217"/>
        <v>0.25</v>
      </c>
      <c r="P528" s="10">
        <f t="shared" si="217"/>
        <v>0.25</v>
      </c>
      <c r="Q528" s="40">
        <f t="shared" si="213"/>
        <v>4.4666666666666667E-2</v>
      </c>
      <c r="R528" s="21">
        <f>IF(D528&gt;21,VLOOKUP(D528,Barem!$T$1:$U$141,2,1),0)</f>
        <v>0</v>
      </c>
      <c r="S528" s="152">
        <f>IF(D528&lt;1.609,0,IF(B528="F",VLOOKUP(I528,Barem!$X$2:$Z$13,2,1),VLOOKUP(I528,Barem!$X$14:$Z$25,2,1)))</f>
        <v>0</v>
      </c>
      <c r="T528" s="21">
        <f>VLOOKUP(A528,Participanti!A:C,3,0)</f>
        <v>0</v>
      </c>
      <c r="U528" s="18">
        <f t="shared" si="214"/>
        <v>3.9196666666666666</v>
      </c>
      <c r="V528" s="58" t="s">
        <v>449</v>
      </c>
      <c r="W528" s="77">
        <f t="shared" si="216"/>
        <v>1</v>
      </c>
      <c r="X528" s="1" t="str">
        <f>VLOOKUP(A528,Data_Echipe!A:R,18,0)</f>
        <v>The GOATs</v>
      </c>
      <c r="Z528" s="115">
        <f t="shared" si="215"/>
        <v>1</v>
      </c>
    </row>
    <row r="529" spans="1:26" x14ac:dyDescent="0.3">
      <c r="A529" s="49" t="s">
        <v>122</v>
      </c>
      <c r="B529" s="1" t="str">
        <f>VLOOKUP(A529,Participanti!A:B,2,0)</f>
        <v>M</v>
      </c>
      <c r="C529" s="74">
        <v>6</v>
      </c>
      <c r="D529" s="50">
        <v>16.739999999999998</v>
      </c>
      <c r="E529" s="51">
        <v>8.0567129629629627E-2</v>
      </c>
      <c r="F529" s="51">
        <v>0.11094907407407407</v>
      </c>
      <c r="G529" s="69">
        <f t="shared" si="210"/>
        <v>9.5758101851851851E-2</v>
      </c>
      <c r="H529" s="52">
        <v>308</v>
      </c>
      <c r="I529" s="12">
        <f t="shared" si="211"/>
        <v>5.7203167175538744E-3</v>
      </c>
      <c r="J529" s="37">
        <f t="shared" si="212"/>
        <v>3.9857142857142853</v>
      </c>
      <c r="K529" s="37">
        <f>IF(J529=0,0,IF(B529="F",VLOOKUP(I529,Barem!$G$2:$H$16,2,1),VLOOKUP(I529,Barem!$G$17:$H$31,2,1)))</f>
        <v>0</v>
      </c>
      <c r="L529" s="50">
        <v>4</v>
      </c>
      <c r="M529" s="124" t="s">
        <v>207</v>
      </c>
      <c r="N529" s="10">
        <f t="shared" si="217"/>
        <v>0.25</v>
      </c>
      <c r="O529" s="10">
        <f t="shared" si="217"/>
        <v>0.25</v>
      </c>
      <c r="P529" s="10">
        <f t="shared" si="217"/>
        <v>0.5</v>
      </c>
      <c r="Q529" s="40">
        <f t="shared" si="213"/>
        <v>0.20533333333333334</v>
      </c>
      <c r="R529" s="21">
        <f>IF(D529&gt;21,VLOOKUP(D529,Barem!$T$1:$U$141,2,1),0)</f>
        <v>0</v>
      </c>
      <c r="S529" s="152">
        <f>IF(D529&lt;1.609,0,IF(B529="F",VLOOKUP(I529,Barem!$X$2:$Z$13,2,1),VLOOKUP(I529,Barem!$X$14:$Z$25,2,1)))</f>
        <v>0</v>
      </c>
      <c r="T529" s="21">
        <f>VLOOKUP(A529,Participanti!A:C,3,0)</f>
        <v>0</v>
      </c>
      <c r="U529" s="18">
        <f t="shared" si="214"/>
        <v>3.2017619047619048</v>
      </c>
      <c r="V529" s="58" t="s">
        <v>449</v>
      </c>
      <c r="W529" s="77">
        <f t="shared" si="216"/>
        <v>1</v>
      </c>
      <c r="X529" s="1" t="str">
        <f>VLOOKUP(A529,Data_Echipe!A:R,18,0)</f>
        <v>#notSYRious</v>
      </c>
      <c r="Z529" s="115">
        <f t="shared" si="215"/>
        <v>0</v>
      </c>
    </row>
    <row r="530" spans="1:26" x14ac:dyDescent="0.3">
      <c r="A530" s="49" t="s">
        <v>248</v>
      </c>
      <c r="B530" s="1" t="str">
        <f>VLOOKUP(A530,Participanti!A:B,2,0)</f>
        <v>M</v>
      </c>
      <c r="C530" s="74">
        <v>6</v>
      </c>
      <c r="D530" s="50">
        <v>7.07</v>
      </c>
      <c r="E530" s="51">
        <v>2.1400462962962965E-2</v>
      </c>
      <c r="F530" s="51">
        <v>2.1400462962962965E-2</v>
      </c>
      <c r="G530" s="69">
        <f t="shared" si="210"/>
        <v>2.1400462962962965E-2</v>
      </c>
      <c r="H530" s="52"/>
      <c r="I530" s="12">
        <f t="shared" si="211"/>
        <v>3.0269395987217772E-3</v>
      </c>
      <c r="J530" s="37">
        <f t="shared" si="212"/>
        <v>1.6833333333333333</v>
      </c>
      <c r="K530" s="37">
        <f>IF(J530=0,0,IF(B530="F",VLOOKUP(I530,Barem!$G$2:$H$16,2,1),VLOOKUP(I530,Barem!$G$17:$H$31,2,1)))</f>
        <v>4</v>
      </c>
      <c r="L530" s="50">
        <v>2.5</v>
      </c>
      <c r="M530" s="124" t="s">
        <v>107</v>
      </c>
      <c r="N530" s="10">
        <f t="shared" si="217"/>
        <v>0.25</v>
      </c>
      <c r="O530" s="10">
        <f t="shared" si="217"/>
        <v>0.5</v>
      </c>
      <c r="P530" s="10">
        <f t="shared" si="217"/>
        <v>0.25</v>
      </c>
      <c r="Q530" s="40">
        <f t="shared" si="213"/>
        <v>0</v>
      </c>
      <c r="R530" s="21">
        <f>IF(D530&gt;21,VLOOKUP(D530,Barem!$T$1:$U$141,2,1),0)</f>
        <v>0</v>
      </c>
      <c r="S530" s="152">
        <f>IF(D530&lt;1.609,0,IF(B530="F",VLOOKUP(I530,Barem!$X$2:$Z$13,2,1),VLOOKUP(I530,Barem!$X$14:$Z$25,2,1)))</f>
        <v>0</v>
      </c>
      <c r="T530" s="21">
        <f>VLOOKUP(A530,Participanti!A:C,3,0)</f>
        <v>0</v>
      </c>
      <c r="U530" s="18">
        <f t="shared" si="214"/>
        <v>3.0458333333333334</v>
      </c>
      <c r="V530" s="58" t="s">
        <v>449</v>
      </c>
      <c r="W530" s="77">
        <f t="shared" si="216"/>
        <v>1</v>
      </c>
      <c r="X530" s="1" t="str">
        <f>VLOOKUP(A530,Data_Echipe!A:R,18,0)</f>
        <v>Almost Kenyan Runners</v>
      </c>
      <c r="Z530" s="115">
        <f t="shared" si="215"/>
        <v>1</v>
      </c>
    </row>
    <row r="531" spans="1:26" x14ac:dyDescent="0.3">
      <c r="A531" s="49" t="s">
        <v>116</v>
      </c>
      <c r="B531" s="1" t="str">
        <f>VLOOKUP(A531,Participanti!A:B,2,0)</f>
        <v>F</v>
      </c>
      <c r="C531" s="74">
        <v>6</v>
      </c>
      <c r="D531" s="50">
        <v>10</v>
      </c>
      <c r="E531" s="51">
        <v>3.8854166666666669E-2</v>
      </c>
      <c r="F531" s="51">
        <v>4.1840277777777775E-2</v>
      </c>
      <c r="G531" s="69">
        <f t="shared" si="210"/>
        <v>4.0347222222222222E-2</v>
      </c>
      <c r="H531" s="52">
        <v>63</v>
      </c>
      <c r="I531" s="12">
        <f t="shared" si="211"/>
        <v>4.0347222222222225E-3</v>
      </c>
      <c r="J531" s="37">
        <f t="shared" si="212"/>
        <v>2.5</v>
      </c>
      <c r="K531" s="37">
        <f>IF(J531=0,0,IF(B531="F",VLOOKUP(I531,Barem!$G$2:$H$16,2,1),VLOOKUP(I531,Barem!$G$17:$H$31,2,1)))</f>
        <v>2</v>
      </c>
      <c r="L531" s="50">
        <v>3.25</v>
      </c>
      <c r="M531" s="124" t="s">
        <v>207</v>
      </c>
      <c r="N531" s="10">
        <f t="shared" si="217"/>
        <v>0.25</v>
      </c>
      <c r="O531" s="10">
        <f t="shared" si="217"/>
        <v>0.25</v>
      </c>
      <c r="P531" s="10">
        <f t="shared" si="217"/>
        <v>0.5</v>
      </c>
      <c r="Q531" s="40">
        <f t="shared" si="213"/>
        <v>4.2000000000000003E-2</v>
      </c>
      <c r="R531" s="21">
        <f>IF(D531&gt;21,VLOOKUP(D531,Barem!$T$1:$U$141,2,1),0)</f>
        <v>0</v>
      </c>
      <c r="S531" s="152">
        <f>IF(D531&lt;1.609,0,IF(B531="F",VLOOKUP(I531,Barem!$X$2:$Z$13,2,1),VLOOKUP(I531,Barem!$X$14:$Z$25,2,1)))</f>
        <v>0</v>
      </c>
      <c r="T531" s="21">
        <f>VLOOKUP(A531,Participanti!A:C,3,0)</f>
        <v>0</v>
      </c>
      <c r="U531" s="18">
        <f t="shared" si="214"/>
        <v>2.7919999999999998</v>
      </c>
      <c r="V531" s="58" t="s">
        <v>449</v>
      </c>
      <c r="W531" s="77">
        <f t="shared" si="216"/>
        <v>1</v>
      </c>
      <c r="X531" s="1" t="str">
        <f>VLOOKUP(A531,Data_Echipe!A:R,18,0)</f>
        <v>#notSYRious</v>
      </c>
      <c r="Z531" s="115">
        <f t="shared" si="215"/>
        <v>1</v>
      </c>
    </row>
    <row r="532" spans="1:26" x14ac:dyDescent="0.3">
      <c r="A532" s="49" t="s">
        <v>114</v>
      </c>
      <c r="B532" s="1" t="str">
        <f>VLOOKUP(A532,Participanti!A:B,2,0)</f>
        <v>M</v>
      </c>
      <c r="C532" s="74">
        <v>6</v>
      </c>
      <c r="D532" s="50">
        <v>12.99</v>
      </c>
      <c r="E532" s="51">
        <v>7.3252314814814812E-2</v>
      </c>
      <c r="F532" s="51">
        <v>7.3576388888888886E-2</v>
      </c>
      <c r="G532" s="69">
        <f t="shared" si="210"/>
        <v>7.3414351851851856E-2</v>
      </c>
      <c r="H532" s="52"/>
      <c r="I532" s="12">
        <f t="shared" si="211"/>
        <v>5.6516052233912132E-3</v>
      </c>
      <c r="J532" s="37">
        <f t="shared" si="212"/>
        <v>3.092857142857143</v>
      </c>
      <c r="K532" s="37">
        <f>IF(J532=0,0,IF(B532="F",VLOOKUP(I532,Barem!$G$2:$H$16,2,1),VLOOKUP(I532,Barem!$G$17:$H$31,2,1)))</f>
        <v>0</v>
      </c>
      <c r="L532" s="50">
        <v>1.5</v>
      </c>
      <c r="M532" s="124" t="s">
        <v>106</v>
      </c>
      <c r="N532" s="10">
        <f t="shared" si="217"/>
        <v>0.5</v>
      </c>
      <c r="O532" s="10">
        <f t="shared" si="217"/>
        <v>0.25</v>
      </c>
      <c r="P532" s="10">
        <f t="shared" si="217"/>
        <v>0.25</v>
      </c>
      <c r="Q532" s="40">
        <f t="shared" si="213"/>
        <v>0</v>
      </c>
      <c r="R532" s="21">
        <f>IF(D532&gt;21,VLOOKUP(D532,Barem!$T$1:$U$141,2,1),0)</f>
        <v>0</v>
      </c>
      <c r="S532" s="152">
        <f>IF(D532&lt;1.609,0,IF(B532="F",VLOOKUP(I532,Barem!$X$2:$Z$13,2,1),VLOOKUP(I532,Barem!$X$14:$Z$25,2,1)))</f>
        <v>0</v>
      </c>
      <c r="T532" s="21">
        <f>VLOOKUP(A532,Participanti!A:C,3,0)</f>
        <v>0</v>
      </c>
      <c r="U532" s="18">
        <f t="shared" si="214"/>
        <v>1.9214285714285715</v>
      </c>
      <c r="V532" s="58" t="s">
        <v>449</v>
      </c>
      <c r="W532" s="77">
        <f t="shared" si="216"/>
        <v>1</v>
      </c>
      <c r="X532" s="1" t="str">
        <f>VLOOKUP(A532,Data_Echipe!A:R,18,0)</f>
        <v>#notSYRious</v>
      </c>
      <c r="Z532" s="115">
        <f t="shared" si="215"/>
        <v>0</v>
      </c>
    </row>
    <row r="533" spans="1:26" x14ac:dyDescent="0.3">
      <c r="A533" s="49" t="s">
        <v>206</v>
      </c>
      <c r="B533" s="1" t="str">
        <f>VLOOKUP(A533,Participanti!A:B,2,0)</f>
        <v>M</v>
      </c>
      <c r="C533" s="74">
        <v>6</v>
      </c>
      <c r="D533" s="50">
        <v>19.46</v>
      </c>
      <c r="E533" s="51">
        <v>0.1237037037037037</v>
      </c>
      <c r="F533" s="51">
        <v>0.13817129629629629</v>
      </c>
      <c r="G533" s="69">
        <f t="shared" si="210"/>
        <v>0.13093749999999998</v>
      </c>
      <c r="H533" s="52">
        <v>652</v>
      </c>
      <c r="I533" s="12">
        <f t="shared" si="211"/>
        <v>6.7285457348406977E-3</v>
      </c>
      <c r="J533" s="37">
        <f t="shared" si="212"/>
        <v>4.6333333333333337</v>
      </c>
      <c r="K533" s="37">
        <f>IF(J533=0,0,IF(B533="F",VLOOKUP(I533,Barem!$G$2:$H$16,2,1),VLOOKUP(I533,Barem!$G$17:$H$31,2,1)))</f>
        <v>0</v>
      </c>
      <c r="L533" s="50">
        <v>1.75</v>
      </c>
      <c r="M533" s="124" t="s">
        <v>207</v>
      </c>
      <c r="N533" s="10">
        <f t="shared" si="217"/>
        <v>0.25</v>
      </c>
      <c r="O533" s="10">
        <f t="shared" si="217"/>
        <v>0.25</v>
      </c>
      <c r="P533" s="10">
        <f t="shared" si="217"/>
        <v>0.5</v>
      </c>
      <c r="Q533" s="40">
        <f t="shared" si="213"/>
        <v>0.43466666666666665</v>
      </c>
      <c r="R533" s="21">
        <f>IF(D533&gt;21,VLOOKUP(D533,Barem!$T$1:$U$141,2,1),0)</f>
        <v>0</v>
      </c>
      <c r="S533" s="152">
        <f>IF(D533&lt;1.609,0,IF(B533="F",VLOOKUP(I533,Barem!$X$2:$Z$13,2,1),VLOOKUP(I533,Barem!$X$14:$Z$25,2,1)))</f>
        <v>0</v>
      </c>
      <c r="T533" s="21">
        <f>VLOOKUP(A533,Participanti!A:C,3,0)</f>
        <v>0</v>
      </c>
      <c r="U533" s="18">
        <f t="shared" si="214"/>
        <v>2.468</v>
      </c>
      <c r="V533" s="58" t="s">
        <v>449</v>
      </c>
      <c r="W533" s="77">
        <f t="shared" si="216"/>
        <v>1</v>
      </c>
      <c r="X533" s="1" t="e">
        <f>VLOOKUP(A533,Data_Echipe!A:R,18,0)</f>
        <v>#N/A</v>
      </c>
      <c r="Z533" s="115">
        <f t="shared" si="215"/>
        <v>0</v>
      </c>
    </row>
    <row r="534" spans="1:26" x14ac:dyDescent="0.3">
      <c r="A534" s="49" t="s">
        <v>252</v>
      </c>
      <c r="B534" s="1" t="str">
        <f>VLOOKUP(A534,Participanti!A:B,2,0)</f>
        <v>M</v>
      </c>
      <c r="C534" s="74">
        <v>7</v>
      </c>
      <c r="D534" s="50">
        <v>22.15</v>
      </c>
      <c r="E534" s="51">
        <v>8.4398148148148153E-2</v>
      </c>
      <c r="F534" s="51">
        <v>8.700231481481481E-2</v>
      </c>
      <c r="G534" s="69">
        <f t="shared" si="210"/>
        <v>8.5700231481481481E-2</v>
      </c>
      <c r="H534" s="52"/>
      <c r="I534" s="12">
        <f t="shared" si="211"/>
        <v>3.8690849427305413E-3</v>
      </c>
      <c r="J534" s="37">
        <f t="shared" si="212"/>
        <v>5</v>
      </c>
      <c r="K534" s="37">
        <f>IF(J534=0,0,IF(B534="F",VLOOKUP(I534,Barem!$G$2:$H$16,2,1),VLOOKUP(I534,Barem!$G$17:$H$31,2,1)))</f>
        <v>1.75</v>
      </c>
      <c r="L534" s="50">
        <v>2.75</v>
      </c>
      <c r="M534" s="124" t="s">
        <v>106</v>
      </c>
      <c r="N534" s="10">
        <f t="shared" si="217"/>
        <v>0.5</v>
      </c>
      <c r="O534" s="10">
        <f t="shared" si="217"/>
        <v>0.25</v>
      </c>
      <c r="P534" s="10">
        <f t="shared" si="217"/>
        <v>0.25</v>
      </c>
      <c r="Q534" s="40">
        <f t="shared" si="213"/>
        <v>0</v>
      </c>
      <c r="R534" s="21">
        <f>IF(D534&gt;21,VLOOKUP(D534,Barem!$T$1:$U$141,2,1),0)</f>
        <v>0</v>
      </c>
      <c r="S534" s="152">
        <f>IF(D534&lt;1.609,0,IF(B534="F",VLOOKUP(I534,Barem!$X$2:$Z$13,2,1),VLOOKUP(I534,Barem!$X$14:$Z$25,2,1)))</f>
        <v>0</v>
      </c>
      <c r="T534" s="21">
        <f>VLOOKUP(A534,Participanti!A:C,3,0)</f>
        <v>0</v>
      </c>
      <c r="U534" s="18">
        <f t="shared" si="214"/>
        <v>3.625</v>
      </c>
      <c r="V534" s="58" t="s">
        <v>457</v>
      </c>
      <c r="W534" s="77">
        <f t="shared" si="216"/>
        <v>1</v>
      </c>
      <c r="X534" s="1" t="str">
        <f>VLOOKUP(A534,Data_Echipe!A:R,18,0)</f>
        <v>UltraHaita lu' Borcan</v>
      </c>
      <c r="Z534" s="115">
        <f t="shared" si="215"/>
        <v>1</v>
      </c>
    </row>
    <row r="535" spans="1:26" x14ac:dyDescent="0.3">
      <c r="A535" s="49" t="s">
        <v>132</v>
      </c>
      <c r="B535" s="1" t="str">
        <f>VLOOKUP(A535,Participanti!A:B,2,0)</f>
        <v>F</v>
      </c>
      <c r="C535" s="74">
        <v>7</v>
      </c>
      <c r="D535" s="50">
        <v>10.06</v>
      </c>
      <c r="E535" s="51">
        <v>4.1527777777777775E-2</v>
      </c>
      <c r="F535" s="51">
        <v>4.3067129629629629E-2</v>
      </c>
      <c r="G535" s="69">
        <f t="shared" si="210"/>
        <v>4.2297453703703705E-2</v>
      </c>
      <c r="H535" s="52"/>
      <c r="I535" s="12">
        <f t="shared" si="211"/>
        <v>4.2045182608055369E-3</v>
      </c>
      <c r="J535" s="37">
        <f t="shared" si="212"/>
        <v>2.5150000000000001</v>
      </c>
      <c r="K535" s="37">
        <f>IF(J535=0,0,IF(B535="F",VLOOKUP(I535,Barem!$G$2:$H$16,2,1),VLOOKUP(I535,Barem!$G$17:$H$31,2,1)))</f>
        <v>1.75</v>
      </c>
      <c r="L535" s="50">
        <v>3</v>
      </c>
      <c r="M535" s="124" t="s">
        <v>107</v>
      </c>
      <c r="N535" s="10">
        <f t="shared" si="217"/>
        <v>0.25</v>
      </c>
      <c r="O535" s="10">
        <f t="shared" si="217"/>
        <v>0.5</v>
      </c>
      <c r="P535" s="10">
        <f t="shared" si="217"/>
        <v>0.25</v>
      </c>
      <c r="Q535" s="40">
        <f t="shared" si="213"/>
        <v>0</v>
      </c>
      <c r="R535" s="21">
        <f>IF(D535&gt;21,VLOOKUP(D535,Barem!$T$1:$U$141,2,1),0)</f>
        <v>0</v>
      </c>
      <c r="S535" s="152">
        <f>IF(D535&lt;1.609,0,IF(B535="F",VLOOKUP(I535,Barem!$X$2:$Z$13,2,1),VLOOKUP(I535,Barem!$X$14:$Z$25,2,1)))</f>
        <v>0</v>
      </c>
      <c r="T535" s="21">
        <f>VLOOKUP(A535,Participanti!A:C,3,0)</f>
        <v>0</v>
      </c>
      <c r="U535" s="18">
        <f t="shared" si="214"/>
        <v>2.2537500000000001</v>
      </c>
      <c r="V535" s="58" t="s">
        <v>457</v>
      </c>
      <c r="W535" s="77">
        <f t="shared" si="216"/>
        <v>1</v>
      </c>
      <c r="X535" s="1" t="str">
        <f>VLOOKUP(A535,Data_Echipe!A:R,18,0)</f>
        <v>MedgidiaRunning</v>
      </c>
      <c r="Z535" s="115">
        <f t="shared" si="215"/>
        <v>1</v>
      </c>
    </row>
    <row r="536" spans="1:26" x14ac:dyDescent="0.3">
      <c r="A536" s="49" t="s">
        <v>346</v>
      </c>
      <c r="B536" s="1" t="str">
        <f>VLOOKUP(A536,Participanti!A:B,2,0)</f>
        <v>M</v>
      </c>
      <c r="C536" s="74">
        <v>7</v>
      </c>
      <c r="D536" s="50">
        <v>12.8</v>
      </c>
      <c r="E536" s="51">
        <v>5.2627314814814814E-2</v>
      </c>
      <c r="F536" s="51">
        <v>5.9305555555555556E-2</v>
      </c>
      <c r="G536" s="69">
        <f t="shared" si="210"/>
        <v>5.5966435185185182E-2</v>
      </c>
      <c r="H536" s="52">
        <v>77</v>
      </c>
      <c r="I536" s="12">
        <f t="shared" si="211"/>
        <v>4.3723777488425923E-3</v>
      </c>
      <c r="J536" s="37">
        <f t="shared" si="212"/>
        <v>3.0476190476190474</v>
      </c>
      <c r="K536" s="37">
        <f>IF(J536=0,0,IF(B536="F",VLOOKUP(I536,Barem!$G$2:$H$16,2,1),VLOOKUP(I536,Barem!$G$17:$H$31,2,1)))</f>
        <v>1</v>
      </c>
      <c r="L536" s="50">
        <v>2.5</v>
      </c>
      <c r="M536" s="124" t="s">
        <v>207</v>
      </c>
      <c r="N536" s="10">
        <f t="shared" si="217"/>
        <v>0.25</v>
      </c>
      <c r="O536" s="10">
        <f t="shared" si="217"/>
        <v>0.25</v>
      </c>
      <c r="P536" s="10">
        <f t="shared" si="217"/>
        <v>0.5</v>
      </c>
      <c r="Q536" s="40">
        <f t="shared" si="213"/>
        <v>5.1333333333333335E-2</v>
      </c>
      <c r="R536" s="21">
        <f>IF(D536&gt;21,VLOOKUP(D536,Barem!$T$1:$U$141,2,1),0)</f>
        <v>0</v>
      </c>
      <c r="S536" s="152">
        <f>IF(D536&lt;1.609,0,IF(B536="F",VLOOKUP(I536,Barem!$X$2:$Z$13,2,1),VLOOKUP(I536,Barem!$X$14:$Z$25,2,1)))</f>
        <v>0</v>
      </c>
      <c r="T536" s="21">
        <f>VLOOKUP(A536,Participanti!A:C,3,0)</f>
        <v>0</v>
      </c>
      <c r="U536" s="18">
        <f t="shared" si="214"/>
        <v>2.3132380952380953</v>
      </c>
      <c r="V536" s="58" t="s">
        <v>457</v>
      </c>
      <c r="W536" s="77">
        <f t="shared" si="216"/>
        <v>1</v>
      </c>
      <c r="X536" s="1" t="str">
        <f>VLOOKUP(A536,Data_Echipe!A:R,18,0)</f>
        <v>UltraHaita lu' Borcan</v>
      </c>
      <c r="Z536" s="115">
        <f t="shared" si="215"/>
        <v>1</v>
      </c>
    </row>
    <row r="537" spans="1:26" x14ac:dyDescent="0.3">
      <c r="A537" s="49" t="s">
        <v>333</v>
      </c>
      <c r="B537" s="1" t="str">
        <f>VLOOKUP(A537,Participanti!A:B,2,0)</f>
        <v>M</v>
      </c>
      <c r="C537" s="74">
        <v>7</v>
      </c>
      <c r="D537" s="50">
        <v>25.15</v>
      </c>
      <c r="E537" s="51">
        <v>9.975694444444444E-2</v>
      </c>
      <c r="F537" s="51">
        <v>0.10017361111111112</v>
      </c>
      <c r="G537" s="69">
        <f t="shared" si="210"/>
        <v>9.9965277777777778E-2</v>
      </c>
      <c r="H537" s="52"/>
      <c r="I537" s="12">
        <f t="shared" si="211"/>
        <v>3.9747625358957372E-3</v>
      </c>
      <c r="J537" s="37">
        <f t="shared" si="212"/>
        <v>5</v>
      </c>
      <c r="K537" s="37">
        <f>IF(J537=0,0,IF(B537="F",VLOOKUP(I537,Barem!$G$2:$H$16,2,1),VLOOKUP(I537,Barem!$G$17:$H$31,2,1)))</f>
        <v>1.75</v>
      </c>
      <c r="L537" s="50">
        <v>2</v>
      </c>
      <c r="M537" s="124" t="s">
        <v>106</v>
      </c>
      <c r="N537" s="10">
        <f t="shared" si="217"/>
        <v>0.5</v>
      </c>
      <c r="O537" s="10">
        <f t="shared" si="217"/>
        <v>0.25</v>
      </c>
      <c r="P537" s="10">
        <f t="shared" si="217"/>
        <v>0.25</v>
      </c>
      <c r="Q537" s="40">
        <f t="shared" si="213"/>
        <v>0</v>
      </c>
      <c r="R537" s="21">
        <f>IF(D537&gt;21,VLOOKUP(D537,Barem!$T$1:$U$141,2,1),0)</f>
        <v>0.2</v>
      </c>
      <c r="S537" s="152">
        <f>IF(D537&lt;1.609,0,IF(B537="F",VLOOKUP(I537,Barem!$X$2:$Z$13,2,1),VLOOKUP(I537,Barem!$X$14:$Z$25,2,1)))</f>
        <v>0</v>
      </c>
      <c r="T537" s="21">
        <f>VLOOKUP(A537,Participanti!A:C,3,0)</f>
        <v>0</v>
      </c>
      <c r="U537" s="18">
        <f t="shared" si="214"/>
        <v>3.6375000000000002</v>
      </c>
      <c r="V537" s="58" t="s">
        <v>457</v>
      </c>
      <c r="W537" s="77">
        <f t="shared" si="216"/>
        <v>1</v>
      </c>
      <c r="X537" s="1" t="str">
        <f>VLOOKUP(A537,Data_Echipe!A:R,18,0)</f>
        <v>UltraHaita lu' Borcan</v>
      </c>
      <c r="Z537" s="115">
        <f t="shared" si="215"/>
        <v>1</v>
      </c>
    </row>
    <row r="538" spans="1:26" x14ac:dyDescent="0.3">
      <c r="A538" s="49" t="s">
        <v>296</v>
      </c>
      <c r="B538" s="1" t="str">
        <f>VLOOKUP(A538,Participanti!A:B,2,0)</f>
        <v>M</v>
      </c>
      <c r="C538" s="74">
        <v>7</v>
      </c>
      <c r="D538" s="50">
        <v>8.9</v>
      </c>
      <c r="E538" s="51">
        <v>5.122685185185185E-2</v>
      </c>
      <c r="F538" s="51">
        <v>5.3437499999999999E-2</v>
      </c>
      <c r="G538" s="69">
        <f t="shared" si="210"/>
        <v>5.2332175925925928E-2</v>
      </c>
      <c r="H538" s="52">
        <v>151</v>
      </c>
      <c r="I538" s="12">
        <f t="shared" si="211"/>
        <v>5.8800197669579696E-3</v>
      </c>
      <c r="J538" s="37">
        <f t="shared" si="212"/>
        <v>2.1190476190476191</v>
      </c>
      <c r="K538" s="37">
        <f>IF(J538=0,0,IF(B538="F",VLOOKUP(I538,Barem!$G$2:$H$16,2,1),VLOOKUP(I538,Barem!$G$17:$H$31,2,1)))</f>
        <v>0</v>
      </c>
      <c r="L538" s="50">
        <v>2.5</v>
      </c>
      <c r="M538" s="124" t="s">
        <v>106</v>
      </c>
      <c r="N538" s="10">
        <f t="shared" si="217"/>
        <v>0.5</v>
      </c>
      <c r="O538" s="10">
        <f t="shared" si="217"/>
        <v>0.25</v>
      </c>
      <c r="P538" s="10">
        <f t="shared" si="217"/>
        <v>0.25</v>
      </c>
      <c r="Q538" s="40">
        <f t="shared" si="213"/>
        <v>0.10066666666666667</v>
      </c>
      <c r="R538" s="21">
        <f>IF(D538&gt;21,VLOOKUP(D538,Barem!$T$1:$U$141,2,1),0)</f>
        <v>0</v>
      </c>
      <c r="S538" s="152">
        <f>IF(D538&lt;1.609,0,IF(B538="F",VLOOKUP(I538,Barem!$X$2:$Z$13,2,1),VLOOKUP(I538,Barem!$X$14:$Z$25,2,1)))</f>
        <v>0</v>
      </c>
      <c r="T538" s="21">
        <f>VLOOKUP(A538,Participanti!A:C,3,0)</f>
        <v>0</v>
      </c>
      <c r="U538" s="18">
        <f t="shared" si="214"/>
        <v>1.7851904761904762</v>
      </c>
      <c r="V538" s="58" t="s">
        <v>457</v>
      </c>
      <c r="W538" s="77">
        <f t="shared" si="216"/>
        <v>1</v>
      </c>
      <c r="X538" s="1" t="str">
        <f>VLOOKUP(A538,Data_Echipe!A:R,18,0)</f>
        <v>MedgidiaRunning</v>
      </c>
      <c r="Z538" s="115">
        <f t="shared" si="215"/>
        <v>0</v>
      </c>
    </row>
    <row r="539" spans="1:26" x14ac:dyDescent="0.3">
      <c r="A539" s="49" t="s">
        <v>47</v>
      </c>
      <c r="B539" s="1" t="str">
        <f>VLOOKUP(A539,Participanti!A:B,2,0)</f>
        <v>M</v>
      </c>
      <c r="C539" s="74">
        <v>7</v>
      </c>
      <c r="D539" s="50">
        <v>11.02</v>
      </c>
      <c r="E539" s="51">
        <v>3.7650462962962962E-2</v>
      </c>
      <c r="F539" s="51">
        <v>3.7650462962962962E-2</v>
      </c>
      <c r="G539" s="69">
        <f t="shared" si="210"/>
        <v>3.7650462962962962E-2</v>
      </c>
      <c r="H539" s="52"/>
      <c r="I539" s="12">
        <f t="shared" si="211"/>
        <v>3.4165574376554412E-3</v>
      </c>
      <c r="J539" s="37">
        <f t="shared" si="212"/>
        <v>2.6238095238095238</v>
      </c>
      <c r="K539" s="37">
        <f>IF(J539=0,0,IF(B539="F",VLOOKUP(I539,Barem!$G$2:$H$16,2,1),VLOOKUP(I539,Barem!$G$17:$H$31,2,1)))</f>
        <v>3</v>
      </c>
      <c r="L539" s="50">
        <v>4</v>
      </c>
      <c r="M539" s="124" t="s">
        <v>207</v>
      </c>
      <c r="N539" s="10">
        <f t="shared" si="217"/>
        <v>0.25</v>
      </c>
      <c r="O539" s="10">
        <f t="shared" si="217"/>
        <v>0.25</v>
      </c>
      <c r="P539" s="10">
        <f t="shared" si="217"/>
        <v>0.5</v>
      </c>
      <c r="Q539" s="40">
        <f t="shared" si="213"/>
        <v>0</v>
      </c>
      <c r="R539" s="21">
        <f>IF(D539&gt;21,VLOOKUP(D539,Barem!$T$1:$U$141,2,1),0)</f>
        <v>0</v>
      </c>
      <c r="S539" s="152">
        <f>IF(D539&lt;1.609,0,IF(B539="F",VLOOKUP(I539,Barem!$X$2:$Z$13,2,1),VLOOKUP(I539,Barem!$X$14:$Z$25,2,1)))</f>
        <v>0</v>
      </c>
      <c r="T539" s="21">
        <f>VLOOKUP(A539,Participanti!A:C,3,0)</f>
        <v>0</v>
      </c>
      <c r="U539" s="18">
        <f t="shared" si="214"/>
        <v>3.4059523809523808</v>
      </c>
      <c r="V539" s="58" t="s">
        <v>458</v>
      </c>
      <c r="W539" s="77">
        <f t="shared" si="216"/>
        <v>1</v>
      </c>
      <c r="X539" s="1" t="str">
        <f>VLOOKUP(A539,Data_Echipe!A:R,18,0)</f>
        <v>The GOATs</v>
      </c>
      <c r="Z539" s="115">
        <f t="shared" si="215"/>
        <v>1</v>
      </c>
    </row>
    <row r="540" spans="1:26" x14ac:dyDescent="0.3">
      <c r="A540" s="49" t="s">
        <v>406</v>
      </c>
      <c r="B540" s="1" t="str">
        <f>VLOOKUP(A540,Participanti!A:B,2,0)</f>
        <v>M</v>
      </c>
      <c r="C540" s="74">
        <v>7</v>
      </c>
      <c r="D540" s="50">
        <v>22.02</v>
      </c>
      <c r="E540" s="51">
        <v>0.1049537037037037</v>
      </c>
      <c r="F540" s="51">
        <v>0.13541666666666666</v>
      </c>
      <c r="G540" s="69">
        <f t="shared" si="210"/>
        <v>0.12018518518518517</v>
      </c>
      <c r="H540" s="52">
        <v>807</v>
      </c>
      <c r="I540" s="12">
        <f t="shared" si="211"/>
        <v>5.4580011437413796E-3</v>
      </c>
      <c r="J540" s="37">
        <f t="shared" si="212"/>
        <v>5</v>
      </c>
      <c r="K540" s="37">
        <f>IF(J540=0,0,IF(B540="F",VLOOKUP(I540,Barem!$G$2:$H$16,2,1),VLOOKUP(I540,Barem!$G$17:$H$31,2,1)))</f>
        <v>0.25</v>
      </c>
      <c r="L540" s="50">
        <v>2.5</v>
      </c>
      <c r="M540" s="124" t="s">
        <v>106</v>
      </c>
      <c r="N540" s="10">
        <f t="shared" si="217"/>
        <v>0.5</v>
      </c>
      <c r="O540" s="10">
        <f t="shared" si="217"/>
        <v>0.25</v>
      </c>
      <c r="P540" s="10">
        <f t="shared" si="217"/>
        <v>0.25</v>
      </c>
      <c r="Q540" s="40">
        <f t="shared" si="213"/>
        <v>0.53800000000000003</v>
      </c>
      <c r="R540" s="21">
        <f>IF(D540&gt;21,VLOOKUP(D540,Barem!$T$1:$U$141,2,1),0)</f>
        <v>0</v>
      </c>
      <c r="S540" s="152">
        <f>IF(D540&lt;1.609,0,IF(B540="F",VLOOKUP(I540,Barem!$X$2:$Z$13,2,1),VLOOKUP(I540,Barem!$X$14:$Z$25,2,1)))</f>
        <v>0</v>
      </c>
      <c r="T540" s="21">
        <f>VLOOKUP(A540,Participanti!A:C,3,0)</f>
        <v>0</v>
      </c>
      <c r="U540" s="18">
        <f t="shared" si="214"/>
        <v>3.7255000000000003</v>
      </c>
      <c r="V540" s="58" t="s">
        <v>458</v>
      </c>
      <c r="W540" s="77">
        <f t="shared" si="216"/>
        <v>1</v>
      </c>
      <c r="X540" s="1" t="e">
        <f>VLOOKUP(A540,Data_Echipe!A:R,18,0)</f>
        <v>#N/A</v>
      </c>
      <c r="Z540" s="115">
        <f t="shared" si="215"/>
        <v>1</v>
      </c>
    </row>
    <row r="541" spans="1:26" x14ac:dyDescent="0.3">
      <c r="A541" s="49" t="s">
        <v>390</v>
      </c>
      <c r="B541" s="1" t="str">
        <f>VLOOKUP(A541,Participanti!A:B,2,0)</f>
        <v>F</v>
      </c>
      <c r="C541" s="74">
        <v>7</v>
      </c>
      <c r="D541" s="50">
        <v>9.4700000000000006</v>
      </c>
      <c r="E541" s="51">
        <v>3.7812500000000006E-2</v>
      </c>
      <c r="F541" s="51">
        <v>3.784722222222222E-2</v>
      </c>
      <c r="G541" s="69">
        <f t="shared" si="210"/>
        <v>3.7829861111111113E-2</v>
      </c>
      <c r="H541" s="52"/>
      <c r="I541" s="12">
        <f t="shared" si="211"/>
        <v>3.994705502757245E-3</v>
      </c>
      <c r="J541" s="37">
        <f t="shared" si="212"/>
        <v>2.3675000000000002</v>
      </c>
      <c r="K541" s="37">
        <f>IF(J541=0,0,IF(B541="F",VLOOKUP(I541,Barem!$G$2:$H$16,2,1),VLOOKUP(I541,Barem!$G$17:$H$31,2,1)))</f>
        <v>2.5</v>
      </c>
      <c r="L541" s="50">
        <v>2.25</v>
      </c>
      <c r="M541" s="124" t="s">
        <v>106</v>
      </c>
      <c r="N541" s="10">
        <f t="shared" si="217"/>
        <v>0.5</v>
      </c>
      <c r="O541" s="10">
        <f t="shared" si="217"/>
        <v>0.25</v>
      </c>
      <c r="P541" s="10">
        <f t="shared" si="217"/>
        <v>0.25</v>
      </c>
      <c r="Q541" s="40">
        <f t="shared" si="213"/>
        <v>0</v>
      </c>
      <c r="R541" s="21">
        <f>IF(D541&gt;21,VLOOKUP(D541,Barem!$T$1:$U$141,2,1),0)</f>
        <v>0</v>
      </c>
      <c r="S541" s="152">
        <f>IF(D541&lt;1.609,0,IF(B541="F",VLOOKUP(I541,Barem!$X$2:$Z$13,2,1),VLOOKUP(I541,Barem!$X$14:$Z$25,2,1)))</f>
        <v>0</v>
      </c>
      <c r="T541" s="21">
        <f>VLOOKUP(A541,Participanti!A:C,3,0)</f>
        <v>0</v>
      </c>
      <c r="U541" s="18">
        <f t="shared" si="214"/>
        <v>2.3712499999999999</v>
      </c>
      <c r="V541" s="58" t="s">
        <v>458</v>
      </c>
      <c r="W541" s="77">
        <f t="shared" si="216"/>
        <v>1</v>
      </c>
      <c r="X541" s="1" t="str">
        <f>VLOOKUP(A541,Data_Echipe!A:R,18,0)</f>
        <v>#notSYRious</v>
      </c>
      <c r="Z541" s="115">
        <f t="shared" si="215"/>
        <v>1</v>
      </c>
    </row>
    <row r="542" spans="1:26" x14ac:dyDescent="0.3">
      <c r="A542" s="49" t="s">
        <v>48</v>
      </c>
      <c r="B542" s="1" t="str">
        <f>VLOOKUP(A542,Participanti!A:B,2,0)</f>
        <v>M</v>
      </c>
      <c r="C542" s="74">
        <v>7</v>
      </c>
      <c r="D542" s="50">
        <v>11.75</v>
      </c>
      <c r="E542" s="51">
        <v>4.7916666666666663E-2</v>
      </c>
      <c r="F542" s="51">
        <v>5.2488425925925924E-2</v>
      </c>
      <c r="G542" s="69">
        <f t="shared" si="210"/>
        <v>5.0202546296296294E-2</v>
      </c>
      <c r="H542" s="52">
        <v>172</v>
      </c>
      <c r="I542" s="12">
        <f t="shared" si="211"/>
        <v>4.2725571315996849E-3</v>
      </c>
      <c r="J542" s="37">
        <f t="shared" si="212"/>
        <v>2.7976190476190474</v>
      </c>
      <c r="K542" s="37">
        <f>IF(J542=0,0,IF(B542="F",VLOOKUP(I542,Barem!$G$2:$H$16,2,1),VLOOKUP(I542,Barem!$G$17:$H$31,2,1)))</f>
        <v>1.25</v>
      </c>
      <c r="L542" s="50">
        <v>1.75</v>
      </c>
      <c r="M542" s="124" t="s">
        <v>107</v>
      </c>
      <c r="N542" s="10">
        <f t="shared" si="217"/>
        <v>0.25</v>
      </c>
      <c r="O542" s="10">
        <f t="shared" si="217"/>
        <v>0.5</v>
      </c>
      <c r="P542" s="10">
        <f t="shared" si="217"/>
        <v>0.25</v>
      </c>
      <c r="Q542" s="40">
        <f t="shared" si="213"/>
        <v>0.11466666666666667</v>
      </c>
      <c r="R542" s="21">
        <f>IF(D542&gt;21,VLOOKUP(D542,Barem!$T$1:$U$141,2,1),0)</f>
        <v>0</v>
      </c>
      <c r="S542" s="152">
        <f>IF(D542&lt;1.609,0,IF(B542="F",VLOOKUP(I542,Barem!$X$2:$Z$13,2,1),VLOOKUP(I542,Barem!$X$14:$Z$25,2,1)))</f>
        <v>0</v>
      </c>
      <c r="T542" s="21">
        <f>VLOOKUP(A542,Participanti!A:C,3,0)</f>
        <v>0.4</v>
      </c>
      <c r="U542" s="18">
        <f t="shared" si="214"/>
        <v>2.2765714285714287</v>
      </c>
      <c r="V542" s="58" t="s">
        <v>458</v>
      </c>
      <c r="W542" s="77">
        <f t="shared" si="216"/>
        <v>1</v>
      </c>
      <c r="X542" s="1" t="str">
        <f>VLOOKUP(A542,Data_Echipe!A:R,18,0)</f>
        <v>#notSYRious</v>
      </c>
      <c r="Z542" s="115">
        <f t="shared" si="215"/>
        <v>1</v>
      </c>
    </row>
    <row r="543" spans="1:26" x14ac:dyDescent="0.3">
      <c r="A543" s="49" t="s">
        <v>245</v>
      </c>
      <c r="B543" s="1" t="str">
        <f>VLOOKUP(A543,Participanti!A:B,2,0)</f>
        <v>M</v>
      </c>
      <c r="C543" s="74">
        <v>7</v>
      </c>
      <c r="D543" s="50">
        <v>25.67</v>
      </c>
      <c r="E543" s="51">
        <v>0.13150462962962964</v>
      </c>
      <c r="F543" s="51">
        <v>0.15613425925925925</v>
      </c>
      <c r="G543" s="69">
        <f t="shared" si="210"/>
        <v>0.14381944444444444</v>
      </c>
      <c r="H543" s="52">
        <v>1280</v>
      </c>
      <c r="I543" s="12">
        <f t="shared" si="211"/>
        <v>5.6026273644115476E-3</v>
      </c>
      <c r="J543" s="37">
        <f t="shared" si="212"/>
        <v>5</v>
      </c>
      <c r="K543" s="37">
        <f>IF(J543=0,0,IF(B543="F",VLOOKUP(I543,Barem!$G$2:$H$16,2,1),VLOOKUP(I543,Barem!$G$17:$H$31,2,1)))</f>
        <v>0</v>
      </c>
      <c r="L543" s="50">
        <v>4</v>
      </c>
      <c r="M543" s="124" t="s">
        <v>106</v>
      </c>
      <c r="N543" s="10">
        <f t="shared" si="217"/>
        <v>0.5</v>
      </c>
      <c r="O543" s="10">
        <f t="shared" si="217"/>
        <v>0.25</v>
      </c>
      <c r="P543" s="10">
        <f t="shared" si="217"/>
        <v>0.25</v>
      </c>
      <c r="Q543" s="40">
        <f t="shared" si="213"/>
        <v>0.85333333333333339</v>
      </c>
      <c r="R543" s="21">
        <f>IF(D543&gt;21,VLOOKUP(D543,Barem!$T$1:$U$141,2,1),0)</f>
        <v>0.2</v>
      </c>
      <c r="S543" s="152">
        <f>IF(D543&lt;1.609,0,IF(B543="F",VLOOKUP(I543,Barem!$X$2:$Z$13,2,1),VLOOKUP(I543,Barem!$X$14:$Z$25,2,1)))</f>
        <v>0</v>
      </c>
      <c r="T543" s="21">
        <f>VLOOKUP(A543,Participanti!A:C,3,0)</f>
        <v>0</v>
      </c>
      <c r="U543" s="18">
        <f t="shared" si="214"/>
        <v>4.5533333333333337</v>
      </c>
      <c r="V543" s="58" t="s">
        <v>458</v>
      </c>
      <c r="W543" s="77">
        <f t="shared" si="216"/>
        <v>1</v>
      </c>
      <c r="X543" s="1" t="str">
        <f>VLOOKUP(A543,Data_Echipe!A:R,18,0)</f>
        <v>#notSYRious</v>
      </c>
      <c r="Z543" s="115">
        <f t="shared" si="215"/>
        <v>0</v>
      </c>
    </row>
    <row r="544" spans="1:26" x14ac:dyDescent="0.3">
      <c r="A544" s="49" t="s">
        <v>357</v>
      </c>
      <c r="B544" s="1" t="str">
        <f>VLOOKUP(A544,Participanti!A:B,2,0)</f>
        <v>M</v>
      </c>
      <c r="C544" s="74">
        <v>7</v>
      </c>
      <c r="D544" s="50">
        <v>25.01</v>
      </c>
      <c r="E544" s="51">
        <v>8.8483796296296283E-2</v>
      </c>
      <c r="F544" s="51">
        <v>8.925925925925926E-2</v>
      </c>
      <c r="G544" s="69">
        <f t="shared" si="210"/>
        <v>8.8871527777777765E-2</v>
      </c>
      <c r="H544" s="52">
        <v>120</v>
      </c>
      <c r="I544" s="12">
        <f t="shared" si="211"/>
        <v>3.5534397352170234E-3</v>
      </c>
      <c r="J544" s="37">
        <f t="shared" si="212"/>
        <v>5</v>
      </c>
      <c r="K544" s="37">
        <f>IF(J544=0,0,IF(B544="F",VLOOKUP(I544,Barem!$G$2:$H$16,2,1),VLOOKUP(I544,Barem!$G$17:$H$31,2,1)))</f>
        <v>2.5</v>
      </c>
      <c r="L544" s="50">
        <v>1</v>
      </c>
      <c r="M544" s="124" t="s">
        <v>106</v>
      </c>
      <c r="N544" s="10">
        <f t="shared" si="217"/>
        <v>0.5</v>
      </c>
      <c r="O544" s="10">
        <f t="shared" si="217"/>
        <v>0.25</v>
      </c>
      <c r="P544" s="10">
        <f t="shared" si="217"/>
        <v>0.25</v>
      </c>
      <c r="Q544" s="40">
        <f t="shared" si="213"/>
        <v>0.08</v>
      </c>
      <c r="R544" s="21">
        <f>IF(D544&gt;21,VLOOKUP(D544,Barem!$T$1:$U$141,2,1),0)</f>
        <v>0.2</v>
      </c>
      <c r="S544" s="152">
        <f>IF(D544&lt;1.609,0,IF(B544="F",VLOOKUP(I544,Barem!$X$2:$Z$13,2,1),VLOOKUP(I544,Barem!$X$14:$Z$25,2,1)))</f>
        <v>0</v>
      </c>
      <c r="T544" s="21">
        <f>VLOOKUP(A544,Participanti!A:C,3,0)</f>
        <v>0</v>
      </c>
      <c r="U544" s="18">
        <f t="shared" si="214"/>
        <v>3.6550000000000002</v>
      </c>
      <c r="V544" s="58" t="s">
        <v>458</v>
      </c>
      <c r="W544" s="77">
        <f t="shared" si="216"/>
        <v>1</v>
      </c>
      <c r="X544" s="1" t="e">
        <f>VLOOKUP(A544,Data_Echipe!A:R,18,0)</f>
        <v>#N/A</v>
      </c>
      <c r="Z544" s="115">
        <f t="shared" si="215"/>
        <v>1</v>
      </c>
    </row>
    <row r="545" spans="1:26" x14ac:dyDescent="0.3">
      <c r="A545" s="49" t="s">
        <v>204</v>
      </c>
      <c r="B545" s="1" t="str">
        <f>VLOOKUP(A545,Participanti!A:B,2,0)</f>
        <v>M</v>
      </c>
      <c r="C545" s="74">
        <v>7</v>
      </c>
      <c r="D545" s="50">
        <v>12.51</v>
      </c>
      <c r="E545" s="51">
        <v>4.7557870370370368E-2</v>
      </c>
      <c r="F545" s="51">
        <v>5.3611111111111109E-2</v>
      </c>
      <c r="G545" s="69">
        <f t="shared" si="210"/>
        <v>5.0584490740740742E-2</v>
      </c>
      <c r="H545" s="52"/>
      <c r="I545" s="12">
        <f t="shared" si="211"/>
        <v>4.0435244397074932E-3</v>
      </c>
      <c r="J545" s="37">
        <f t="shared" si="212"/>
        <v>2.9785714285714282</v>
      </c>
      <c r="K545" s="37">
        <f>IF(J545=0,0,IF(B545="F",VLOOKUP(I545,Barem!$G$2:$H$16,2,1),VLOOKUP(I545,Barem!$G$17:$H$31,2,1)))</f>
        <v>1.5</v>
      </c>
      <c r="L545" s="50">
        <v>1.5</v>
      </c>
      <c r="M545" s="124" t="s">
        <v>106</v>
      </c>
      <c r="N545" s="10">
        <f t="shared" si="217"/>
        <v>0.5</v>
      </c>
      <c r="O545" s="10">
        <f t="shared" si="217"/>
        <v>0.25</v>
      </c>
      <c r="P545" s="10">
        <f t="shared" si="217"/>
        <v>0.25</v>
      </c>
      <c r="Q545" s="40">
        <f t="shared" si="213"/>
        <v>0</v>
      </c>
      <c r="R545" s="21">
        <f>IF(D545&gt;21,VLOOKUP(D545,Barem!$T$1:$U$141,2,1),0)</f>
        <v>0</v>
      </c>
      <c r="S545" s="152">
        <f>IF(D545&lt;1.609,0,IF(B545="F",VLOOKUP(I545,Barem!$X$2:$Z$13,2,1),VLOOKUP(I545,Barem!$X$14:$Z$25,2,1)))</f>
        <v>0</v>
      </c>
      <c r="T545" s="21">
        <f>VLOOKUP(A545,Participanti!A:C,3,0)</f>
        <v>0</v>
      </c>
      <c r="U545" s="18">
        <f t="shared" si="214"/>
        <v>2.2392857142857139</v>
      </c>
      <c r="V545" s="58" t="s">
        <v>458</v>
      </c>
      <c r="W545" s="77">
        <f t="shared" si="216"/>
        <v>1</v>
      </c>
      <c r="X545" s="1" t="e">
        <f>VLOOKUP(A545,Data_Echipe!A:R,18,0)</f>
        <v>#N/A</v>
      </c>
      <c r="Z545" s="115">
        <f t="shared" si="215"/>
        <v>1</v>
      </c>
    </row>
    <row r="546" spans="1:26" x14ac:dyDescent="0.3">
      <c r="A546" s="49" t="s">
        <v>433</v>
      </c>
      <c r="B546" s="1" t="str">
        <f>VLOOKUP(A546,Participanti!A:B,2,0)</f>
        <v>M</v>
      </c>
      <c r="C546" s="74">
        <v>7</v>
      </c>
      <c r="D546" s="50">
        <v>10.11</v>
      </c>
      <c r="E546" s="51">
        <v>3.6620370370370373E-2</v>
      </c>
      <c r="F546" s="51">
        <v>3.6840277777777777E-2</v>
      </c>
      <c r="G546" s="69">
        <f t="shared" si="210"/>
        <v>3.6730324074074075E-2</v>
      </c>
      <c r="H546" s="52">
        <v>64</v>
      </c>
      <c r="I546" s="12">
        <f t="shared" si="211"/>
        <v>3.6330686522328464E-3</v>
      </c>
      <c r="J546" s="37">
        <f t="shared" si="212"/>
        <v>2.407142857142857</v>
      </c>
      <c r="K546" s="37">
        <f>IF(J546=0,0,IF(B546="F",VLOOKUP(I546,Barem!$G$2:$H$16,2,1),VLOOKUP(I546,Barem!$G$17:$H$31,2,1)))</f>
        <v>2.5</v>
      </c>
      <c r="L546" s="50">
        <v>2.25</v>
      </c>
      <c r="M546" s="124" t="s">
        <v>106</v>
      </c>
      <c r="N546" s="10">
        <f t="shared" si="217"/>
        <v>0.5</v>
      </c>
      <c r="O546" s="10">
        <f t="shared" si="217"/>
        <v>0.25</v>
      </c>
      <c r="P546" s="10">
        <f t="shared" si="217"/>
        <v>0.25</v>
      </c>
      <c r="Q546" s="40">
        <f t="shared" si="213"/>
        <v>4.2666666666666665E-2</v>
      </c>
      <c r="R546" s="21">
        <f>IF(D546&gt;21,VLOOKUP(D546,Barem!$T$1:$U$141,2,1),0)</f>
        <v>0</v>
      </c>
      <c r="S546" s="152">
        <f>IF(D546&lt;1.609,0,IF(B546="F",VLOOKUP(I546,Barem!$X$2:$Z$13,2,1),VLOOKUP(I546,Barem!$X$14:$Z$25,2,1)))</f>
        <v>0</v>
      </c>
      <c r="T546" s="21">
        <f>VLOOKUP(A546,Participanti!A:C,3,0)</f>
        <v>0</v>
      </c>
      <c r="U546" s="18">
        <f t="shared" si="214"/>
        <v>2.4337380952380951</v>
      </c>
      <c r="V546" s="58" t="s">
        <v>458</v>
      </c>
      <c r="W546" s="77">
        <f t="shared" si="216"/>
        <v>1</v>
      </c>
      <c r="X546" s="1" t="e">
        <f>VLOOKUP(A546,Data_Echipe!A:R,18,0)</f>
        <v>#N/A</v>
      </c>
      <c r="Z546" s="115">
        <f t="shared" si="215"/>
        <v>1</v>
      </c>
    </row>
    <row r="547" spans="1:26" x14ac:dyDescent="0.3">
      <c r="A547" s="49" t="s">
        <v>353</v>
      </c>
      <c r="B547" s="1" t="str">
        <f>VLOOKUP(A547,Participanti!A:B,2,0)</f>
        <v>M</v>
      </c>
      <c r="C547" s="74">
        <v>7</v>
      </c>
      <c r="D547" s="50">
        <v>35.020000000000003</v>
      </c>
      <c r="E547" s="51">
        <v>0.12563657407407408</v>
      </c>
      <c r="F547" s="51">
        <v>0.12628472222222223</v>
      </c>
      <c r="G547" s="69">
        <f t="shared" si="210"/>
        <v>0.12596064814814817</v>
      </c>
      <c r="H547" s="52">
        <v>106</v>
      </c>
      <c r="I547" s="12">
        <f t="shared" si="211"/>
        <v>3.5968203354696791E-3</v>
      </c>
      <c r="J547" s="37">
        <f t="shared" si="212"/>
        <v>5</v>
      </c>
      <c r="K547" s="37">
        <f>IF(J547=0,0,IF(B547="F",VLOOKUP(I547,Barem!$G$2:$H$16,2,1),VLOOKUP(I547,Barem!$G$17:$H$31,2,1)))</f>
        <v>2.5</v>
      </c>
      <c r="L547" s="50">
        <v>2.75</v>
      </c>
      <c r="M547" s="124" t="s">
        <v>106</v>
      </c>
      <c r="N547" s="10">
        <f t="shared" si="217"/>
        <v>0.5</v>
      </c>
      <c r="O547" s="10">
        <f t="shared" si="217"/>
        <v>0.25</v>
      </c>
      <c r="P547" s="10">
        <f t="shared" si="217"/>
        <v>0.25</v>
      </c>
      <c r="Q547" s="40">
        <f t="shared" si="213"/>
        <v>7.0666666666666669E-2</v>
      </c>
      <c r="R547" s="21">
        <f>IF(D547&gt;21,VLOOKUP(D547,Barem!$T$1:$U$141,2,1),0)</f>
        <v>0.7</v>
      </c>
      <c r="S547" s="152">
        <f>IF(D547&lt;1.609,0,IF(B547="F",VLOOKUP(I547,Barem!$X$2:$Z$13,2,1),VLOOKUP(I547,Barem!$X$14:$Z$25,2,1)))</f>
        <v>0</v>
      </c>
      <c r="T547" s="21">
        <f>VLOOKUP(A547,Participanti!A:C,3,0)</f>
        <v>0</v>
      </c>
      <c r="U547" s="18">
        <f t="shared" si="214"/>
        <v>4.5831666666666671</v>
      </c>
      <c r="V547" s="58" t="s">
        <v>460</v>
      </c>
      <c r="W547" s="77">
        <f t="shared" si="216"/>
        <v>1</v>
      </c>
      <c r="X547" s="1" t="e">
        <f>VLOOKUP(A547,Data_Echipe!A:R,18,0)</f>
        <v>#N/A</v>
      </c>
      <c r="Z547" s="115">
        <f t="shared" si="215"/>
        <v>1</v>
      </c>
    </row>
    <row r="548" spans="1:26" x14ac:dyDescent="0.3">
      <c r="A548" s="49" t="s">
        <v>366</v>
      </c>
      <c r="B548" s="1" t="str">
        <f>VLOOKUP(A548,Participanti!A:B,2,0)</f>
        <v>M</v>
      </c>
      <c r="C548" s="74">
        <v>7</v>
      </c>
      <c r="D548" s="50">
        <v>3.06</v>
      </c>
      <c r="E548" s="51">
        <v>8.0902777777777778E-3</v>
      </c>
      <c r="F548" s="51">
        <v>8.0902777777777778E-3</v>
      </c>
      <c r="G548" s="69">
        <f t="shared" si="210"/>
        <v>8.0902777777777778E-3</v>
      </c>
      <c r="H548" s="52"/>
      <c r="I548" s="12">
        <f t="shared" si="211"/>
        <v>2.6438816267247639E-3</v>
      </c>
      <c r="J548" s="37">
        <f t="shared" si="212"/>
        <v>0.72857142857142854</v>
      </c>
      <c r="K548" s="37">
        <f>IF(J548=0,0,IF(B548="F",VLOOKUP(I548,Barem!$G$2:$H$16,2,1),VLOOKUP(I548,Barem!$G$17:$H$31,2,1)))</f>
        <v>5</v>
      </c>
      <c r="L548" s="50">
        <v>3</v>
      </c>
      <c r="M548" s="124" t="s">
        <v>107</v>
      </c>
      <c r="N548" s="10">
        <f t="shared" si="217"/>
        <v>0.25</v>
      </c>
      <c r="O548" s="10">
        <f t="shared" si="217"/>
        <v>0.5</v>
      </c>
      <c r="P548" s="10">
        <f t="shared" si="217"/>
        <v>0.25</v>
      </c>
      <c r="Q548" s="40">
        <f t="shared" si="213"/>
        <v>0</v>
      </c>
      <c r="R548" s="21">
        <f>IF(D548&gt;21,VLOOKUP(D548,Barem!$T$1:$U$141,2,1),0)</f>
        <v>0</v>
      </c>
      <c r="S548" s="152">
        <f>IF(D548&lt;1.609,0,IF(B548="F",VLOOKUP(I548,Barem!$X$2:$Z$13,2,1),VLOOKUP(I548,Barem!$X$14:$Z$25,2,1)))</f>
        <v>0.89999999999999991</v>
      </c>
      <c r="T548" s="21">
        <f>VLOOKUP(A548,Participanti!A:C,3,0)</f>
        <v>0</v>
      </c>
      <c r="U548" s="18">
        <f t="shared" si="214"/>
        <v>4.3321428571428573</v>
      </c>
      <c r="V548" s="58" t="s">
        <v>460</v>
      </c>
      <c r="W548" s="77">
        <f t="shared" si="216"/>
        <v>1</v>
      </c>
      <c r="X548" s="1" t="str">
        <f>VLOOKUP(A548,Data_Echipe!A:R,18,0)</f>
        <v>The GOATs</v>
      </c>
      <c r="Z548" s="115">
        <f t="shared" si="215"/>
        <v>1</v>
      </c>
    </row>
    <row r="549" spans="1:26" x14ac:dyDescent="0.3">
      <c r="A549" s="49" t="s">
        <v>430</v>
      </c>
      <c r="B549" s="1" t="str">
        <f>VLOOKUP(A549,Participanti!A:B,2,0)</f>
        <v>M</v>
      </c>
      <c r="C549" s="74">
        <v>7</v>
      </c>
      <c r="D549" s="50">
        <v>12</v>
      </c>
      <c r="E549" s="51">
        <v>4.1562500000000002E-2</v>
      </c>
      <c r="F549" s="51">
        <v>4.1562500000000002E-2</v>
      </c>
      <c r="G549" s="69">
        <f t="shared" si="210"/>
        <v>4.1562500000000002E-2</v>
      </c>
      <c r="H549" s="52"/>
      <c r="I549" s="12">
        <f t="shared" si="211"/>
        <v>3.4635416666666669E-3</v>
      </c>
      <c r="J549" s="37">
        <f t="shared" si="212"/>
        <v>2.8571428571428572</v>
      </c>
      <c r="K549" s="37">
        <f>IF(J549=0,0,IF(B549="F",VLOOKUP(I549,Barem!$G$2:$H$16,2,1),VLOOKUP(I549,Barem!$G$17:$H$31,2,1)))</f>
        <v>3</v>
      </c>
      <c r="L549" s="50">
        <v>1.25</v>
      </c>
      <c r="M549" s="124" t="s">
        <v>106</v>
      </c>
      <c r="N549" s="10">
        <f t="shared" si="217"/>
        <v>0.5</v>
      </c>
      <c r="O549" s="10">
        <f t="shared" si="217"/>
        <v>0.25</v>
      </c>
      <c r="P549" s="10">
        <f t="shared" si="217"/>
        <v>0.25</v>
      </c>
      <c r="Q549" s="40">
        <f t="shared" si="213"/>
        <v>0</v>
      </c>
      <c r="R549" s="21">
        <f>IF(D549&gt;21,VLOOKUP(D549,Barem!$T$1:$U$141,2,1),0)</f>
        <v>0</v>
      </c>
      <c r="S549" s="152">
        <f>IF(D549&lt;1.609,0,IF(B549="F",VLOOKUP(I549,Barem!$X$2:$Z$13,2,1),VLOOKUP(I549,Barem!$X$14:$Z$25,2,1)))</f>
        <v>0</v>
      </c>
      <c r="T549" s="21">
        <f>VLOOKUP(A549,Participanti!A:C,3,0)</f>
        <v>0</v>
      </c>
      <c r="U549" s="18">
        <f t="shared" si="214"/>
        <v>2.4910714285714288</v>
      </c>
      <c r="V549" s="58" t="s">
        <v>460</v>
      </c>
      <c r="W549" s="77">
        <f t="shared" si="216"/>
        <v>1</v>
      </c>
      <c r="X549" s="1" t="e">
        <f>VLOOKUP(A549,Data_Echipe!A:R,18,0)</f>
        <v>#N/A</v>
      </c>
      <c r="Z549" s="115">
        <f t="shared" si="215"/>
        <v>1</v>
      </c>
    </row>
    <row r="550" spans="1:26" x14ac:dyDescent="0.3">
      <c r="A550" s="49" t="s">
        <v>339</v>
      </c>
      <c r="B550" s="1" t="str">
        <f>VLOOKUP(A550,Participanti!A:B,2,0)</f>
        <v>M</v>
      </c>
      <c r="C550" s="74">
        <v>7</v>
      </c>
      <c r="D550" s="50">
        <v>40.58</v>
      </c>
      <c r="E550" s="51">
        <v>0.16450231481481481</v>
      </c>
      <c r="F550" s="51">
        <v>0.17085648148148147</v>
      </c>
      <c r="G550" s="69">
        <f t="shared" si="210"/>
        <v>0.16767939814814814</v>
      </c>
      <c r="H550" s="52">
        <v>306</v>
      </c>
      <c r="I550" s="12">
        <f t="shared" si="211"/>
        <v>4.1320699395797963E-3</v>
      </c>
      <c r="J550" s="37">
        <f t="shared" si="212"/>
        <v>5</v>
      </c>
      <c r="K550" s="37">
        <f>IF(J550=0,0,IF(B550="F",VLOOKUP(I550,Barem!$G$2:$H$16,2,1),VLOOKUP(I550,Barem!$G$17:$H$31,2,1)))</f>
        <v>1.5</v>
      </c>
      <c r="L550" s="50">
        <v>2.5</v>
      </c>
      <c r="M550" s="124" t="s">
        <v>106</v>
      </c>
      <c r="N550" s="10">
        <f t="shared" si="217"/>
        <v>0.5</v>
      </c>
      <c r="O550" s="10">
        <f t="shared" si="217"/>
        <v>0.25</v>
      </c>
      <c r="P550" s="10">
        <f t="shared" si="217"/>
        <v>0.25</v>
      </c>
      <c r="Q550" s="40">
        <f t="shared" si="213"/>
        <v>0.20399999999999999</v>
      </c>
      <c r="R550" s="21">
        <f>IF(D550&gt;21,VLOOKUP(D550,Barem!$T$1:$U$141,2,1),0)</f>
        <v>0.9</v>
      </c>
      <c r="S550" s="152">
        <f>IF(D550&lt;1.609,0,IF(B550="F",VLOOKUP(I550,Barem!$X$2:$Z$13,2,1),VLOOKUP(I550,Barem!$X$14:$Z$25,2,1)))</f>
        <v>0</v>
      </c>
      <c r="T550" s="21">
        <f>VLOOKUP(A550,Participanti!A:C,3,0)</f>
        <v>0</v>
      </c>
      <c r="U550" s="18">
        <f t="shared" si="214"/>
        <v>4.6040000000000001</v>
      </c>
      <c r="V550" s="58" t="s">
        <v>460</v>
      </c>
      <c r="W550" s="77">
        <f t="shared" si="216"/>
        <v>1</v>
      </c>
      <c r="X550" s="1" t="str">
        <f>VLOOKUP(A550,Data_Echipe!A:R,18,0)</f>
        <v>MedgidiaRunning</v>
      </c>
      <c r="Z550" s="115">
        <f t="shared" si="215"/>
        <v>1</v>
      </c>
    </row>
    <row r="551" spans="1:26" x14ac:dyDescent="0.3">
      <c r="A551" s="49" t="s">
        <v>136</v>
      </c>
      <c r="B551" s="1" t="str">
        <f>VLOOKUP(A551,Participanti!A:B,2,0)</f>
        <v>F</v>
      </c>
      <c r="C551" s="74">
        <v>7</v>
      </c>
      <c r="D551" s="50">
        <v>15.01</v>
      </c>
      <c r="E551" s="51">
        <v>6.6168981481481481E-2</v>
      </c>
      <c r="F551" s="51">
        <v>7.1724537037037031E-2</v>
      </c>
      <c r="G551" s="69">
        <f t="shared" si="210"/>
        <v>6.8946759259259249E-2</v>
      </c>
      <c r="H551" s="52">
        <v>163</v>
      </c>
      <c r="I551" s="12">
        <f t="shared" si="211"/>
        <v>4.5933883583783646E-3</v>
      </c>
      <c r="J551" s="37">
        <f t="shared" si="212"/>
        <v>3.7524999999999999</v>
      </c>
      <c r="K551" s="37">
        <f>IF(J551=0,0,IF(B551="F",VLOOKUP(I551,Barem!$G$2:$H$16,2,1),VLOOKUP(I551,Barem!$G$17:$H$31,2,1)))</f>
        <v>1.25</v>
      </c>
      <c r="L551" s="50">
        <v>2.75</v>
      </c>
      <c r="M551" s="124" t="s">
        <v>106</v>
      </c>
      <c r="N551" s="10">
        <f t="shared" si="217"/>
        <v>0.5</v>
      </c>
      <c r="O551" s="10">
        <f t="shared" si="217"/>
        <v>0.25</v>
      </c>
      <c r="P551" s="10">
        <f t="shared" si="217"/>
        <v>0.25</v>
      </c>
      <c r="Q551" s="40">
        <f t="shared" si="213"/>
        <v>0.10866666666666666</v>
      </c>
      <c r="R551" s="21">
        <f>IF(D551&gt;21,VLOOKUP(D551,Barem!$T$1:$U$141,2,1),0)</f>
        <v>0</v>
      </c>
      <c r="S551" s="152">
        <f>IF(D551&lt;1.609,0,IF(B551="F",VLOOKUP(I551,Barem!$X$2:$Z$13,2,1),VLOOKUP(I551,Barem!$X$14:$Z$25,2,1)))</f>
        <v>0</v>
      </c>
      <c r="T551" s="21">
        <f>VLOOKUP(A551,Participanti!A:C,3,0)</f>
        <v>0</v>
      </c>
      <c r="U551" s="18">
        <f t="shared" si="214"/>
        <v>2.9849166666666664</v>
      </c>
      <c r="V551" s="58" t="s">
        <v>460</v>
      </c>
      <c r="W551" s="77">
        <f t="shared" si="216"/>
        <v>1</v>
      </c>
      <c r="X551" s="1" t="e">
        <f>VLOOKUP(A551,Data_Echipe!A:R,18,0)</f>
        <v>#N/A</v>
      </c>
      <c r="Z551" s="115">
        <f t="shared" si="215"/>
        <v>1</v>
      </c>
    </row>
    <row r="552" spans="1:26" x14ac:dyDescent="0.3">
      <c r="A552" s="49" t="s">
        <v>461</v>
      </c>
      <c r="B552" s="1" t="str">
        <f>VLOOKUP(A552,Participanti!A:B,2,0)</f>
        <v>M</v>
      </c>
      <c r="C552" s="74">
        <v>7</v>
      </c>
      <c r="D552" s="50">
        <v>10.130000000000001</v>
      </c>
      <c r="E552" s="51">
        <v>4.5787037037037036E-2</v>
      </c>
      <c r="F552" s="51">
        <v>4.5787037037037036E-2</v>
      </c>
      <c r="G552" s="69">
        <f t="shared" si="210"/>
        <v>4.5787037037037036E-2</v>
      </c>
      <c r="H552" s="52"/>
      <c r="I552" s="12">
        <f t="shared" si="211"/>
        <v>4.5199444261635763E-3</v>
      </c>
      <c r="J552" s="37">
        <f t="shared" si="212"/>
        <v>2.4119047619047618</v>
      </c>
      <c r="K552" s="37">
        <f>IF(J552=0,0,IF(B552="F",VLOOKUP(I552,Barem!$G$2:$H$16,2,1),VLOOKUP(I552,Barem!$G$17:$H$31,2,1)))</f>
        <v>1</v>
      </c>
      <c r="L552" s="50">
        <v>0.5</v>
      </c>
      <c r="M552" s="124" t="s">
        <v>106</v>
      </c>
      <c r="N552" s="10">
        <f t="shared" si="217"/>
        <v>0.5</v>
      </c>
      <c r="O552" s="10">
        <f t="shared" si="217"/>
        <v>0.25</v>
      </c>
      <c r="P552" s="10">
        <f t="shared" si="217"/>
        <v>0.25</v>
      </c>
      <c r="Q552" s="40">
        <f t="shared" si="213"/>
        <v>0</v>
      </c>
      <c r="R552" s="21">
        <f>IF(D552&gt;21,VLOOKUP(D552,Barem!$T$1:$U$141,2,1),0)</f>
        <v>0</v>
      </c>
      <c r="S552" s="152">
        <f>IF(D552&lt;1.609,0,IF(B552="F",VLOOKUP(I552,Barem!$X$2:$Z$13,2,1),VLOOKUP(I552,Barem!$X$14:$Z$25,2,1)))</f>
        <v>0</v>
      </c>
      <c r="T552" s="21">
        <f>VLOOKUP(A552,Participanti!A:C,3,0)</f>
        <v>0</v>
      </c>
      <c r="U552" s="18">
        <f t="shared" si="214"/>
        <v>1.5809523809523809</v>
      </c>
      <c r="V552" s="58" t="s">
        <v>460</v>
      </c>
      <c r="W552" s="77">
        <f t="shared" si="216"/>
        <v>1</v>
      </c>
      <c r="X552" s="1" t="e">
        <f>VLOOKUP(A552,Data_Echipe!A:R,18,0)</f>
        <v>#N/A</v>
      </c>
      <c r="Z552" s="115">
        <f t="shared" si="215"/>
        <v>1</v>
      </c>
    </row>
    <row r="553" spans="1:26" x14ac:dyDescent="0.3">
      <c r="A553" s="49" t="s">
        <v>354</v>
      </c>
      <c r="B553" s="1" t="str">
        <f>VLOOKUP(A553,Participanti!A:B,2,0)</f>
        <v>M</v>
      </c>
      <c r="C553" s="74">
        <v>7</v>
      </c>
      <c r="D553" s="50">
        <v>17.12</v>
      </c>
      <c r="E553" s="51">
        <v>8.1689814814814812E-2</v>
      </c>
      <c r="F553" s="51">
        <v>8.5775462962962956E-2</v>
      </c>
      <c r="G553" s="69">
        <f t="shared" si="210"/>
        <v>8.3732638888888877E-2</v>
      </c>
      <c r="H553" s="52">
        <v>468</v>
      </c>
      <c r="I553" s="12">
        <f t="shared" si="211"/>
        <v>4.8909251687435087E-3</v>
      </c>
      <c r="J553" s="37">
        <f t="shared" si="212"/>
        <v>4.0761904761904759</v>
      </c>
      <c r="K553" s="37">
        <f>IF(J553=0,0,IF(B553="F",VLOOKUP(I553,Barem!$G$2:$H$16,2,1),VLOOKUP(I553,Barem!$G$17:$H$31,2,1)))</f>
        <v>0.25</v>
      </c>
      <c r="L553" s="50">
        <v>2</v>
      </c>
      <c r="M553" s="124" t="s">
        <v>106</v>
      </c>
      <c r="N553" s="10">
        <f t="shared" si="217"/>
        <v>0.5</v>
      </c>
      <c r="O553" s="10">
        <f t="shared" si="217"/>
        <v>0.25</v>
      </c>
      <c r="P553" s="10">
        <f t="shared" si="217"/>
        <v>0.25</v>
      </c>
      <c r="Q553" s="40">
        <f t="shared" si="213"/>
        <v>0.312</v>
      </c>
      <c r="R553" s="21">
        <f>IF(D553&gt;21,VLOOKUP(D553,Barem!$T$1:$U$141,2,1),0)</f>
        <v>0</v>
      </c>
      <c r="S553" s="152">
        <f>IF(D553&lt;1.609,0,IF(B553="F",VLOOKUP(I553,Barem!$X$2:$Z$13,2,1),VLOOKUP(I553,Barem!$X$14:$Z$25,2,1)))</f>
        <v>0</v>
      </c>
      <c r="T553" s="21">
        <f>VLOOKUP(A553,Participanti!A:C,3,0)</f>
        <v>0</v>
      </c>
      <c r="U553" s="18">
        <f t="shared" si="214"/>
        <v>2.9125952380952378</v>
      </c>
      <c r="V553" s="58" t="s">
        <v>460</v>
      </c>
      <c r="W553" s="77">
        <f t="shared" si="216"/>
        <v>1</v>
      </c>
      <c r="X553" s="1" t="e">
        <f>VLOOKUP(A553,Data_Echipe!A:R,18,0)</f>
        <v>#N/A</v>
      </c>
      <c r="Z553" s="115">
        <f t="shared" si="215"/>
        <v>1</v>
      </c>
    </row>
    <row r="554" spans="1:26" x14ac:dyDescent="0.3">
      <c r="A554" s="132" t="s">
        <v>291</v>
      </c>
      <c r="B554" s="133" t="str">
        <f>VLOOKUP(A554,Participanti!A:B,2,0)</f>
        <v>F</v>
      </c>
      <c r="C554" s="134">
        <v>7</v>
      </c>
      <c r="D554" s="135">
        <v>0</v>
      </c>
      <c r="E554" s="136">
        <v>0</v>
      </c>
      <c r="F554" s="136">
        <v>0</v>
      </c>
      <c r="G554" s="137">
        <f t="shared" si="210"/>
        <v>0</v>
      </c>
      <c r="H554" s="138"/>
      <c r="I554" s="139">
        <v>0</v>
      </c>
      <c r="J554" s="140">
        <f t="shared" si="212"/>
        <v>0</v>
      </c>
      <c r="K554" s="140">
        <f>IF(J554=0,0,IF(B554="F",VLOOKUP(I554,Barem!$G$2:$H$16,2,1),VLOOKUP(I554,Barem!$G$17:$H$31,2,1)))</f>
        <v>0</v>
      </c>
      <c r="L554" s="135">
        <v>0</v>
      </c>
      <c r="M554" s="141" t="s">
        <v>459</v>
      </c>
      <c r="N554" s="142">
        <f t="shared" si="217"/>
        <v>0.25</v>
      </c>
      <c r="O554" s="142">
        <f t="shared" si="217"/>
        <v>0.25</v>
      </c>
      <c r="P554" s="142">
        <f t="shared" si="217"/>
        <v>0.25</v>
      </c>
      <c r="Q554" s="143">
        <f t="shared" si="213"/>
        <v>0</v>
      </c>
      <c r="R554" s="144">
        <f>IF(D554&gt;21,VLOOKUP(D554,Barem!$T$1:$U$141,2,1),0)</f>
        <v>0</v>
      </c>
      <c r="S554" s="152">
        <f>IF(D554&lt;1.609,0,IF(B554="F",VLOOKUP(I554,Barem!$X$2:$Z$13,2,1),VLOOKUP(I554,Barem!$X$14:$Z$25,2,1)))</f>
        <v>0</v>
      </c>
      <c r="T554" s="144">
        <f>VLOOKUP(A554,Participanti!A:C,3,0)</f>
        <v>0</v>
      </c>
      <c r="U554" s="143">
        <v>1.5</v>
      </c>
      <c r="V554" s="145" t="s">
        <v>462</v>
      </c>
      <c r="W554" s="146">
        <f t="shared" si="216"/>
        <v>1</v>
      </c>
      <c r="X554" s="133" t="str">
        <f>VLOOKUP(A554,Data_Echipe!A:R,18,0)</f>
        <v>#notSYRious</v>
      </c>
      <c r="Y554" s="133"/>
      <c r="Z554" s="147">
        <f t="shared" si="215"/>
        <v>0</v>
      </c>
    </row>
    <row r="555" spans="1:26" x14ac:dyDescent="0.3">
      <c r="A555" s="49" t="s">
        <v>387</v>
      </c>
      <c r="B555" s="1" t="str">
        <f>VLOOKUP(A555,Participanti!A:B,2,0)</f>
        <v>F</v>
      </c>
      <c r="C555" s="74">
        <v>7</v>
      </c>
      <c r="D555" s="50">
        <v>21.13</v>
      </c>
      <c r="E555" s="51">
        <v>8.3483796296296306E-2</v>
      </c>
      <c r="F555" s="51">
        <v>8.3483796296296306E-2</v>
      </c>
      <c r="G555" s="69">
        <f t="shared" si="210"/>
        <v>8.3483796296296306E-2</v>
      </c>
      <c r="H555" s="52">
        <v>63</v>
      </c>
      <c r="I555" s="12">
        <f t="shared" si="211"/>
        <v>3.9509605440746004E-3</v>
      </c>
      <c r="J555" s="37">
        <f t="shared" si="212"/>
        <v>5</v>
      </c>
      <c r="K555" s="37">
        <f>IF(J555=0,0,IF(B555="F",VLOOKUP(I555,Barem!$G$2:$H$16,2,1),VLOOKUP(I555,Barem!$G$17:$H$31,2,1)))</f>
        <v>2.5</v>
      </c>
      <c r="L555" s="50">
        <v>2.25</v>
      </c>
      <c r="M555" s="124" t="s">
        <v>106</v>
      </c>
      <c r="N555" s="10">
        <f t="shared" si="217"/>
        <v>0.5</v>
      </c>
      <c r="O555" s="10">
        <f t="shared" si="217"/>
        <v>0.25</v>
      </c>
      <c r="P555" s="10">
        <f t="shared" si="217"/>
        <v>0.25</v>
      </c>
      <c r="Q555" s="40">
        <f t="shared" si="213"/>
        <v>4.2000000000000003E-2</v>
      </c>
      <c r="R555" s="21">
        <f>IF(D555&gt;21,VLOOKUP(D555,Barem!$T$1:$U$141,2,1),0)</f>
        <v>0</v>
      </c>
      <c r="S555" s="152">
        <f>IF(D555&lt;1.609,0,IF(B555="F",VLOOKUP(I555,Barem!$X$2:$Z$13,2,1),VLOOKUP(I555,Barem!$X$14:$Z$25,2,1)))</f>
        <v>0</v>
      </c>
      <c r="T555" s="21">
        <f>VLOOKUP(A555,Participanti!A:C,3,0)</f>
        <v>0</v>
      </c>
      <c r="U555" s="18">
        <f t="shared" si="214"/>
        <v>3.7294999999999998</v>
      </c>
      <c r="V555" s="58" t="s">
        <v>462</v>
      </c>
      <c r="W555" s="77">
        <f t="shared" si="216"/>
        <v>1</v>
      </c>
      <c r="X555" s="1" t="str">
        <f>VLOOKUP(A555,Data_Echipe!A:R,18,0)</f>
        <v>#notSYRious</v>
      </c>
      <c r="Z555" s="115">
        <f t="shared" si="215"/>
        <v>1</v>
      </c>
    </row>
    <row r="556" spans="1:26" x14ac:dyDescent="0.3">
      <c r="A556" s="49" t="s">
        <v>378</v>
      </c>
      <c r="B556" s="1" t="str">
        <f>VLOOKUP(A556,Participanti!A:B,2,0)</f>
        <v>F</v>
      </c>
      <c r="C556" s="74">
        <v>7</v>
      </c>
      <c r="D556" s="50">
        <v>14.01</v>
      </c>
      <c r="E556" s="51">
        <v>5.1111111111111107E-2</v>
      </c>
      <c r="F556" s="51">
        <v>5.1990740740740747E-2</v>
      </c>
      <c r="G556" s="69">
        <f t="shared" si="210"/>
        <v>5.1550925925925931E-2</v>
      </c>
      <c r="H556" s="52">
        <v>102</v>
      </c>
      <c r="I556" s="12">
        <f t="shared" si="211"/>
        <v>3.6795807227641636E-3</v>
      </c>
      <c r="J556" s="37">
        <f t="shared" si="212"/>
        <v>3.5024999999999999</v>
      </c>
      <c r="K556" s="37">
        <f>IF(J556=0,0,IF(B556="F",VLOOKUP(I556,Barem!$G$2:$H$16,2,1),VLOOKUP(I556,Barem!$G$17:$H$31,2,1)))</f>
        <v>3</v>
      </c>
      <c r="L556" s="50">
        <v>2.25</v>
      </c>
      <c r="M556" s="124" t="s">
        <v>106</v>
      </c>
      <c r="N556" s="10">
        <f t="shared" si="217"/>
        <v>0.5</v>
      </c>
      <c r="O556" s="10">
        <f t="shared" si="217"/>
        <v>0.25</v>
      </c>
      <c r="P556" s="10">
        <f t="shared" si="217"/>
        <v>0.25</v>
      </c>
      <c r="Q556" s="40">
        <f t="shared" si="213"/>
        <v>6.8000000000000005E-2</v>
      </c>
      <c r="R556" s="21">
        <f>IF(D556&gt;21,VLOOKUP(D556,Barem!$T$1:$U$141,2,1),0)</f>
        <v>0</v>
      </c>
      <c r="S556" s="152">
        <f>IF(D556&lt;1.609,0,IF(B556="F",VLOOKUP(I556,Barem!$X$2:$Z$13,2,1),VLOOKUP(I556,Barem!$X$14:$Z$25,2,1)))</f>
        <v>0</v>
      </c>
      <c r="T556" s="21">
        <f>VLOOKUP(A556,Participanti!A:C,3,0)</f>
        <v>0</v>
      </c>
      <c r="U556" s="18">
        <f t="shared" si="214"/>
        <v>3.1317499999999998</v>
      </c>
      <c r="V556" s="58" t="s">
        <v>462</v>
      </c>
      <c r="W556" s="77">
        <f t="shared" si="216"/>
        <v>1</v>
      </c>
      <c r="X556" s="1" t="str">
        <f>VLOOKUP(A556,Data_Echipe!A:R,18,0)</f>
        <v>MedgidiaRunning</v>
      </c>
      <c r="Z556" s="115">
        <f t="shared" si="215"/>
        <v>1</v>
      </c>
    </row>
    <row r="557" spans="1:26" x14ac:dyDescent="0.3">
      <c r="A557" s="49" t="s">
        <v>431</v>
      </c>
      <c r="B557" s="1" t="str">
        <f>VLOOKUP(A557,Participanti!A:B,2,0)</f>
        <v>F</v>
      </c>
      <c r="C557" s="74">
        <v>7</v>
      </c>
      <c r="D557" s="50">
        <v>13.63</v>
      </c>
      <c r="E557" s="51">
        <v>0.11331018518518519</v>
      </c>
      <c r="F557" s="51">
        <v>0.11331018518518519</v>
      </c>
      <c r="G557" s="69">
        <f t="shared" si="210"/>
        <v>0.11331018518518519</v>
      </c>
      <c r="H557" s="52">
        <v>691</v>
      </c>
      <c r="I557" s="12">
        <f t="shared" si="211"/>
        <v>8.3132931170348638E-3</v>
      </c>
      <c r="J557" s="37">
        <f t="shared" si="212"/>
        <v>3.4075000000000002</v>
      </c>
      <c r="K557" s="37">
        <f>IF(J557=0,0,IF(B557="F",VLOOKUP(I557,Barem!$G$2:$H$16,2,1),VLOOKUP(I557,Barem!$G$17:$H$31,2,1)))</f>
        <v>0</v>
      </c>
      <c r="L557" s="50">
        <v>3.5</v>
      </c>
      <c r="M557" s="124" t="s">
        <v>106</v>
      </c>
      <c r="N557" s="10">
        <f t="shared" si="217"/>
        <v>0.5</v>
      </c>
      <c r="O557" s="10">
        <f t="shared" si="217"/>
        <v>0.25</v>
      </c>
      <c r="P557" s="10">
        <f t="shared" si="217"/>
        <v>0.25</v>
      </c>
      <c r="Q557" s="40">
        <f t="shared" si="213"/>
        <v>0.46066666666666667</v>
      </c>
      <c r="R557" s="21">
        <f>IF(D557&gt;21,VLOOKUP(D557,Barem!$T$1:$U$141,2,1),0)</f>
        <v>0</v>
      </c>
      <c r="S557" s="152">
        <f>IF(D557&lt;1.609,0,IF(B557="F",VLOOKUP(I557,Barem!$X$2:$Z$13,2,1),VLOOKUP(I557,Barem!$X$14:$Z$25,2,1)))</f>
        <v>0</v>
      </c>
      <c r="T557" s="21">
        <f>VLOOKUP(A557,Participanti!A:C,3,0)</f>
        <v>0.4</v>
      </c>
      <c r="U557" s="18">
        <f t="shared" si="214"/>
        <v>3.4394166666666668</v>
      </c>
      <c r="V557" s="58" t="s">
        <v>462</v>
      </c>
      <c r="W557" s="77">
        <f t="shared" si="216"/>
        <v>1</v>
      </c>
      <c r="X557" s="1" t="e">
        <f>VLOOKUP(A557,Data_Echipe!A:R,18,0)</f>
        <v>#N/A</v>
      </c>
      <c r="Z557" s="115">
        <f t="shared" si="215"/>
        <v>0</v>
      </c>
    </row>
    <row r="558" spans="1:26" x14ac:dyDescent="0.3">
      <c r="A558" s="49" t="s">
        <v>344</v>
      </c>
      <c r="B558" s="1" t="str">
        <f>VLOOKUP(A558,Participanti!A:B,2,0)</f>
        <v>F</v>
      </c>
      <c r="C558" s="74">
        <v>7</v>
      </c>
      <c r="D558" s="50">
        <v>20.04</v>
      </c>
      <c r="E558" s="51">
        <v>8.3217592592592593E-2</v>
      </c>
      <c r="F558" s="51">
        <v>8.3217592592592593E-2</v>
      </c>
      <c r="G558" s="69">
        <f t="shared" si="210"/>
        <v>8.3217592592592593E-2</v>
      </c>
      <c r="H558" s="52">
        <v>55</v>
      </c>
      <c r="I558" s="12">
        <f t="shared" si="211"/>
        <v>4.1525744806682934E-3</v>
      </c>
      <c r="J558" s="37">
        <f t="shared" si="212"/>
        <v>5</v>
      </c>
      <c r="K558" s="37">
        <f>IF(J558=0,0,IF(B558="F",VLOOKUP(I558,Barem!$G$2:$H$16,2,1),VLOOKUP(I558,Barem!$G$17:$H$31,2,1)))</f>
        <v>2</v>
      </c>
      <c r="L558" s="50">
        <v>3.75</v>
      </c>
      <c r="M558" s="124" t="s">
        <v>106</v>
      </c>
      <c r="N558" s="10">
        <f t="shared" si="217"/>
        <v>0.5</v>
      </c>
      <c r="O558" s="10">
        <f t="shared" si="217"/>
        <v>0.25</v>
      </c>
      <c r="P558" s="10">
        <f t="shared" si="217"/>
        <v>0.25</v>
      </c>
      <c r="Q558" s="40">
        <f t="shared" si="213"/>
        <v>3.6666666666666667E-2</v>
      </c>
      <c r="R558" s="21">
        <f>IF(D558&gt;21,VLOOKUP(D558,Barem!$T$1:$U$141,2,1),0)</f>
        <v>0</v>
      </c>
      <c r="S558" s="152">
        <f>IF(D558&lt;1.609,0,IF(B558="F",VLOOKUP(I558,Barem!$X$2:$Z$13,2,1),VLOOKUP(I558,Barem!$X$14:$Z$25,2,1)))</f>
        <v>0</v>
      </c>
      <c r="T558" s="21">
        <f>VLOOKUP(A558,Participanti!A:C,3,0)</f>
        <v>0</v>
      </c>
      <c r="U558" s="18">
        <f t="shared" si="214"/>
        <v>3.9741666666666666</v>
      </c>
      <c r="V558" s="58" t="s">
        <v>462</v>
      </c>
      <c r="W558" s="77">
        <f t="shared" si="216"/>
        <v>1</v>
      </c>
      <c r="X558" s="1" t="e">
        <f>VLOOKUP(A558,Data_Echipe!A:R,18,0)</f>
        <v>#N/A</v>
      </c>
      <c r="Z558" s="115">
        <f t="shared" si="215"/>
        <v>1</v>
      </c>
    </row>
    <row r="559" spans="1:26" x14ac:dyDescent="0.3">
      <c r="A559" s="49" t="s">
        <v>345</v>
      </c>
      <c r="B559" s="1" t="str">
        <f>VLOOKUP(A559,Participanti!A:B,2,0)</f>
        <v>F</v>
      </c>
      <c r="C559" s="74">
        <v>7</v>
      </c>
      <c r="D559" s="50">
        <v>10</v>
      </c>
      <c r="E559" s="51">
        <v>3.7777777777777778E-2</v>
      </c>
      <c r="F559" s="51">
        <v>3.8055555555555558E-2</v>
      </c>
      <c r="G559" s="69">
        <f t="shared" ref="G559:G572" si="218">AVERAGE(E559:F559)</f>
        <v>3.7916666666666668E-2</v>
      </c>
      <c r="H559" s="52"/>
      <c r="I559" s="12">
        <f t="shared" ref="I559:I572" si="219">G559/D559</f>
        <v>3.7916666666666667E-3</v>
      </c>
      <c r="J559" s="37">
        <f t="shared" ref="J559:J572" si="220">IF(B559="F",IF(D559&lt;2.5,0,IF(D559&gt;19.99,5,D559/4)),IF(D559&lt;3,0, IF(D559&gt;20.99,5,D559/4.2)))</f>
        <v>2.5</v>
      </c>
      <c r="K559" s="37">
        <f>IF(J559=0,0,IF(B559="F",VLOOKUP(I559,Barem!$G$2:$H$16,2,1),VLOOKUP(I559,Barem!$G$17:$H$31,2,1)))</f>
        <v>3</v>
      </c>
      <c r="L559" s="50">
        <v>1.5</v>
      </c>
      <c r="M559" s="124" t="s">
        <v>106</v>
      </c>
      <c r="N559" s="10">
        <f t="shared" si="217"/>
        <v>0.5</v>
      </c>
      <c r="O559" s="10">
        <f t="shared" si="217"/>
        <v>0.25</v>
      </c>
      <c r="P559" s="10">
        <f t="shared" si="217"/>
        <v>0.25</v>
      </c>
      <c r="Q559" s="40">
        <f t="shared" ref="Q559:Q572" si="221">IF(H559&gt;49,H559/1500,0)</f>
        <v>0</v>
      </c>
      <c r="R559" s="21">
        <f>IF(D559&gt;21,VLOOKUP(D559,Barem!$T$1:$U$141,2,1),0)</f>
        <v>0</v>
      </c>
      <c r="S559" s="152">
        <f>IF(D559&lt;1.609,0,IF(B559="F",VLOOKUP(I559,Barem!$X$2:$Z$13,2,1),VLOOKUP(I559,Barem!$X$14:$Z$25,2,1)))</f>
        <v>0</v>
      </c>
      <c r="T559" s="21">
        <f>VLOOKUP(A559,Participanti!A:C,3,0)</f>
        <v>0</v>
      </c>
      <c r="U559" s="18">
        <f t="shared" ref="U559:U572" si="222">IF(H559&lt;0,0,J559*N559+K559*O559+L559*P559+Q559+R559+S559+T559)</f>
        <v>2.375</v>
      </c>
      <c r="V559" s="58" t="s">
        <v>462</v>
      </c>
      <c r="W559" s="77">
        <f t="shared" si="216"/>
        <v>1</v>
      </c>
      <c r="X559" s="1" t="str">
        <f>VLOOKUP(A559,Data_Echipe!A:R,18,0)</f>
        <v>MedgidiaRunning</v>
      </c>
      <c r="Z559" s="115">
        <f t="shared" ref="Z559:Z572" si="223">IF(K559&gt;0,1,0)</f>
        <v>1</v>
      </c>
    </row>
    <row r="560" spans="1:26" x14ac:dyDescent="0.3">
      <c r="A560" s="49" t="s">
        <v>392</v>
      </c>
      <c r="B560" s="1" t="str">
        <f>VLOOKUP(A560,Participanti!A:B,2,0)</f>
        <v>M</v>
      </c>
      <c r="C560" s="74">
        <v>7</v>
      </c>
      <c r="D560" s="50">
        <v>21.14</v>
      </c>
      <c r="E560" s="51">
        <v>8.9641203703703709E-2</v>
      </c>
      <c r="F560" s="51">
        <v>9.042824074074074E-2</v>
      </c>
      <c r="G560" s="69">
        <f t="shared" si="218"/>
        <v>9.0034722222222224E-2</v>
      </c>
      <c r="H560" s="52"/>
      <c r="I560" s="12">
        <f t="shared" si="219"/>
        <v>4.2589745611268789E-3</v>
      </c>
      <c r="J560" s="37">
        <f t="shared" si="220"/>
        <v>5</v>
      </c>
      <c r="K560" s="37">
        <f>IF(J560=0,0,IF(B560="F",VLOOKUP(I560,Barem!$G$2:$H$16,2,1),VLOOKUP(I560,Barem!$G$17:$H$31,2,1)))</f>
        <v>1.25</v>
      </c>
      <c r="L560" s="50">
        <v>2</v>
      </c>
      <c r="M560" s="124" t="s">
        <v>106</v>
      </c>
      <c r="N560" s="10">
        <f t="shared" ref="N560:P575" si="224">IF($M560=N$1,50%,25%)</f>
        <v>0.5</v>
      </c>
      <c r="O560" s="10">
        <f t="shared" si="224"/>
        <v>0.25</v>
      </c>
      <c r="P560" s="10">
        <f t="shared" si="224"/>
        <v>0.25</v>
      </c>
      <c r="Q560" s="40">
        <f t="shared" si="221"/>
        <v>0</v>
      </c>
      <c r="R560" s="21">
        <f>IF(D560&gt;21,VLOOKUP(D560,Barem!$T$1:$U$141,2,1),0)</f>
        <v>0</v>
      </c>
      <c r="S560" s="152">
        <f>IF(D560&lt;1.609,0,IF(B560="F",VLOOKUP(I560,Barem!$X$2:$Z$13,2,1),VLOOKUP(I560,Barem!$X$14:$Z$25,2,1)))</f>
        <v>0</v>
      </c>
      <c r="T560" s="21">
        <f>VLOOKUP(A560,Participanti!A:C,3,0)</f>
        <v>0</v>
      </c>
      <c r="U560" s="18">
        <f t="shared" si="222"/>
        <v>3.3125</v>
      </c>
      <c r="V560" s="58" t="s">
        <v>462</v>
      </c>
      <c r="W560" s="77">
        <f t="shared" si="216"/>
        <v>1</v>
      </c>
      <c r="X560" s="1" t="e">
        <f>VLOOKUP(A560,Data_Echipe!A:R,18,0)</f>
        <v>#N/A</v>
      </c>
      <c r="Z560" s="115">
        <f t="shared" si="223"/>
        <v>1</v>
      </c>
    </row>
    <row r="561" spans="1:26" x14ac:dyDescent="0.3">
      <c r="A561" s="49" t="s">
        <v>275</v>
      </c>
      <c r="B561" s="1" t="str">
        <f>VLOOKUP(A561,Participanti!A:B,2,0)</f>
        <v>M</v>
      </c>
      <c r="C561" s="74">
        <v>7</v>
      </c>
      <c r="D561" s="50">
        <v>22.03</v>
      </c>
      <c r="E561" s="51">
        <v>7.1805555555555553E-2</v>
      </c>
      <c r="F561" s="51">
        <v>8.3310185185185182E-2</v>
      </c>
      <c r="G561" s="69">
        <f t="shared" si="218"/>
        <v>7.7557870370370374E-2</v>
      </c>
      <c r="H561" s="52"/>
      <c r="I561" s="12">
        <f t="shared" si="219"/>
        <v>3.5205569845833122E-3</v>
      </c>
      <c r="J561" s="37">
        <f t="shared" si="220"/>
        <v>5</v>
      </c>
      <c r="K561" s="37">
        <f>IF(J561=0,0,IF(B561="F",VLOOKUP(I561,Barem!$G$2:$H$16,2,1),VLOOKUP(I561,Barem!$G$17:$H$31,2,1)))</f>
        <v>2.5</v>
      </c>
      <c r="L561" s="50">
        <v>1</v>
      </c>
      <c r="M561" s="124" t="s">
        <v>106</v>
      </c>
      <c r="N561" s="10">
        <f t="shared" si="224"/>
        <v>0.5</v>
      </c>
      <c r="O561" s="10">
        <f t="shared" si="224"/>
        <v>0.25</v>
      </c>
      <c r="P561" s="10">
        <f t="shared" si="224"/>
        <v>0.25</v>
      </c>
      <c r="Q561" s="40">
        <f t="shared" si="221"/>
        <v>0</v>
      </c>
      <c r="R561" s="21">
        <f>IF(D561&gt;21,VLOOKUP(D561,Barem!$T$1:$U$141,2,1),0)</f>
        <v>0</v>
      </c>
      <c r="S561" s="152">
        <f>IF(D561&lt;1.609,0,IF(B561="F",VLOOKUP(I561,Barem!$X$2:$Z$13,2,1),VLOOKUP(I561,Barem!$X$14:$Z$25,2,1)))</f>
        <v>0</v>
      </c>
      <c r="T561" s="21">
        <f>VLOOKUP(A561,Participanti!A:C,3,0)</f>
        <v>0</v>
      </c>
      <c r="U561" s="18">
        <f t="shared" si="222"/>
        <v>3.375</v>
      </c>
      <c r="V561" s="58" t="s">
        <v>462</v>
      </c>
      <c r="W561" s="77">
        <f t="shared" si="216"/>
        <v>1</v>
      </c>
      <c r="X561" s="1" t="e">
        <f>VLOOKUP(A561,Data_Echipe!A:R,18,0)</f>
        <v>#N/A</v>
      </c>
      <c r="Z561" s="115">
        <f t="shared" si="223"/>
        <v>1</v>
      </c>
    </row>
    <row r="562" spans="1:26" x14ac:dyDescent="0.3">
      <c r="A562" s="49" t="s">
        <v>375</v>
      </c>
      <c r="B562" s="1" t="str">
        <f>VLOOKUP(A562,Participanti!A:B,2,0)</f>
        <v>M</v>
      </c>
      <c r="C562" s="74">
        <v>7</v>
      </c>
      <c r="D562" s="50">
        <v>20</v>
      </c>
      <c r="E562" s="51">
        <v>8.0057870370370363E-2</v>
      </c>
      <c r="F562" s="51">
        <v>8.4814814814814801E-2</v>
      </c>
      <c r="G562" s="69">
        <f t="shared" si="218"/>
        <v>8.2436342592592582E-2</v>
      </c>
      <c r="H562" s="52">
        <v>355</v>
      </c>
      <c r="I562" s="12">
        <f t="shared" si="219"/>
        <v>4.1218171296296289E-3</v>
      </c>
      <c r="J562" s="37">
        <f t="shared" si="220"/>
        <v>4.7619047619047619</v>
      </c>
      <c r="K562" s="37">
        <f>IF(J562=0,0,IF(B562="F",VLOOKUP(I562,Barem!$G$2:$H$16,2,1),VLOOKUP(I562,Barem!$G$17:$H$31,2,1)))</f>
        <v>1.5</v>
      </c>
      <c r="L562" s="50">
        <v>1.5</v>
      </c>
      <c r="M562" s="124" t="s">
        <v>106</v>
      </c>
      <c r="N562" s="10">
        <f t="shared" si="224"/>
        <v>0.5</v>
      </c>
      <c r="O562" s="10">
        <f t="shared" si="224"/>
        <v>0.25</v>
      </c>
      <c r="P562" s="10">
        <f t="shared" si="224"/>
        <v>0.25</v>
      </c>
      <c r="Q562" s="40">
        <f t="shared" si="221"/>
        <v>0.23666666666666666</v>
      </c>
      <c r="R562" s="21">
        <f>IF(D562&gt;21,VLOOKUP(D562,Barem!$T$1:$U$141,2,1),0)</f>
        <v>0</v>
      </c>
      <c r="S562" s="152">
        <f>IF(D562&lt;1.609,0,IF(B562="F",VLOOKUP(I562,Barem!$X$2:$Z$13,2,1),VLOOKUP(I562,Barem!$X$14:$Z$25,2,1)))</f>
        <v>0</v>
      </c>
      <c r="T562" s="21">
        <f>VLOOKUP(A562,Participanti!A:C,3,0)</f>
        <v>0</v>
      </c>
      <c r="U562" s="18">
        <f t="shared" si="222"/>
        <v>3.3676190476190477</v>
      </c>
      <c r="V562" s="58" t="s">
        <v>462</v>
      </c>
      <c r="W562" s="77">
        <f t="shared" si="216"/>
        <v>1</v>
      </c>
      <c r="X562" s="1" t="e">
        <f>VLOOKUP(A562,Data_Echipe!A:R,18,0)</f>
        <v>#N/A</v>
      </c>
      <c r="Z562" s="115">
        <f t="shared" si="223"/>
        <v>1</v>
      </c>
    </row>
    <row r="563" spans="1:26" x14ac:dyDescent="0.3">
      <c r="A563" s="49" t="s">
        <v>108</v>
      </c>
      <c r="B563" s="1" t="str">
        <f>VLOOKUP(A563,Participanti!A:B,2,0)</f>
        <v>M</v>
      </c>
      <c r="C563" s="74">
        <v>7</v>
      </c>
      <c r="D563" s="50">
        <v>27.3</v>
      </c>
      <c r="E563" s="51">
        <v>0.10287037037037038</v>
      </c>
      <c r="F563" s="51">
        <v>0.10898148148148147</v>
      </c>
      <c r="G563" s="69">
        <f t="shared" si="218"/>
        <v>0.10592592592592592</v>
      </c>
      <c r="H563" s="52">
        <v>52</v>
      </c>
      <c r="I563" s="12">
        <f t="shared" si="219"/>
        <v>3.880070546737213E-3</v>
      </c>
      <c r="J563" s="37">
        <f t="shared" si="220"/>
        <v>5</v>
      </c>
      <c r="K563" s="37">
        <f>IF(J563=0,0,IF(B563="F",VLOOKUP(I563,Barem!$G$2:$H$16,2,1),VLOOKUP(I563,Barem!$G$17:$H$31,2,1)))</f>
        <v>1.75</v>
      </c>
      <c r="L563" s="50">
        <v>4</v>
      </c>
      <c r="M563" s="124" t="s">
        <v>106</v>
      </c>
      <c r="N563" s="10">
        <f t="shared" si="224"/>
        <v>0.5</v>
      </c>
      <c r="O563" s="10">
        <f t="shared" si="224"/>
        <v>0.25</v>
      </c>
      <c r="P563" s="10">
        <f t="shared" si="224"/>
        <v>0.25</v>
      </c>
      <c r="Q563" s="40">
        <f t="shared" si="221"/>
        <v>3.4666666666666665E-2</v>
      </c>
      <c r="R563" s="21">
        <f>IF(D563&gt;21,VLOOKUP(D563,Barem!$T$1:$U$141,2,1),0)</f>
        <v>0.3</v>
      </c>
      <c r="S563" s="152">
        <f>IF(D563&lt;1.609,0,IF(B563="F",VLOOKUP(I563,Barem!$X$2:$Z$13,2,1),VLOOKUP(I563,Barem!$X$14:$Z$25,2,1)))</f>
        <v>0</v>
      </c>
      <c r="T563" s="21">
        <f>VLOOKUP(A563,Participanti!A:C,3,0)</f>
        <v>0</v>
      </c>
      <c r="U563" s="18">
        <f t="shared" si="222"/>
        <v>4.2721666666666671</v>
      </c>
      <c r="V563" s="58" t="s">
        <v>462</v>
      </c>
      <c r="W563" s="77">
        <f t="shared" si="216"/>
        <v>1</v>
      </c>
      <c r="X563" s="1" t="str">
        <f>VLOOKUP(A563,Data_Echipe!A:R,18,0)</f>
        <v>UltraHaita lu' Borcan</v>
      </c>
      <c r="Z563" s="115">
        <f t="shared" si="223"/>
        <v>1</v>
      </c>
    </row>
    <row r="564" spans="1:26" x14ac:dyDescent="0.3">
      <c r="A564" s="49" t="s">
        <v>64</v>
      </c>
      <c r="B564" s="1" t="str">
        <f>VLOOKUP(A564,Participanti!A:B,2,0)</f>
        <v>F</v>
      </c>
      <c r="C564" s="74">
        <v>7</v>
      </c>
      <c r="D564" s="50">
        <v>10</v>
      </c>
      <c r="E564" s="51">
        <v>5.5243055555555559E-2</v>
      </c>
      <c r="F564" s="51">
        <v>5.5763888888888891E-2</v>
      </c>
      <c r="G564" s="69">
        <f t="shared" si="218"/>
        <v>5.5503472222222225E-2</v>
      </c>
      <c r="H564" s="52"/>
      <c r="I564" s="12">
        <f t="shared" si="219"/>
        <v>5.5503472222222221E-3</v>
      </c>
      <c r="J564" s="37">
        <f t="shared" si="220"/>
        <v>2.5</v>
      </c>
      <c r="K564" s="37">
        <f>IF(J564=0,0,IF(B564="F",VLOOKUP(I564,Barem!$G$2:$H$16,2,1),VLOOKUP(I564,Barem!$G$17:$H$31,2,1)))</f>
        <v>0.25</v>
      </c>
      <c r="L564" s="50">
        <v>2.5</v>
      </c>
      <c r="M564" s="124" t="s">
        <v>106</v>
      </c>
      <c r="N564" s="10">
        <f t="shared" si="224"/>
        <v>0.5</v>
      </c>
      <c r="O564" s="10">
        <f t="shared" si="224"/>
        <v>0.25</v>
      </c>
      <c r="P564" s="10">
        <f t="shared" si="224"/>
        <v>0.25</v>
      </c>
      <c r="Q564" s="40">
        <f t="shared" si="221"/>
        <v>0</v>
      </c>
      <c r="R564" s="21">
        <f>IF(D564&gt;21,VLOOKUP(D564,Barem!$T$1:$U$141,2,1),0)</f>
        <v>0</v>
      </c>
      <c r="S564" s="152">
        <f>IF(D564&lt;1.609,0,IF(B564="F",VLOOKUP(I564,Barem!$X$2:$Z$13,2,1),VLOOKUP(I564,Barem!$X$14:$Z$25,2,1)))</f>
        <v>0</v>
      </c>
      <c r="T564" s="21">
        <f>VLOOKUP(A564,Participanti!A:C,3,0)</f>
        <v>0.7</v>
      </c>
      <c r="U564" s="18">
        <f t="shared" si="222"/>
        <v>2.6375000000000002</v>
      </c>
      <c r="V564" s="58" t="s">
        <v>462</v>
      </c>
      <c r="W564" s="77">
        <f t="shared" si="216"/>
        <v>1</v>
      </c>
      <c r="X564" s="1" t="str">
        <f>VLOOKUP(A564,Data_Echipe!A:R,18,0)</f>
        <v>UltraHaita lu' Borcan</v>
      </c>
      <c r="Z564" s="115">
        <f t="shared" si="223"/>
        <v>1</v>
      </c>
    </row>
    <row r="565" spans="1:26" x14ac:dyDescent="0.3">
      <c r="A565" s="49" t="s">
        <v>59</v>
      </c>
      <c r="B565" s="1" t="str">
        <f>VLOOKUP(A565,Participanti!A:B,2,0)</f>
        <v>M</v>
      </c>
      <c r="C565" s="74">
        <v>7</v>
      </c>
      <c r="D565" s="50">
        <v>9.4499999999999993</v>
      </c>
      <c r="E565" s="51">
        <v>3.1261574074074074E-2</v>
      </c>
      <c r="F565" s="51">
        <v>3.1261574074074074E-2</v>
      </c>
      <c r="G565" s="69">
        <f t="shared" si="218"/>
        <v>3.1261574074074074E-2</v>
      </c>
      <c r="H565" s="52">
        <v>199</v>
      </c>
      <c r="I565" s="12">
        <f t="shared" si="219"/>
        <v>3.3081030766215955E-3</v>
      </c>
      <c r="J565" s="37">
        <f t="shared" si="220"/>
        <v>2.2499999999999996</v>
      </c>
      <c r="K565" s="37">
        <f>IF(J565=0,0,IF(B565="F",VLOOKUP(I565,Barem!$G$2:$H$16,2,1),VLOOKUP(I565,Barem!$G$17:$H$31,2,1)))</f>
        <v>3.5</v>
      </c>
      <c r="L565" s="50">
        <v>1</v>
      </c>
      <c r="M565" s="124" t="s">
        <v>107</v>
      </c>
      <c r="N565" s="10">
        <f t="shared" si="224"/>
        <v>0.25</v>
      </c>
      <c r="O565" s="10">
        <f t="shared" si="224"/>
        <v>0.5</v>
      </c>
      <c r="P565" s="10">
        <f t="shared" si="224"/>
        <v>0.25</v>
      </c>
      <c r="Q565" s="40">
        <f t="shared" si="221"/>
        <v>0.13266666666666665</v>
      </c>
      <c r="R565" s="21">
        <f>IF(D565&gt;21,VLOOKUP(D565,Barem!$T$1:$U$141,2,1),0)</f>
        <v>0</v>
      </c>
      <c r="S565" s="152">
        <f>IF(D565&lt;1.609,0,IF(B565="F",VLOOKUP(I565,Barem!$X$2:$Z$13,2,1),VLOOKUP(I565,Barem!$X$14:$Z$25,2,1)))</f>
        <v>0</v>
      </c>
      <c r="T565" s="21">
        <f>VLOOKUP(A565,Participanti!A:C,3,0)</f>
        <v>0</v>
      </c>
      <c r="U565" s="18">
        <f t="shared" si="222"/>
        <v>2.6951666666666667</v>
      </c>
      <c r="V565" s="58" t="s">
        <v>462</v>
      </c>
      <c r="W565" s="77">
        <f t="shared" si="216"/>
        <v>1</v>
      </c>
      <c r="X565" s="1" t="str">
        <f>VLOOKUP(A565,Data_Echipe!A:R,18,0)</f>
        <v>Almost Kenyan Runners</v>
      </c>
      <c r="Z565" s="115">
        <f t="shared" si="223"/>
        <v>1</v>
      </c>
    </row>
    <row r="566" spans="1:26" x14ac:dyDescent="0.3">
      <c r="A566" s="49" t="s">
        <v>303</v>
      </c>
      <c r="B566" s="1" t="str">
        <f>VLOOKUP(A566,Participanti!A:B,2,0)</f>
        <v>F</v>
      </c>
      <c r="C566" s="74">
        <v>7</v>
      </c>
      <c r="D566" s="50">
        <v>12.36</v>
      </c>
      <c r="E566" s="51">
        <v>6.2546296296296294E-2</v>
      </c>
      <c r="F566" s="51">
        <v>8.1736111111111107E-2</v>
      </c>
      <c r="G566" s="69">
        <f t="shared" si="218"/>
        <v>7.2141203703703694E-2</v>
      </c>
      <c r="H566" s="52">
        <v>431</v>
      </c>
      <c r="I566" s="12">
        <f t="shared" si="219"/>
        <v>5.8366669663190689E-3</v>
      </c>
      <c r="J566" s="37">
        <f t="shared" si="220"/>
        <v>3.09</v>
      </c>
      <c r="K566" s="37">
        <f>IF(J566=0,0,IF(B566="F",VLOOKUP(I566,Barem!$G$2:$H$16,2,1),VLOOKUP(I566,Barem!$G$17:$H$31,2,1)))</f>
        <v>0.25</v>
      </c>
      <c r="L566" s="50">
        <v>1.75</v>
      </c>
      <c r="M566" s="124" t="s">
        <v>106</v>
      </c>
      <c r="N566" s="10">
        <f t="shared" si="224"/>
        <v>0.5</v>
      </c>
      <c r="O566" s="10">
        <f t="shared" si="224"/>
        <v>0.25</v>
      </c>
      <c r="P566" s="10">
        <f t="shared" si="224"/>
        <v>0.25</v>
      </c>
      <c r="Q566" s="40">
        <f t="shared" si="221"/>
        <v>0.28733333333333333</v>
      </c>
      <c r="R566" s="21">
        <f>IF(D566&gt;21,VLOOKUP(D566,Barem!$T$1:$U$141,2,1),0)</f>
        <v>0</v>
      </c>
      <c r="S566" s="152">
        <f>IF(D566&lt;1.609,0,IF(B566="F",VLOOKUP(I566,Barem!$X$2:$Z$13,2,1),VLOOKUP(I566,Barem!$X$14:$Z$25,2,1)))</f>
        <v>0</v>
      </c>
      <c r="T566" s="21">
        <f>VLOOKUP(A566,Participanti!A:C,3,0)</f>
        <v>0</v>
      </c>
      <c r="U566" s="18">
        <f t="shared" si="222"/>
        <v>2.3323333333333331</v>
      </c>
      <c r="V566" s="58" t="s">
        <v>462</v>
      </c>
      <c r="W566" s="77">
        <f t="shared" si="216"/>
        <v>1</v>
      </c>
      <c r="X566" s="1" t="e">
        <f>VLOOKUP(A566,Data_Echipe!A:R,18,0)</f>
        <v>#N/A</v>
      </c>
      <c r="Z566" s="115">
        <f t="shared" si="223"/>
        <v>1</v>
      </c>
    </row>
    <row r="567" spans="1:26" x14ac:dyDescent="0.3">
      <c r="A567" s="49" t="s">
        <v>448</v>
      </c>
      <c r="B567" s="1" t="str">
        <f>VLOOKUP(A567,Participanti!A:B,2,0)</f>
        <v>M</v>
      </c>
      <c r="C567" s="74">
        <v>7</v>
      </c>
      <c r="D567" s="50">
        <v>5.53</v>
      </c>
      <c r="E567" s="51">
        <v>2.6469907407407411E-2</v>
      </c>
      <c r="F567" s="51">
        <v>2.946759259259259E-2</v>
      </c>
      <c r="G567" s="69">
        <f t="shared" si="218"/>
        <v>2.7968750000000001E-2</v>
      </c>
      <c r="H567" s="52">
        <v>179</v>
      </c>
      <c r="I567" s="12">
        <f t="shared" si="219"/>
        <v>5.0576401446654606E-3</v>
      </c>
      <c r="J567" s="37">
        <f t="shared" si="220"/>
        <v>1.3166666666666667</v>
      </c>
      <c r="K567" s="37">
        <f>IF(J567=0,0,IF(B567="F",VLOOKUP(I567,Barem!$G$2:$H$16,2,1),VLOOKUP(I567,Barem!$G$17:$H$31,2,1)))</f>
        <v>0.25</v>
      </c>
      <c r="L567" s="50">
        <v>1</v>
      </c>
      <c r="M567" s="124" t="s">
        <v>207</v>
      </c>
      <c r="N567" s="10">
        <f t="shared" si="224"/>
        <v>0.25</v>
      </c>
      <c r="O567" s="10">
        <f t="shared" si="224"/>
        <v>0.25</v>
      </c>
      <c r="P567" s="10">
        <f t="shared" si="224"/>
        <v>0.5</v>
      </c>
      <c r="Q567" s="40">
        <f t="shared" si="221"/>
        <v>0.11933333333333333</v>
      </c>
      <c r="R567" s="21">
        <f>IF(D567&gt;21,VLOOKUP(D567,Barem!$T$1:$U$141,2,1),0)</f>
        <v>0</v>
      </c>
      <c r="S567" s="152">
        <f>IF(D567&lt;1.609,0,IF(B567="F",VLOOKUP(I567,Barem!$X$2:$Z$13,2,1),VLOOKUP(I567,Barem!$X$14:$Z$25,2,1)))</f>
        <v>0</v>
      </c>
      <c r="T567" s="21">
        <f>VLOOKUP(A567,Participanti!A:C,3,0)</f>
        <v>0</v>
      </c>
      <c r="U567" s="18">
        <f t="shared" si="222"/>
        <v>1.0109999999999999</v>
      </c>
      <c r="V567" s="58" t="s">
        <v>462</v>
      </c>
      <c r="W567" s="77">
        <f t="shared" si="216"/>
        <v>1</v>
      </c>
      <c r="X567" s="1" t="e">
        <f>VLOOKUP(A567,Data_Echipe!A:R,18,0)</f>
        <v>#N/A</v>
      </c>
      <c r="Z567" s="115">
        <f t="shared" si="223"/>
        <v>1</v>
      </c>
    </row>
    <row r="568" spans="1:26" x14ac:dyDescent="0.3">
      <c r="A568" s="49" t="s">
        <v>341</v>
      </c>
      <c r="B568" s="1" t="str">
        <f>VLOOKUP(A568,Participanti!A:B,2,0)</f>
        <v>M</v>
      </c>
      <c r="C568" s="74">
        <v>7</v>
      </c>
      <c r="D568" s="50">
        <v>3.21</v>
      </c>
      <c r="E568" s="51">
        <v>7.9861111111111122E-3</v>
      </c>
      <c r="F568" s="51">
        <v>7.9861111111111122E-3</v>
      </c>
      <c r="G568" s="69">
        <f t="shared" si="218"/>
        <v>7.9861111111111122E-3</v>
      </c>
      <c r="H568" s="52"/>
      <c r="I568" s="12">
        <f t="shared" si="219"/>
        <v>2.4878850813430256E-3</v>
      </c>
      <c r="J568" s="37">
        <f t="shared" si="220"/>
        <v>0.76428571428571423</v>
      </c>
      <c r="K568" s="37">
        <f>IF(J568=0,0,IF(B568="F",VLOOKUP(I568,Barem!$G$2:$H$16,2,1),VLOOKUP(I568,Barem!$G$17:$H$31,2,1)))</f>
        <v>5</v>
      </c>
      <c r="L568" s="50">
        <v>2</v>
      </c>
      <c r="M568" s="124" t="s">
        <v>107</v>
      </c>
      <c r="N568" s="10">
        <f t="shared" si="224"/>
        <v>0.25</v>
      </c>
      <c r="O568" s="10">
        <f t="shared" si="224"/>
        <v>0.5</v>
      </c>
      <c r="P568" s="10">
        <f t="shared" si="224"/>
        <v>0.25</v>
      </c>
      <c r="Q568" s="40">
        <f t="shared" si="221"/>
        <v>0</v>
      </c>
      <c r="R568" s="21">
        <f>IF(D568&gt;21,VLOOKUP(D568,Barem!$T$1:$U$141,2,1),0)</f>
        <v>0</v>
      </c>
      <c r="S568" s="152">
        <f>IF(D568&lt;1.609,0,IF(B568="F",VLOOKUP(I568,Barem!$X$2:$Z$13,2,1),VLOOKUP(I568,Barem!$X$14:$Z$25,2,1)))</f>
        <v>3.1500000000000004</v>
      </c>
      <c r="T568" s="21">
        <f>VLOOKUP(A568,Participanti!A:C,3,0)</f>
        <v>0</v>
      </c>
      <c r="U568" s="18">
        <f t="shared" si="222"/>
        <v>6.3410714285714285</v>
      </c>
      <c r="V568" s="58" t="s">
        <v>462</v>
      </c>
      <c r="W568" s="77">
        <f t="shared" si="216"/>
        <v>1</v>
      </c>
      <c r="X568" s="1" t="str">
        <f>VLOOKUP(A568,Data_Echipe!A:R,18,0)</f>
        <v>The GOATs</v>
      </c>
      <c r="Z568" s="115">
        <f t="shared" si="223"/>
        <v>1</v>
      </c>
    </row>
    <row r="569" spans="1:26" x14ac:dyDescent="0.3">
      <c r="A569" s="49" t="s">
        <v>351</v>
      </c>
      <c r="B569" s="1" t="str">
        <f>VLOOKUP(A569,Participanti!A:B,2,0)</f>
        <v>F</v>
      </c>
      <c r="C569" s="74">
        <v>7</v>
      </c>
      <c r="D569" s="50">
        <v>19.5</v>
      </c>
      <c r="E569" s="51">
        <v>8.1250000000000003E-2</v>
      </c>
      <c r="F569" s="51">
        <v>8.1250000000000003E-2</v>
      </c>
      <c r="G569" s="69">
        <f t="shared" si="218"/>
        <v>8.1250000000000003E-2</v>
      </c>
      <c r="H569" s="52"/>
      <c r="I569" s="12">
        <f t="shared" si="219"/>
        <v>4.1666666666666666E-3</v>
      </c>
      <c r="J569" s="37">
        <f t="shared" si="220"/>
        <v>4.875</v>
      </c>
      <c r="K569" s="37">
        <f>IF(J569=0,0,IF(B569="F",VLOOKUP(I569,Barem!$G$2:$H$16,2,1),VLOOKUP(I569,Barem!$G$17:$H$31,2,1)))</f>
        <v>2</v>
      </c>
      <c r="L569" s="50">
        <v>1</v>
      </c>
      <c r="M569" s="124" t="s">
        <v>106</v>
      </c>
      <c r="N569" s="10">
        <f t="shared" si="224"/>
        <v>0.5</v>
      </c>
      <c r="O569" s="10">
        <f t="shared" si="224"/>
        <v>0.25</v>
      </c>
      <c r="P569" s="10">
        <f t="shared" si="224"/>
        <v>0.25</v>
      </c>
      <c r="Q569" s="40">
        <f t="shared" si="221"/>
        <v>0</v>
      </c>
      <c r="R569" s="21">
        <f>IF(D569&gt;21,VLOOKUP(D569,Barem!$T$1:$U$141,2,1),0)</f>
        <v>0</v>
      </c>
      <c r="S569" s="152">
        <f>IF(D569&lt;1.609,0,IF(B569="F",VLOOKUP(I569,Barem!$X$2:$Z$13,2,1),VLOOKUP(I569,Barem!$X$14:$Z$25,2,1)))</f>
        <v>0</v>
      </c>
      <c r="T569" s="21">
        <f>VLOOKUP(A569,Participanti!A:C,3,0)</f>
        <v>0</v>
      </c>
      <c r="U569" s="18">
        <f t="shared" si="222"/>
        <v>3.1875</v>
      </c>
      <c r="V569" s="58" t="s">
        <v>462</v>
      </c>
      <c r="W569" s="77">
        <f t="shared" si="216"/>
        <v>1</v>
      </c>
      <c r="X569" s="1" t="e">
        <f>VLOOKUP(A569,Data_Echipe!A:R,18,0)</f>
        <v>#N/A</v>
      </c>
      <c r="Z569" s="115">
        <f t="shared" si="223"/>
        <v>1</v>
      </c>
    </row>
    <row r="570" spans="1:26" x14ac:dyDescent="0.3">
      <c r="A570" s="49" t="s">
        <v>355</v>
      </c>
      <c r="B570" s="1" t="str">
        <f>VLOOKUP(A570,Participanti!A:B,2,0)</f>
        <v>F</v>
      </c>
      <c r="C570" s="74">
        <v>7</v>
      </c>
      <c r="D570" s="50">
        <v>21.14</v>
      </c>
      <c r="E570" s="51">
        <v>9.9525462962962954E-2</v>
      </c>
      <c r="F570" s="51">
        <v>9.9629629629629624E-2</v>
      </c>
      <c r="G570" s="69">
        <f t="shared" si="218"/>
        <v>9.9577546296296282E-2</v>
      </c>
      <c r="H570" s="52"/>
      <c r="I570" s="12">
        <f t="shared" si="219"/>
        <v>4.7103853498721045E-3</v>
      </c>
      <c r="J570" s="37">
        <f t="shared" si="220"/>
        <v>5</v>
      </c>
      <c r="K570" s="37">
        <f>IF(J570=0,0,IF(B570="F",VLOOKUP(I570,Barem!$G$2:$H$16,2,1),VLOOKUP(I570,Barem!$G$17:$H$31,2,1)))</f>
        <v>1</v>
      </c>
      <c r="L570" s="50">
        <v>3</v>
      </c>
      <c r="M570" s="124" t="s">
        <v>106</v>
      </c>
      <c r="N570" s="10">
        <f t="shared" si="224"/>
        <v>0.5</v>
      </c>
      <c r="O570" s="10">
        <f t="shared" si="224"/>
        <v>0.25</v>
      </c>
      <c r="P570" s="10">
        <f t="shared" si="224"/>
        <v>0.25</v>
      </c>
      <c r="Q570" s="40">
        <f t="shared" si="221"/>
        <v>0</v>
      </c>
      <c r="R570" s="21">
        <f>IF(D570&gt;21,VLOOKUP(D570,Barem!$T$1:$U$141,2,1),0)</f>
        <v>0</v>
      </c>
      <c r="S570" s="152">
        <f>IF(D570&lt;1.609,0,IF(B570="F",VLOOKUP(I570,Barem!$X$2:$Z$13,2,1),VLOOKUP(I570,Barem!$X$14:$Z$25,2,1)))</f>
        <v>0</v>
      </c>
      <c r="T570" s="21">
        <f>VLOOKUP(A570,Participanti!A:C,3,0)</f>
        <v>0</v>
      </c>
      <c r="U570" s="18">
        <f t="shared" si="222"/>
        <v>3.5</v>
      </c>
      <c r="V570" s="58" t="s">
        <v>462</v>
      </c>
      <c r="W570" s="77">
        <f t="shared" si="216"/>
        <v>1</v>
      </c>
      <c r="X570" s="1" t="str">
        <f>VLOOKUP(A570,Data_Echipe!A:R,18,0)</f>
        <v>#notSYRious</v>
      </c>
      <c r="Z570" s="115">
        <f t="shared" si="223"/>
        <v>1</v>
      </c>
    </row>
    <row r="571" spans="1:26" x14ac:dyDescent="0.3">
      <c r="A571" s="49" t="s">
        <v>335</v>
      </c>
      <c r="B571" s="1" t="str">
        <f>VLOOKUP(A571,Participanti!A:B,2,0)</f>
        <v>M</v>
      </c>
      <c r="C571" s="74">
        <v>7</v>
      </c>
      <c r="D571" s="50">
        <v>31.02</v>
      </c>
      <c r="E571" s="51">
        <v>0.11900462962962964</v>
      </c>
      <c r="F571" s="51">
        <v>0.11900462962962964</v>
      </c>
      <c r="G571" s="69">
        <f t="shared" si="218"/>
        <v>0.11900462962962964</v>
      </c>
      <c r="H571" s="52">
        <v>134</v>
      </c>
      <c r="I571" s="12">
        <f t="shared" si="219"/>
        <v>3.8363839339016648E-3</v>
      </c>
      <c r="J571" s="37">
        <f t="shared" si="220"/>
        <v>5</v>
      </c>
      <c r="K571" s="37">
        <f>IF(J571=0,0,IF(B571="F",VLOOKUP(I571,Barem!$G$2:$H$16,2,1),VLOOKUP(I571,Barem!$G$17:$H$31,2,1)))</f>
        <v>1.75</v>
      </c>
      <c r="L571" s="50">
        <v>1.5</v>
      </c>
      <c r="M571" s="124" t="s">
        <v>106</v>
      </c>
      <c r="N571" s="10">
        <f t="shared" si="224"/>
        <v>0.5</v>
      </c>
      <c r="O571" s="10">
        <f t="shared" si="224"/>
        <v>0.25</v>
      </c>
      <c r="P571" s="10">
        <f t="shared" si="224"/>
        <v>0.25</v>
      </c>
      <c r="Q571" s="40">
        <f t="shared" si="221"/>
        <v>8.9333333333333334E-2</v>
      </c>
      <c r="R571" s="21">
        <f>IF(D571&gt;21,VLOOKUP(D571,Barem!$T$1:$U$141,2,1),0)</f>
        <v>0.5</v>
      </c>
      <c r="S571" s="152">
        <f>IF(D571&lt;1.609,0,IF(B571="F",VLOOKUP(I571,Barem!$X$2:$Z$13,2,1),VLOOKUP(I571,Barem!$X$14:$Z$25,2,1)))</f>
        <v>0</v>
      </c>
      <c r="T571" s="21">
        <f>VLOOKUP(A571,Participanti!A:C,3,0)</f>
        <v>0.4</v>
      </c>
      <c r="U571" s="18">
        <f t="shared" si="222"/>
        <v>4.3018333333333336</v>
      </c>
      <c r="V571" s="58" t="s">
        <v>462</v>
      </c>
      <c r="W571" s="77">
        <f t="shared" si="216"/>
        <v>1</v>
      </c>
      <c r="X571" s="1" t="e">
        <f>VLOOKUP(A571,Data_Echipe!A:R,18,0)</f>
        <v>#N/A</v>
      </c>
      <c r="Z571" s="115">
        <f t="shared" si="223"/>
        <v>1</v>
      </c>
    </row>
    <row r="572" spans="1:26" x14ac:dyDescent="0.3">
      <c r="A572" s="49" t="s">
        <v>347</v>
      </c>
      <c r="B572" s="1" t="str">
        <f>VLOOKUP(A572,Participanti!A:B,2,0)</f>
        <v>F</v>
      </c>
      <c r="C572" s="74">
        <v>7</v>
      </c>
      <c r="D572" s="50">
        <v>21.28</v>
      </c>
      <c r="E572" s="51">
        <v>8.5891203703703692E-2</v>
      </c>
      <c r="F572" s="51">
        <v>9.8506944444444453E-2</v>
      </c>
      <c r="G572" s="69">
        <f t="shared" si="218"/>
        <v>9.2199074074074072E-2</v>
      </c>
      <c r="H572" s="52">
        <v>203</v>
      </c>
      <c r="I572" s="12">
        <f t="shared" si="219"/>
        <v>4.3326632553606238E-3</v>
      </c>
      <c r="J572" s="37">
        <f t="shared" si="220"/>
        <v>5</v>
      </c>
      <c r="K572" s="37">
        <f>IF(J572=0,0,IF(B572="F",VLOOKUP(I572,Barem!$G$2:$H$16,2,1),VLOOKUP(I572,Barem!$G$17:$H$31,2,1)))</f>
        <v>1.75</v>
      </c>
      <c r="L572" s="50">
        <v>2.5</v>
      </c>
      <c r="M572" s="124" t="s">
        <v>106</v>
      </c>
      <c r="N572" s="10">
        <f t="shared" si="224"/>
        <v>0.5</v>
      </c>
      <c r="O572" s="10">
        <f t="shared" si="224"/>
        <v>0.25</v>
      </c>
      <c r="P572" s="10">
        <f t="shared" si="224"/>
        <v>0.25</v>
      </c>
      <c r="Q572" s="40">
        <f t="shared" si="221"/>
        <v>0.13533333333333333</v>
      </c>
      <c r="R572" s="21">
        <f>IF(D572&gt;21,VLOOKUP(D572,Barem!$T$1:$U$141,2,1),0)</f>
        <v>0</v>
      </c>
      <c r="S572" s="152">
        <f>IF(D572&lt;1.609,0,IF(B572="F",VLOOKUP(I572,Barem!$X$2:$Z$13,2,1),VLOOKUP(I572,Barem!$X$14:$Z$25,2,1)))</f>
        <v>0</v>
      </c>
      <c r="T572" s="21">
        <f>VLOOKUP(A572,Participanti!A:C,3,0)</f>
        <v>0</v>
      </c>
      <c r="U572" s="18">
        <f t="shared" si="222"/>
        <v>3.6978333333333335</v>
      </c>
      <c r="V572" s="58" t="s">
        <v>462</v>
      </c>
      <c r="W572" s="77">
        <f t="shared" si="216"/>
        <v>1</v>
      </c>
      <c r="X572" s="1" t="str">
        <f>VLOOKUP(A572,Data_Echipe!A:R,18,0)</f>
        <v>MedgidiaRunning</v>
      </c>
      <c r="Z572" s="115">
        <f t="shared" si="223"/>
        <v>1</v>
      </c>
    </row>
    <row r="573" spans="1:26" x14ac:dyDescent="0.3">
      <c r="A573" s="49" t="s">
        <v>288</v>
      </c>
      <c r="B573" s="1" t="str">
        <f>VLOOKUP(A573,Participanti!A:B,2,0)</f>
        <v>M</v>
      </c>
      <c r="C573" s="74">
        <v>7</v>
      </c>
      <c r="D573" s="50">
        <v>6.01</v>
      </c>
      <c r="E573" s="51">
        <v>1.9131944444444444E-2</v>
      </c>
      <c r="F573" s="51">
        <v>2.074074074074074E-2</v>
      </c>
      <c r="G573" s="69">
        <f t="shared" ref="G573:G593" si="225">AVERAGE(E573:F573)</f>
        <v>1.9936342592592592E-2</v>
      </c>
      <c r="H573" s="52"/>
      <c r="I573" s="12">
        <f t="shared" ref="I573:I593" si="226">G573/D573</f>
        <v>3.3171951069205646E-3</v>
      </c>
      <c r="J573" s="37">
        <f t="shared" ref="J573:J593" si="227">IF(B573="F",IF(D573&lt;2.5,0,IF(D573&gt;19.99,5,D573/4)),IF(D573&lt;3,0, IF(D573&gt;20.99,5,D573/4.2)))</f>
        <v>1.4309523809523808</v>
      </c>
      <c r="K573" s="37">
        <f>IF(J573=0,0,IF(B573="F",VLOOKUP(I573,Barem!$G$2:$H$16,2,1),VLOOKUP(I573,Barem!$G$17:$H$31,2,1)))</f>
        <v>3</v>
      </c>
      <c r="L573" s="50">
        <v>2.25</v>
      </c>
      <c r="M573" s="124" t="s">
        <v>107</v>
      </c>
      <c r="N573" s="10">
        <f t="shared" si="224"/>
        <v>0.25</v>
      </c>
      <c r="O573" s="10">
        <f t="shared" si="224"/>
        <v>0.5</v>
      </c>
      <c r="P573" s="10">
        <f t="shared" si="224"/>
        <v>0.25</v>
      </c>
      <c r="Q573" s="40">
        <f t="shared" ref="Q573:Q593" si="228">IF(H573&gt;49,H573/1500,0)</f>
        <v>0</v>
      </c>
      <c r="R573" s="21">
        <f>IF(D573&gt;21,VLOOKUP(D573,Barem!$T$1:$U$141,2,1),0)</f>
        <v>0</v>
      </c>
      <c r="S573" s="152">
        <f>IF(D573&lt;1.609,0,IF(B573="F",VLOOKUP(I573,Barem!$X$2:$Z$13,2,1),VLOOKUP(I573,Barem!$X$14:$Z$25,2,1)))</f>
        <v>0</v>
      </c>
      <c r="T573" s="21">
        <f>VLOOKUP(A573,Participanti!A:C,3,0)</f>
        <v>0</v>
      </c>
      <c r="U573" s="18">
        <f t="shared" ref="U573:U593" si="229">IF(H573&lt;0,0,J573*N573+K573*O573+L573*P573+Q573+R573+S573+T573)</f>
        <v>2.4202380952380951</v>
      </c>
      <c r="V573" s="58" t="s">
        <v>462</v>
      </c>
      <c r="W573" s="77">
        <f t="shared" si="216"/>
        <v>1</v>
      </c>
      <c r="X573" s="1" t="e">
        <f>VLOOKUP(A573,Data_Echipe!A:R,18,0)</f>
        <v>#N/A</v>
      </c>
      <c r="Z573" s="115">
        <f t="shared" ref="Z573:Z593" si="230">IF(K573&gt;0,1,0)</f>
        <v>1</v>
      </c>
    </row>
    <row r="574" spans="1:26" x14ac:dyDescent="0.3">
      <c r="A574" s="49" t="s">
        <v>369</v>
      </c>
      <c r="B574" s="1" t="str">
        <f>VLOOKUP(A574,Participanti!A:B,2,0)</f>
        <v>M</v>
      </c>
      <c r="C574" s="74">
        <v>7</v>
      </c>
      <c r="D574" s="50">
        <v>16.010000000000002</v>
      </c>
      <c r="E574" s="51">
        <v>7.4583333333333335E-2</v>
      </c>
      <c r="F574" s="51">
        <v>7.5509259259259262E-2</v>
      </c>
      <c r="G574" s="69">
        <f t="shared" si="225"/>
        <v>7.5046296296296305E-2</v>
      </c>
      <c r="H574" s="52"/>
      <c r="I574" s="12">
        <f t="shared" si="226"/>
        <v>4.6874638536100128E-3</v>
      </c>
      <c r="J574" s="37">
        <f t="shared" si="227"/>
        <v>3.8119047619047621</v>
      </c>
      <c r="K574" s="37">
        <f>IF(J574=0,0,IF(B574="F",VLOOKUP(I574,Barem!$G$2:$H$16,2,1),VLOOKUP(I574,Barem!$G$17:$H$31,2,1)))</f>
        <v>0.75</v>
      </c>
      <c r="L574" s="50">
        <v>2.5</v>
      </c>
      <c r="M574" s="124" t="s">
        <v>106</v>
      </c>
      <c r="N574" s="10">
        <f t="shared" si="224"/>
        <v>0.5</v>
      </c>
      <c r="O574" s="10">
        <f t="shared" si="224"/>
        <v>0.25</v>
      </c>
      <c r="P574" s="10">
        <f t="shared" si="224"/>
        <v>0.25</v>
      </c>
      <c r="Q574" s="40">
        <f t="shared" si="228"/>
        <v>0</v>
      </c>
      <c r="R574" s="21">
        <f>IF(D574&gt;21,VLOOKUP(D574,Barem!$T$1:$U$141,2,1),0)</f>
        <v>0</v>
      </c>
      <c r="S574" s="152">
        <f>IF(D574&lt;1.609,0,IF(B574="F",VLOOKUP(I574,Barem!$X$2:$Z$13,2,1),VLOOKUP(I574,Barem!$X$14:$Z$25,2,1)))</f>
        <v>0</v>
      </c>
      <c r="T574" s="21">
        <f>VLOOKUP(A574,Participanti!A:C,3,0)</f>
        <v>0</v>
      </c>
      <c r="U574" s="18">
        <f t="shared" si="229"/>
        <v>2.7184523809523808</v>
      </c>
      <c r="V574" s="58" t="s">
        <v>462</v>
      </c>
      <c r="W574" s="77">
        <f t="shared" si="216"/>
        <v>1</v>
      </c>
      <c r="X574" s="1" t="str">
        <f>VLOOKUP(A574,Data_Echipe!A:R,18,0)</f>
        <v>MedgidiaRunning</v>
      </c>
      <c r="Z574" s="115">
        <f t="shared" si="230"/>
        <v>1</v>
      </c>
    </row>
    <row r="575" spans="1:26" x14ac:dyDescent="0.3">
      <c r="A575" s="49" t="s">
        <v>370</v>
      </c>
      <c r="B575" s="1" t="str">
        <f>VLOOKUP(A575,Participanti!A:B,2,0)</f>
        <v>F</v>
      </c>
      <c r="C575" s="74">
        <v>7</v>
      </c>
      <c r="D575" s="50">
        <v>15.2</v>
      </c>
      <c r="E575" s="51">
        <v>6.5891203703703702E-2</v>
      </c>
      <c r="F575" s="51">
        <v>6.6030092592592585E-2</v>
      </c>
      <c r="G575" s="69">
        <f t="shared" si="225"/>
        <v>6.5960648148148143E-2</v>
      </c>
      <c r="H575" s="52">
        <v>84</v>
      </c>
      <c r="I575" s="12">
        <f t="shared" si="226"/>
        <v>4.3395163255360624E-3</v>
      </c>
      <c r="J575" s="37">
        <f t="shared" si="227"/>
        <v>3.8</v>
      </c>
      <c r="K575" s="37">
        <f>IF(J575=0,0,IF(B575="F",VLOOKUP(I575,Barem!$G$2:$H$16,2,1),VLOOKUP(I575,Barem!$G$17:$H$31,2,1)))</f>
        <v>1.75</v>
      </c>
      <c r="L575" s="50">
        <v>1.75</v>
      </c>
      <c r="M575" s="124" t="s">
        <v>106</v>
      </c>
      <c r="N575" s="10">
        <f t="shared" si="224"/>
        <v>0.5</v>
      </c>
      <c r="O575" s="10">
        <f t="shared" si="224"/>
        <v>0.25</v>
      </c>
      <c r="P575" s="10">
        <f t="shared" si="224"/>
        <v>0.25</v>
      </c>
      <c r="Q575" s="40">
        <f t="shared" si="228"/>
        <v>5.6000000000000001E-2</v>
      </c>
      <c r="R575" s="21">
        <f>IF(D575&gt;21,VLOOKUP(D575,Barem!$T$1:$U$141,2,1),0)</f>
        <v>0</v>
      </c>
      <c r="S575" s="152">
        <f>IF(D575&lt;1.609,0,IF(B575="F",VLOOKUP(I575,Barem!$X$2:$Z$13,2,1),VLOOKUP(I575,Barem!$X$14:$Z$25,2,1)))</f>
        <v>0</v>
      </c>
      <c r="T575" s="21">
        <f>VLOOKUP(A575,Participanti!A:C,3,0)</f>
        <v>0</v>
      </c>
      <c r="U575" s="18">
        <f t="shared" si="229"/>
        <v>2.831</v>
      </c>
      <c r="V575" s="58" t="s">
        <v>462</v>
      </c>
      <c r="W575" s="77">
        <f t="shared" si="216"/>
        <v>1</v>
      </c>
      <c r="X575" s="1" t="e">
        <f>VLOOKUP(A575,Data_Echipe!A:R,18,0)</f>
        <v>#N/A</v>
      </c>
      <c r="Z575" s="115">
        <f t="shared" si="230"/>
        <v>1</v>
      </c>
    </row>
    <row r="576" spans="1:26" x14ac:dyDescent="0.3">
      <c r="A576" s="49" t="s">
        <v>292</v>
      </c>
      <c r="B576" s="1" t="str">
        <f>VLOOKUP(A576,Participanti!A:B,2,0)</f>
        <v>F</v>
      </c>
      <c r="C576" s="74">
        <v>7</v>
      </c>
      <c r="D576" s="50">
        <v>12.11</v>
      </c>
      <c r="E576" s="51">
        <v>6.6516203703703702E-2</v>
      </c>
      <c r="F576" s="51">
        <v>8.216435185185185E-2</v>
      </c>
      <c r="G576" s="69">
        <f t="shared" si="225"/>
        <v>7.4340277777777769E-2</v>
      </c>
      <c r="H576" s="52">
        <v>434</v>
      </c>
      <c r="I576" s="12">
        <f t="shared" si="226"/>
        <v>6.1387512615836311E-3</v>
      </c>
      <c r="J576" s="37">
        <f t="shared" si="227"/>
        <v>3.0274999999999999</v>
      </c>
      <c r="K576" s="37">
        <f>IF(J576=0,0,IF(B576="F",VLOOKUP(I576,Barem!$G$2:$H$16,2,1),VLOOKUP(I576,Barem!$G$17:$H$31,2,1)))</f>
        <v>0.25</v>
      </c>
      <c r="L576" s="50">
        <v>0.5</v>
      </c>
      <c r="M576" s="124" t="s">
        <v>106</v>
      </c>
      <c r="N576" s="10">
        <f t="shared" ref="N576:P592" si="231">IF($M576=N$1,50%,25%)</f>
        <v>0.5</v>
      </c>
      <c r="O576" s="10">
        <f t="shared" si="231"/>
        <v>0.25</v>
      </c>
      <c r="P576" s="10">
        <f t="shared" si="231"/>
        <v>0.25</v>
      </c>
      <c r="Q576" s="40">
        <f t="shared" si="228"/>
        <v>0.28933333333333333</v>
      </c>
      <c r="R576" s="21">
        <f>IF(D576&gt;21,VLOOKUP(D576,Barem!$T$1:$U$141,2,1),0)</f>
        <v>0</v>
      </c>
      <c r="S576" s="152">
        <f>IF(D576&lt;1.609,0,IF(B576="F",VLOOKUP(I576,Barem!$X$2:$Z$13,2,1),VLOOKUP(I576,Barem!$X$14:$Z$25,2,1)))</f>
        <v>0</v>
      </c>
      <c r="T576" s="21">
        <f>VLOOKUP(A576,Participanti!A:C,3,0)</f>
        <v>0</v>
      </c>
      <c r="U576" s="18">
        <f t="shared" si="229"/>
        <v>1.9905833333333334</v>
      </c>
      <c r="V576" s="58" t="s">
        <v>462</v>
      </c>
      <c r="W576" s="77">
        <f t="shared" si="216"/>
        <v>1</v>
      </c>
      <c r="X576" s="1" t="e">
        <f>VLOOKUP(A576,Data_Echipe!A:R,18,0)</f>
        <v>#N/A</v>
      </c>
      <c r="Z576" s="115">
        <f t="shared" si="230"/>
        <v>1</v>
      </c>
    </row>
    <row r="577" spans="1:26" x14ac:dyDescent="0.3">
      <c r="A577" s="49" t="s">
        <v>120</v>
      </c>
      <c r="B577" s="1" t="str">
        <f>VLOOKUP(A577,Participanti!A:B,2,0)</f>
        <v>M</v>
      </c>
      <c r="C577" s="74">
        <v>7</v>
      </c>
      <c r="D577" s="50">
        <v>4.95</v>
      </c>
      <c r="E577" s="51">
        <v>1.3148148148148147E-2</v>
      </c>
      <c r="F577" s="51">
        <v>1.329861111111111E-2</v>
      </c>
      <c r="G577" s="69">
        <f t="shared" si="225"/>
        <v>1.3223379629629628E-2</v>
      </c>
      <c r="H577" s="52"/>
      <c r="I577" s="12">
        <f t="shared" si="226"/>
        <v>2.6713898241676015E-3</v>
      </c>
      <c r="J577" s="37">
        <f t="shared" si="227"/>
        <v>1.1785714285714286</v>
      </c>
      <c r="K577" s="37">
        <f>IF(J577=0,0,IF(B577="F",VLOOKUP(I577,Barem!$G$2:$H$16,2,1),VLOOKUP(I577,Barem!$G$17:$H$31,2,1)))</f>
        <v>5</v>
      </c>
      <c r="L577" s="50">
        <v>1.75</v>
      </c>
      <c r="M577" s="124" t="s">
        <v>107</v>
      </c>
      <c r="N577" s="10">
        <f t="shared" si="231"/>
        <v>0.25</v>
      </c>
      <c r="O577" s="10">
        <f t="shared" si="231"/>
        <v>0.5</v>
      </c>
      <c r="P577" s="10">
        <f t="shared" si="231"/>
        <v>0.25</v>
      </c>
      <c r="Q577" s="40">
        <f t="shared" si="228"/>
        <v>0</v>
      </c>
      <c r="R577" s="21">
        <f>IF(D577&gt;21,VLOOKUP(D577,Barem!$T$1:$U$141,2,1),0)</f>
        <v>0</v>
      </c>
      <c r="S577" s="152">
        <f>IF(D577&lt;1.609,0,IF(B577="F",VLOOKUP(I577,Barem!$X$2:$Z$13,2,1),VLOOKUP(I577,Barem!$X$14:$Z$25,2,1)))</f>
        <v>0.89999999999999991</v>
      </c>
      <c r="T577" s="21">
        <f>VLOOKUP(A577,Participanti!A:C,3,0)</f>
        <v>0</v>
      </c>
      <c r="U577" s="18">
        <f t="shared" si="229"/>
        <v>4.1321428571428571</v>
      </c>
      <c r="V577" s="58" t="s">
        <v>462</v>
      </c>
      <c r="W577" s="77">
        <f t="shared" si="216"/>
        <v>1</v>
      </c>
      <c r="X577" s="1" t="str">
        <f>VLOOKUP(A577,Data_Echipe!A:R,18,0)</f>
        <v>Almost Kenyan Runners</v>
      </c>
      <c r="Z577" s="115">
        <f t="shared" si="230"/>
        <v>1</v>
      </c>
    </row>
    <row r="578" spans="1:26" x14ac:dyDescent="0.3">
      <c r="A578" s="49" t="s">
        <v>332</v>
      </c>
      <c r="B578" s="1" t="str">
        <f>VLOOKUP(A578,Participanti!A:B,2,0)</f>
        <v>M</v>
      </c>
      <c r="C578" s="74">
        <v>7</v>
      </c>
      <c r="D578" s="50">
        <v>18.04</v>
      </c>
      <c r="E578" s="51">
        <v>7.2881944444444444E-2</v>
      </c>
      <c r="F578" s="51">
        <v>9.4432870370370361E-2</v>
      </c>
      <c r="G578" s="69">
        <f t="shared" si="225"/>
        <v>8.3657407407407403E-2</v>
      </c>
      <c r="H578" s="52">
        <v>191</v>
      </c>
      <c r="I578" s="12">
        <f t="shared" si="226"/>
        <v>4.6373285702553998E-3</v>
      </c>
      <c r="J578" s="37">
        <f t="shared" si="227"/>
        <v>4.2952380952380951</v>
      </c>
      <c r="K578" s="37">
        <f>IF(J578=0,0,IF(B578="F",VLOOKUP(I578,Barem!$G$2:$H$16,2,1),VLOOKUP(I578,Barem!$G$17:$H$31,2,1)))</f>
        <v>0.75</v>
      </c>
      <c r="L578" s="50">
        <v>3</v>
      </c>
      <c r="M578" s="124" t="s">
        <v>106</v>
      </c>
      <c r="N578" s="10">
        <f t="shared" si="231"/>
        <v>0.5</v>
      </c>
      <c r="O578" s="10">
        <f t="shared" si="231"/>
        <v>0.25</v>
      </c>
      <c r="P578" s="10">
        <f t="shared" si="231"/>
        <v>0.25</v>
      </c>
      <c r="Q578" s="40">
        <f t="shared" si="228"/>
        <v>0.12733333333333333</v>
      </c>
      <c r="R578" s="21">
        <f>IF(D578&gt;21,VLOOKUP(D578,Barem!$T$1:$U$141,2,1),0)</f>
        <v>0</v>
      </c>
      <c r="S578" s="152">
        <f>IF(D578&lt;1.609,0,IF(B578="F",VLOOKUP(I578,Barem!$X$2:$Z$13,2,1),VLOOKUP(I578,Barem!$X$14:$Z$25,2,1)))</f>
        <v>0</v>
      </c>
      <c r="T578" s="21">
        <f>VLOOKUP(A578,Participanti!A:C,3,0)</f>
        <v>0.4</v>
      </c>
      <c r="U578" s="18">
        <f t="shared" si="229"/>
        <v>3.612452380952381</v>
      </c>
      <c r="V578" s="58" t="s">
        <v>462</v>
      </c>
      <c r="W578" s="77">
        <f t="shared" ref="W578:W641" si="232">COUNTIFS(A:A,A578,C:C,C578)</f>
        <v>1</v>
      </c>
      <c r="X578" s="1" t="str">
        <f>VLOOKUP(A578,Data_Echipe!A:R,18,0)</f>
        <v>MedgidiaRunning</v>
      </c>
      <c r="Z578" s="115">
        <f t="shared" si="230"/>
        <v>1</v>
      </c>
    </row>
    <row r="579" spans="1:26" x14ac:dyDescent="0.3">
      <c r="A579" s="49" t="s">
        <v>124</v>
      </c>
      <c r="B579" s="1" t="str">
        <f>VLOOKUP(A579,Participanti!A:B,2,0)</f>
        <v>M</v>
      </c>
      <c r="C579" s="74">
        <v>7</v>
      </c>
      <c r="D579" s="50">
        <v>14.06</v>
      </c>
      <c r="E579" s="51">
        <v>3.5983796296296298E-2</v>
      </c>
      <c r="F579" s="51">
        <v>3.5983796296296298E-2</v>
      </c>
      <c r="G579" s="69">
        <f t="shared" si="225"/>
        <v>3.5983796296296298E-2</v>
      </c>
      <c r="H579" s="52">
        <v>116</v>
      </c>
      <c r="I579" s="12">
        <f t="shared" si="226"/>
        <v>2.559302723776408E-3</v>
      </c>
      <c r="J579" s="37">
        <f t="shared" si="227"/>
        <v>3.3476190476190477</v>
      </c>
      <c r="K579" s="37">
        <f>IF(J579=0,0,IF(B579="F",VLOOKUP(I579,Barem!$G$2:$H$16,2,1),VLOOKUP(I579,Barem!$G$17:$H$31,2,1)))</f>
        <v>5</v>
      </c>
      <c r="L579" s="50">
        <v>3.25</v>
      </c>
      <c r="M579" s="124" t="s">
        <v>107</v>
      </c>
      <c r="N579" s="10">
        <f t="shared" si="231"/>
        <v>0.25</v>
      </c>
      <c r="O579" s="10">
        <f t="shared" si="231"/>
        <v>0.5</v>
      </c>
      <c r="P579" s="10">
        <f t="shared" si="231"/>
        <v>0.25</v>
      </c>
      <c r="Q579" s="40">
        <f t="shared" si="228"/>
        <v>7.7333333333333337E-2</v>
      </c>
      <c r="R579" s="21">
        <f>IF(D579&gt;21,VLOOKUP(D579,Barem!$T$1:$U$141,2,1),0)</f>
        <v>0</v>
      </c>
      <c r="S579" s="152">
        <f>IF(D579&lt;1.609,0,IF(B579="F",VLOOKUP(I579,Barem!$X$2:$Z$13,2,1),VLOOKUP(I579,Barem!$X$14:$Z$25,2,1)))</f>
        <v>1.4999999999999998</v>
      </c>
      <c r="T579" s="21">
        <f>VLOOKUP(A579,Participanti!A:C,3,0)</f>
        <v>0</v>
      </c>
      <c r="U579" s="18">
        <f t="shared" si="229"/>
        <v>5.7267380952380957</v>
      </c>
      <c r="V579" s="58" t="s">
        <v>462</v>
      </c>
      <c r="W579" s="77">
        <f t="shared" si="232"/>
        <v>1</v>
      </c>
      <c r="X579" s="1" t="str">
        <f>VLOOKUP(A579,Data_Echipe!A:R,18,0)</f>
        <v>#notSYRious</v>
      </c>
      <c r="Z579" s="115">
        <f t="shared" si="230"/>
        <v>1</v>
      </c>
    </row>
    <row r="580" spans="1:26" x14ac:dyDescent="0.3">
      <c r="A580" s="49" t="s">
        <v>100</v>
      </c>
      <c r="B580" s="1" t="str">
        <f>VLOOKUP(A580,Participanti!A:B,2,0)</f>
        <v>F</v>
      </c>
      <c r="C580" s="74">
        <v>7</v>
      </c>
      <c r="D580" s="50">
        <v>2.5</v>
      </c>
      <c r="E580" s="51">
        <v>1.5358796296296296E-2</v>
      </c>
      <c r="F580" s="51">
        <v>1.9398148148148147E-2</v>
      </c>
      <c r="G580" s="69">
        <f t="shared" si="225"/>
        <v>1.7378472222222222E-2</v>
      </c>
      <c r="H580" s="52">
        <v>74</v>
      </c>
      <c r="I580" s="12">
        <f t="shared" si="226"/>
        <v>6.9513888888888889E-3</v>
      </c>
      <c r="J580" s="37">
        <f t="shared" si="227"/>
        <v>0.625</v>
      </c>
      <c r="K580" s="37">
        <f>IF(J580=0,0,IF(B580="F",VLOOKUP(I580,Barem!$G$2:$H$16,2,1),VLOOKUP(I580,Barem!$G$17:$H$31,2,1)))</f>
        <v>0</v>
      </c>
      <c r="L580" s="50">
        <v>3.25</v>
      </c>
      <c r="M580" s="124" t="s">
        <v>106</v>
      </c>
      <c r="N580" s="10">
        <f t="shared" si="231"/>
        <v>0.5</v>
      </c>
      <c r="O580" s="10">
        <f t="shared" si="231"/>
        <v>0.25</v>
      </c>
      <c r="P580" s="10">
        <f t="shared" si="231"/>
        <v>0.25</v>
      </c>
      <c r="Q580" s="40">
        <f t="shared" si="228"/>
        <v>4.9333333333333333E-2</v>
      </c>
      <c r="R580" s="21">
        <f>IF(D580&gt;21,VLOOKUP(D580,Barem!$T$1:$U$141,2,1),0)</f>
        <v>0</v>
      </c>
      <c r="S580" s="152">
        <f>IF(D580&lt;1.609,0,IF(B580="F",VLOOKUP(I580,Barem!$X$2:$Z$13,2,1),VLOOKUP(I580,Barem!$X$14:$Z$25,2,1)))</f>
        <v>0</v>
      </c>
      <c r="T580" s="21">
        <f>VLOOKUP(A580,Participanti!A:C,3,0)</f>
        <v>0</v>
      </c>
      <c r="U580" s="18">
        <f t="shared" si="229"/>
        <v>1.1743333333333332</v>
      </c>
      <c r="V580" s="58" t="s">
        <v>462</v>
      </c>
      <c r="W580" s="77">
        <f t="shared" si="232"/>
        <v>1</v>
      </c>
      <c r="X580" s="1" t="e">
        <f>VLOOKUP(A580,Data_Echipe!A:R,18,0)</f>
        <v>#N/A</v>
      </c>
      <c r="Z580" s="115">
        <f t="shared" si="230"/>
        <v>0</v>
      </c>
    </row>
    <row r="581" spans="1:26" x14ac:dyDescent="0.3">
      <c r="A581" s="49" t="s">
        <v>128</v>
      </c>
      <c r="B581" s="1" t="str">
        <f>VLOOKUP(A581,Participanti!A:B,2,0)</f>
        <v>M</v>
      </c>
      <c r="C581" s="74">
        <v>7</v>
      </c>
      <c r="D581" s="50">
        <v>31</v>
      </c>
      <c r="E581" s="51">
        <v>0.1124074074074074</v>
      </c>
      <c r="F581" s="51">
        <v>0.11251157407407408</v>
      </c>
      <c r="G581" s="69">
        <f t="shared" si="225"/>
        <v>0.11245949074074074</v>
      </c>
      <c r="H581" s="52">
        <v>98</v>
      </c>
      <c r="I581" s="12">
        <f t="shared" si="226"/>
        <v>3.6277255077658303E-3</v>
      </c>
      <c r="J581" s="37">
        <f t="shared" si="227"/>
        <v>5</v>
      </c>
      <c r="K581" s="37">
        <f>IF(J581=0,0,IF(B581="F",VLOOKUP(I581,Barem!$G$2:$H$16,2,1),VLOOKUP(I581,Barem!$G$17:$H$31,2,1)))</f>
        <v>2.5</v>
      </c>
      <c r="L581" s="50">
        <v>1</v>
      </c>
      <c r="M581" s="124" t="s">
        <v>106</v>
      </c>
      <c r="N581" s="10">
        <f t="shared" si="231"/>
        <v>0.5</v>
      </c>
      <c r="O581" s="10">
        <f t="shared" si="231"/>
        <v>0.25</v>
      </c>
      <c r="P581" s="10">
        <f t="shared" si="231"/>
        <v>0.25</v>
      </c>
      <c r="Q581" s="40">
        <f t="shared" si="228"/>
        <v>6.5333333333333327E-2</v>
      </c>
      <c r="R581" s="21">
        <f>IF(D581&gt;21,VLOOKUP(D581,Barem!$T$1:$U$141,2,1),0)</f>
        <v>0.5</v>
      </c>
      <c r="S581" s="152">
        <f>IF(D581&lt;1.609,0,IF(B581="F",VLOOKUP(I581,Barem!$X$2:$Z$13,2,1),VLOOKUP(I581,Barem!$X$14:$Z$25,2,1)))</f>
        <v>0</v>
      </c>
      <c r="T581" s="21">
        <f>VLOOKUP(A581,Participanti!A:C,3,0)</f>
        <v>0</v>
      </c>
      <c r="U581" s="18">
        <f t="shared" si="229"/>
        <v>3.9403333333333332</v>
      </c>
      <c r="V581" s="58" t="s">
        <v>462</v>
      </c>
      <c r="W581" s="77">
        <f t="shared" si="232"/>
        <v>1</v>
      </c>
      <c r="X581" s="1" t="str">
        <f>VLOOKUP(A581,Data_Echipe!A:R,18,0)</f>
        <v>Almost Kenyan Runners</v>
      </c>
      <c r="Z581" s="115">
        <f t="shared" si="230"/>
        <v>1</v>
      </c>
    </row>
    <row r="582" spans="1:26" x14ac:dyDescent="0.3">
      <c r="A582" s="49" t="s">
        <v>203</v>
      </c>
      <c r="B582" s="1" t="str">
        <f>VLOOKUP(A582,Participanti!A:B,2,0)</f>
        <v>M</v>
      </c>
      <c r="C582" s="74">
        <v>7</v>
      </c>
      <c r="D582" s="50">
        <v>3.02</v>
      </c>
      <c r="E582" s="51">
        <v>8.7962962962962968E-3</v>
      </c>
      <c r="F582" s="51">
        <v>8.7962962962962968E-3</v>
      </c>
      <c r="G582" s="69">
        <f t="shared" si="225"/>
        <v>8.7962962962962968E-3</v>
      </c>
      <c r="H582" s="52"/>
      <c r="I582" s="12">
        <f t="shared" si="226"/>
        <v>2.9126808928133432E-3</v>
      </c>
      <c r="J582" s="37">
        <f t="shared" si="227"/>
        <v>0.71904761904761905</v>
      </c>
      <c r="K582" s="37">
        <f>IF(J582=0,0,IF(B582="F",VLOOKUP(I582,Barem!$G$2:$H$16,2,1),VLOOKUP(I582,Barem!$G$17:$H$31,2,1)))</f>
        <v>4.5</v>
      </c>
      <c r="L582" s="50">
        <v>3.25</v>
      </c>
      <c r="M582" s="124" t="s">
        <v>107</v>
      </c>
      <c r="N582" s="10">
        <f t="shared" si="231"/>
        <v>0.25</v>
      </c>
      <c r="O582" s="10">
        <f t="shared" si="231"/>
        <v>0.5</v>
      </c>
      <c r="P582" s="10">
        <f t="shared" si="231"/>
        <v>0.25</v>
      </c>
      <c r="Q582" s="40">
        <f t="shared" si="228"/>
        <v>0</v>
      </c>
      <c r="R582" s="21">
        <f>IF(D582&gt;21,VLOOKUP(D582,Barem!$T$1:$U$141,2,1),0)</f>
        <v>0</v>
      </c>
      <c r="S582" s="152">
        <f>IF(D582&lt;1.609,0,IF(B582="F",VLOOKUP(I582,Barem!$X$2:$Z$13,2,1),VLOOKUP(I582,Barem!$X$14:$Z$25,2,1)))</f>
        <v>0</v>
      </c>
      <c r="T582" s="21">
        <f>VLOOKUP(A582,Participanti!A:C,3,0)</f>
        <v>0</v>
      </c>
      <c r="U582" s="18">
        <f t="shared" si="229"/>
        <v>3.2422619047619046</v>
      </c>
      <c r="V582" s="58" t="s">
        <v>462</v>
      </c>
      <c r="W582" s="77">
        <f t="shared" si="232"/>
        <v>1</v>
      </c>
      <c r="X582" s="1" t="str">
        <f>VLOOKUP(A582,Data_Echipe!A:R,18,0)</f>
        <v>The GOATs</v>
      </c>
      <c r="Z582" s="115">
        <f t="shared" si="230"/>
        <v>1</v>
      </c>
    </row>
    <row r="583" spans="1:26" x14ac:dyDescent="0.3">
      <c r="A583" s="49" t="s">
        <v>205</v>
      </c>
      <c r="B583" s="1" t="str">
        <f>VLOOKUP(A583,Participanti!A:B,2,0)</f>
        <v>M</v>
      </c>
      <c r="C583" s="74">
        <v>7</v>
      </c>
      <c r="D583" s="50">
        <v>27.05</v>
      </c>
      <c r="E583" s="51">
        <v>8.3333333333333329E-2</v>
      </c>
      <c r="F583" s="51">
        <v>8.3333333333333329E-2</v>
      </c>
      <c r="G583" s="69">
        <f t="shared" si="225"/>
        <v>8.3333333333333329E-2</v>
      </c>
      <c r="H583" s="52">
        <v>273</v>
      </c>
      <c r="I583" s="12">
        <f t="shared" si="226"/>
        <v>3.0807147258163892E-3</v>
      </c>
      <c r="J583" s="37">
        <f t="shared" si="227"/>
        <v>5</v>
      </c>
      <c r="K583" s="37">
        <f>IF(J583=0,0,IF(B583="F",VLOOKUP(I583,Barem!$G$2:$H$16,2,1),VLOOKUP(I583,Barem!$G$17:$H$31,2,1)))</f>
        <v>4</v>
      </c>
      <c r="L583" s="50">
        <v>3.25</v>
      </c>
      <c r="M583" s="124" t="s">
        <v>106</v>
      </c>
      <c r="N583" s="10">
        <f t="shared" si="231"/>
        <v>0.5</v>
      </c>
      <c r="O583" s="10">
        <f t="shared" si="231"/>
        <v>0.25</v>
      </c>
      <c r="P583" s="10">
        <f t="shared" si="231"/>
        <v>0.25</v>
      </c>
      <c r="Q583" s="40">
        <f t="shared" si="228"/>
        <v>0.182</v>
      </c>
      <c r="R583" s="21">
        <f>IF(D583&gt;21,VLOOKUP(D583,Barem!$T$1:$U$141,2,1),0)</f>
        <v>0.3</v>
      </c>
      <c r="S583" s="152">
        <f>IF(D583&lt;1.609,0,IF(B583="F",VLOOKUP(I583,Barem!$X$2:$Z$13,2,1),VLOOKUP(I583,Barem!$X$14:$Z$25,2,1)))</f>
        <v>0</v>
      </c>
      <c r="T583" s="21">
        <f>VLOOKUP(A583,Participanti!A:C,3,0)</f>
        <v>0</v>
      </c>
      <c r="U583" s="18">
        <f t="shared" si="229"/>
        <v>4.7945000000000002</v>
      </c>
      <c r="V583" s="58" t="s">
        <v>462</v>
      </c>
      <c r="W583" s="77">
        <f t="shared" si="232"/>
        <v>1</v>
      </c>
      <c r="X583" s="1" t="str">
        <f>VLOOKUP(A583,Data_Echipe!A:R,18,0)</f>
        <v>Almost Kenyan Runners</v>
      </c>
      <c r="Z583" s="115">
        <f t="shared" si="230"/>
        <v>1</v>
      </c>
    </row>
    <row r="584" spans="1:26" x14ac:dyDescent="0.3">
      <c r="A584" s="49" t="s">
        <v>359</v>
      </c>
      <c r="B584" s="1" t="str">
        <f>VLOOKUP(A584,Participanti!A:B,2,0)</f>
        <v>M</v>
      </c>
      <c r="C584" s="74">
        <v>7</v>
      </c>
      <c r="D584" s="50">
        <v>15.07</v>
      </c>
      <c r="E584" s="51">
        <v>5.769675925925926E-2</v>
      </c>
      <c r="F584" s="51">
        <v>5.7893518518518518E-2</v>
      </c>
      <c r="G584" s="69">
        <f t="shared" si="225"/>
        <v>5.7795138888888889E-2</v>
      </c>
      <c r="H584" s="52"/>
      <c r="I584" s="12">
        <f t="shared" si="226"/>
        <v>3.8351120696011208E-3</v>
      </c>
      <c r="J584" s="37">
        <f t="shared" si="227"/>
        <v>3.5880952380952382</v>
      </c>
      <c r="K584" s="37">
        <f>IF(J584=0,0,IF(B584="F",VLOOKUP(I584,Barem!$G$2:$H$16,2,1),VLOOKUP(I584,Barem!$G$17:$H$31,2,1)))</f>
        <v>1.75</v>
      </c>
      <c r="L584" s="50">
        <v>2</v>
      </c>
      <c r="M584" s="124" t="s">
        <v>207</v>
      </c>
      <c r="N584" s="10">
        <f t="shared" si="231"/>
        <v>0.25</v>
      </c>
      <c r="O584" s="10">
        <f t="shared" si="231"/>
        <v>0.25</v>
      </c>
      <c r="P584" s="10">
        <f t="shared" si="231"/>
        <v>0.5</v>
      </c>
      <c r="Q584" s="40">
        <f t="shared" si="228"/>
        <v>0</v>
      </c>
      <c r="R584" s="21">
        <f>IF(D584&gt;21,VLOOKUP(D584,Barem!$T$1:$U$141,2,1),0)</f>
        <v>0</v>
      </c>
      <c r="S584" s="152">
        <f>IF(D584&lt;1.609,0,IF(B584="F",VLOOKUP(I584,Barem!$X$2:$Z$13,2,1),VLOOKUP(I584,Barem!$X$14:$Z$25,2,1)))</f>
        <v>0</v>
      </c>
      <c r="T584" s="21">
        <f>VLOOKUP(A584,Participanti!A:C,3,0)</f>
        <v>0</v>
      </c>
      <c r="U584" s="18">
        <f t="shared" si="229"/>
        <v>2.3345238095238097</v>
      </c>
      <c r="V584" s="58" t="s">
        <v>462</v>
      </c>
      <c r="W584" s="77">
        <f t="shared" si="232"/>
        <v>1</v>
      </c>
      <c r="X584" s="1" t="str">
        <f>VLOOKUP(A584,Data_Echipe!A:R,18,0)</f>
        <v>Almost Kenyan Runners</v>
      </c>
      <c r="Z584" s="115">
        <f t="shared" si="230"/>
        <v>1</v>
      </c>
    </row>
    <row r="585" spans="1:26" x14ac:dyDescent="0.3">
      <c r="A585" s="49" t="s">
        <v>227</v>
      </c>
      <c r="B585" s="1" t="str">
        <f>VLOOKUP(A585,Participanti!A:B,2,0)</f>
        <v>M</v>
      </c>
      <c r="C585" s="74">
        <v>7</v>
      </c>
      <c r="D585" s="50">
        <v>42.24</v>
      </c>
      <c r="E585" s="51">
        <v>0.14866898148148147</v>
      </c>
      <c r="F585" s="51">
        <v>0.15621527777777777</v>
      </c>
      <c r="G585" s="69">
        <f t="shared" si="225"/>
        <v>0.15244212962962961</v>
      </c>
      <c r="H585" s="52">
        <v>163</v>
      </c>
      <c r="I585" s="12">
        <f t="shared" si="226"/>
        <v>3.6089519325196401E-3</v>
      </c>
      <c r="J585" s="37">
        <f t="shared" si="227"/>
        <v>5</v>
      </c>
      <c r="K585" s="37">
        <f>IF(J585=0,0,IF(B585="F",VLOOKUP(I585,Barem!$G$2:$H$16,2,1),VLOOKUP(I585,Barem!$G$17:$H$31,2,1)))</f>
        <v>2.5</v>
      </c>
      <c r="L585" s="50">
        <v>3.5</v>
      </c>
      <c r="M585" s="124" t="s">
        <v>107</v>
      </c>
      <c r="N585" s="10">
        <f t="shared" si="231"/>
        <v>0.25</v>
      </c>
      <c r="O585" s="10">
        <f t="shared" si="231"/>
        <v>0.5</v>
      </c>
      <c r="P585" s="10">
        <f t="shared" si="231"/>
        <v>0.25</v>
      </c>
      <c r="Q585" s="40">
        <f t="shared" si="228"/>
        <v>0.10866666666666666</v>
      </c>
      <c r="R585" s="21">
        <f>IF(D585&gt;21,VLOOKUP(D585,Barem!$T$1:$U$141,2,1),0)</f>
        <v>1</v>
      </c>
      <c r="S585" s="152">
        <f>IF(D585&lt;1.609,0,IF(B585="F",VLOOKUP(I585,Barem!$X$2:$Z$13,2,1),VLOOKUP(I585,Barem!$X$14:$Z$25,2,1)))</f>
        <v>0</v>
      </c>
      <c r="T585" s="21">
        <f>VLOOKUP(A585,Participanti!A:C,3,0)</f>
        <v>0</v>
      </c>
      <c r="U585" s="18">
        <f t="shared" si="229"/>
        <v>4.4836666666666662</v>
      </c>
      <c r="V585" s="58" t="s">
        <v>462</v>
      </c>
      <c r="W585" s="77">
        <f t="shared" si="232"/>
        <v>1</v>
      </c>
      <c r="X585" s="1" t="str">
        <f>VLOOKUP(A585,Data_Echipe!A:R,18,0)</f>
        <v>UltraHaita lu' Borcan</v>
      </c>
      <c r="Z585" s="115">
        <f t="shared" si="230"/>
        <v>1</v>
      </c>
    </row>
    <row r="586" spans="1:26" x14ac:dyDescent="0.3">
      <c r="A586" s="49" t="s">
        <v>343</v>
      </c>
      <c r="B586" s="1" t="str">
        <f>VLOOKUP(A586,Participanti!A:B,2,0)</f>
        <v>M</v>
      </c>
      <c r="C586" s="74">
        <v>7</v>
      </c>
      <c r="D586" s="50">
        <v>26</v>
      </c>
      <c r="E586" s="51">
        <v>8.020833333333334E-2</v>
      </c>
      <c r="F586" s="51">
        <v>8.0266203703703701E-2</v>
      </c>
      <c r="G586" s="69">
        <f t="shared" si="225"/>
        <v>8.023726851851852E-2</v>
      </c>
      <c r="H586" s="52">
        <v>161</v>
      </c>
      <c r="I586" s="12">
        <f t="shared" si="226"/>
        <v>3.0860487891737893E-3</v>
      </c>
      <c r="J586" s="37">
        <f t="shared" si="227"/>
        <v>5</v>
      </c>
      <c r="K586" s="37">
        <f>IF(J586=0,0,IF(B586="F",VLOOKUP(I586,Barem!$G$2:$H$16,2,1),VLOOKUP(I586,Barem!$G$17:$H$31,2,1)))</f>
        <v>4</v>
      </c>
      <c r="L586" s="50">
        <v>2.75</v>
      </c>
      <c r="M586" s="124" t="s">
        <v>106</v>
      </c>
      <c r="N586" s="10">
        <f t="shared" si="231"/>
        <v>0.5</v>
      </c>
      <c r="O586" s="10">
        <f t="shared" si="231"/>
        <v>0.25</v>
      </c>
      <c r="P586" s="10">
        <f t="shared" si="231"/>
        <v>0.25</v>
      </c>
      <c r="Q586" s="40">
        <f t="shared" si="228"/>
        <v>0.10733333333333334</v>
      </c>
      <c r="R586" s="21">
        <f>IF(D586&gt;21,VLOOKUP(D586,Barem!$T$1:$U$141,2,1),0)</f>
        <v>0.2</v>
      </c>
      <c r="S586" s="152">
        <f>IF(D586&lt;1.609,0,IF(B586="F",VLOOKUP(I586,Barem!$X$2:$Z$13,2,1),VLOOKUP(I586,Barem!$X$14:$Z$25,2,1)))</f>
        <v>0</v>
      </c>
      <c r="T586" s="21">
        <f>VLOOKUP(A586,Participanti!A:C,3,0)</f>
        <v>0</v>
      </c>
      <c r="U586" s="18">
        <f t="shared" si="229"/>
        <v>4.4948333333333332</v>
      </c>
      <c r="V586" s="58" t="s">
        <v>462</v>
      </c>
      <c r="W586" s="77">
        <f t="shared" si="232"/>
        <v>1</v>
      </c>
      <c r="X586" s="1" t="str">
        <f>VLOOKUP(A586,Data_Echipe!A:R,18,0)</f>
        <v>#notSYRious</v>
      </c>
      <c r="Z586" s="115">
        <f t="shared" si="230"/>
        <v>1</v>
      </c>
    </row>
    <row r="587" spans="1:26" x14ac:dyDescent="0.3">
      <c r="A587" s="49" t="s">
        <v>279</v>
      </c>
      <c r="B587" s="1" t="str">
        <f>VLOOKUP(A587,Participanti!A:B,2,0)</f>
        <v>M</v>
      </c>
      <c r="C587" s="74">
        <v>7</v>
      </c>
      <c r="D587" s="50">
        <v>21.01</v>
      </c>
      <c r="E587" s="51">
        <v>7.2812500000000002E-2</v>
      </c>
      <c r="F587" s="51">
        <v>7.3692129629629635E-2</v>
      </c>
      <c r="G587" s="69">
        <f t="shared" si="225"/>
        <v>7.3252314814814812E-2</v>
      </c>
      <c r="H587" s="52">
        <v>162</v>
      </c>
      <c r="I587" s="12">
        <f t="shared" si="226"/>
        <v>3.486545207749396E-3</v>
      </c>
      <c r="J587" s="37">
        <f t="shared" si="227"/>
        <v>5</v>
      </c>
      <c r="K587" s="37">
        <f>IF(J587=0,0,IF(B587="F",VLOOKUP(I587,Barem!$G$2:$H$16,2,1),VLOOKUP(I587,Barem!$G$17:$H$31,2,1)))</f>
        <v>2.5</v>
      </c>
      <c r="L587" s="50">
        <v>1.25</v>
      </c>
      <c r="M587" s="124" t="s">
        <v>106</v>
      </c>
      <c r="N587" s="10">
        <f t="shared" si="231"/>
        <v>0.5</v>
      </c>
      <c r="O587" s="10">
        <f t="shared" si="231"/>
        <v>0.25</v>
      </c>
      <c r="P587" s="10">
        <f t="shared" si="231"/>
        <v>0.25</v>
      </c>
      <c r="Q587" s="40">
        <f t="shared" si="228"/>
        <v>0.108</v>
      </c>
      <c r="R587" s="21">
        <f>IF(D587&gt;21,VLOOKUP(D587,Barem!$T$1:$U$141,2,1),0)</f>
        <v>0</v>
      </c>
      <c r="S587" s="152">
        <f>IF(D587&lt;1.609,0,IF(B587="F",VLOOKUP(I587,Barem!$X$2:$Z$13,2,1),VLOOKUP(I587,Barem!$X$14:$Z$25,2,1)))</f>
        <v>0</v>
      </c>
      <c r="T587" s="21">
        <f>VLOOKUP(A587,Participanti!A:C,3,0)</f>
        <v>0</v>
      </c>
      <c r="U587" s="18">
        <f t="shared" si="229"/>
        <v>3.5455000000000001</v>
      </c>
      <c r="V587" s="58" t="s">
        <v>462</v>
      </c>
      <c r="W587" s="77">
        <f t="shared" si="232"/>
        <v>1</v>
      </c>
      <c r="X587" s="1" t="str">
        <f>VLOOKUP(A587,Data_Echipe!A:R,18,0)</f>
        <v>Almost Kenyan Runners</v>
      </c>
      <c r="Z587" s="115">
        <f t="shared" si="230"/>
        <v>1</v>
      </c>
    </row>
    <row r="588" spans="1:26" x14ac:dyDescent="0.3">
      <c r="A588" s="49" t="s">
        <v>226</v>
      </c>
      <c r="B588" s="1" t="str">
        <f>VLOOKUP(A588,Participanti!A:B,2,0)</f>
        <v>M</v>
      </c>
      <c r="C588" s="74">
        <v>7</v>
      </c>
      <c r="D588" s="50">
        <v>18.43</v>
      </c>
      <c r="E588" s="51">
        <v>8.548611111111111E-2</v>
      </c>
      <c r="F588" s="51">
        <v>8.7094907407407399E-2</v>
      </c>
      <c r="G588" s="69">
        <f t="shared" si="225"/>
        <v>8.6290509259259254E-2</v>
      </c>
      <c r="H588" s="52"/>
      <c r="I588" s="12">
        <f t="shared" si="226"/>
        <v>4.6820677840075558E-3</v>
      </c>
      <c r="J588" s="37">
        <f t="shared" si="227"/>
        <v>4.3880952380952376</v>
      </c>
      <c r="K588" s="37">
        <f>IF(J588=0,0,IF(B588="F",VLOOKUP(I588,Barem!$G$2:$H$16,2,1),VLOOKUP(I588,Barem!$G$17:$H$31,2,1)))</f>
        <v>0.75</v>
      </c>
      <c r="L588" s="50">
        <v>1.75</v>
      </c>
      <c r="M588" s="124" t="s">
        <v>106</v>
      </c>
      <c r="N588" s="10">
        <f t="shared" si="231"/>
        <v>0.5</v>
      </c>
      <c r="O588" s="10">
        <f t="shared" si="231"/>
        <v>0.25</v>
      </c>
      <c r="P588" s="10">
        <f t="shared" si="231"/>
        <v>0.25</v>
      </c>
      <c r="Q588" s="40">
        <f t="shared" si="228"/>
        <v>0</v>
      </c>
      <c r="R588" s="21">
        <f>IF(D588&gt;21,VLOOKUP(D588,Barem!$T$1:$U$141,2,1),0)</f>
        <v>0</v>
      </c>
      <c r="S588" s="152">
        <f>IF(D588&lt;1.609,0,IF(B588="F",VLOOKUP(I588,Barem!$X$2:$Z$13,2,1),VLOOKUP(I588,Barem!$X$14:$Z$25,2,1)))</f>
        <v>0</v>
      </c>
      <c r="T588" s="21">
        <f>VLOOKUP(A588,Participanti!A:C,3,0)</f>
        <v>0</v>
      </c>
      <c r="U588" s="18">
        <f t="shared" si="229"/>
        <v>2.8190476190476188</v>
      </c>
      <c r="V588" s="58" t="s">
        <v>462</v>
      </c>
      <c r="W588" s="77">
        <f t="shared" si="232"/>
        <v>1</v>
      </c>
      <c r="X588" s="1" t="e">
        <f>VLOOKUP(A588,Data_Echipe!A:R,18,0)</f>
        <v>#N/A</v>
      </c>
      <c r="Z588" s="115">
        <f t="shared" si="230"/>
        <v>1</v>
      </c>
    </row>
    <row r="589" spans="1:26" x14ac:dyDescent="0.3">
      <c r="A589" s="49" t="s">
        <v>356</v>
      </c>
      <c r="B589" s="1" t="str">
        <f>VLOOKUP(A589,Participanti!A:B,2,0)</f>
        <v>M</v>
      </c>
      <c r="C589" s="74">
        <v>7</v>
      </c>
      <c r="D589" s="50">
        <v>10.02</v>
      </c>
      <c r="E589" s="51">
        <v>3.4745370370370371E-2</v>
      </c>
      <c r="F589" s="51">
        <v>3.5208333333333335E-2</v>
      </c>
      <c r="G589" s="69">
        <f t="shared" si="225"/>
        <v>3.4976851851851856E-2</v>
      </c>
      <c r="H589" s="52"/>
      <c r="I589" s="12">
        <f t="shared" si="226"/>
        <v>3.4907037776299261E-3</v>
      </c>
      <c r="J589" s="37">
        <f t="shared" si="227"/>
        <v>2.3857142857142857</v>
      </c>
      <c r="K589" s="37">
        <f>IF(J589=0,0,IF(B589="F",VLOOKUP(I589,Barem!$G$2:$H$16,2,1),VLOOKUP(I589,Barem!$G$17:$H$31,2,1)))</f>
        <v>2.5</v>
      </c>
      <c r="L589" s="50">
        <v>3</v>
      </c>
      <c r="M589" s="124" t="s">
        <v>106</v>
      </c>
      <c r="N589" s="10">
        <f t="shared" si="231"/>
        <v>0.5</v>
      </c>
      <c r="O589" s="10">
        <f t="shared" si="231"/>
        <v>0.25</v>
      </c>
      <c r="P589" s="10">
        <f t="shared" si="231"/>
        <v>0.25</v>
      </c>
      <c r="Q589" s="40">
        <f t="shared" si="228"/>
        <v>0</v>
      </c>
      <c r="R589" s="21">
        <f>IF(D589&gt;21,VLOOKUP(D589,Barem!$T$1:$U$141,2,1),0)</f>
        <v>0</v>
      </c>
      <c r="S589" s="152">
        <f>IF(D589&lt;1.609,0,IF(B589="F",VLOOKUP(I589,Barem!$X$2:$Z$13,2,1),VLOOKUP(I589,Barem!$X$14:$Z$25,2,1)))</f>
        <v>0</v>
      </c>
      <c r="T589" s="21">
        <f>VLOOKUP(A589,Participanti!A:C,3,0)</f>
        <v>0</v>
      </c>
      <c r="U589" s="18">
        <f t="shared" si="229"/>
        <v>2.5678571428571431</v>
      </c>
      <c r="V589" s="58" t="s">
        <v>462</v>
      </c>
      <c r="W589" s="77">
        <f t="shared" si="232"/>
        <v>1</v>
      </c>
      <c r="X589" s="1" t="str">
        <f>VLOOKUP(A589,Data_Echipe!A:R,18,0)</f>
        <v>MedgidiaRunning</v>
      </c>
      <c r="Z589" s="115">
        <f t="shared" si="230"/>
        <v>1</v>
      </c>
    </row>
    <row r="590" spans="1:26" x14ac:dyDescent="0.3">
      <c r="A590" s="49" t="s">
        <v>336</v>
      </c>
      <c r="B590" s="1" t="str">
        <f>VLOOKUP(A590,Participanti!A:B,2,0)</f>
        <v>M</v>
      </c>
      <c r="C590" s="74">
        <v>7</v>
      </c>
      <c r="D590" s="50">
        <v>24.12</v>
      </c>
      <c r="E590" s="51">
        <v>0.10071759259259259</v>
      </c>
      <c r="F590" s="51">
        <v>0.10071759259259259</v>
      </c>
      <c r="G590" s="69">
        <f t="shared" si="225"/>
        <v>0.10071759259259259</v>
      </c>
      <c r="H590" s="52"/>
      <c r="I590" s="12">
        <f t="shared" si="226"/>
        <v>4.1756879184325288E-3</v>
      </c>
      <c r="J590" s="37">
        <f t="shared" si="227"/>
        <v>5</v>
      </c>
      <c r="K590" s="37">
        <f>IF(J590=0,0,IF(B590="F",VLOOKUP(I590,Barem!$G$2:$H$16,2,1),VLOOKUP(I590,Barem!$G$17:$H$31,2,1)))</f>
        <v>1.5</v>
      </c>
      <c r="L590" s="50">
        <v>0.5</v>
      </c>
      <c r="M590" s="124" t="s">
        <v>106</v>
      </c>
      <c r="N590" s="10">
        <f t="shared" si="231"/>
        <v>0.5</v>
      </c>
      <c r="O590" s="10">
        <f t="shared" si="231"/>
        <v>0.25</v>
      </c>
      <c r="P590" s="10">
        <f t="shared" si="231"/>
        <v>0.25</v>
      </c>
      <c r="Q590" s="40">
        <f t="shared" si="228"/>
        <v>0</v>
      </c>
      <c r="R590" s="21">
        <f>IF(D590&gt;21,VLOOKUP(D590,Barem!$T$1:$U$141,2,1),0)</f>
        <v>0.1</v>
      </c>
      <c r="S590" s="152">
        <f>IF(D590&lt;1.609,0,IF(B590="F",VLOOKUP(I590,Barem!$X$2:$Z$13,2,1),VLOOKUP(I590,Barem!$X$14:$Z$25,2,1)))</f>
        <v>0</v>
      </c>
      <c r="T590" s="21">
        <f>VLOOKUP(A590,Participanti!A:C,3,0)</f>
        <v>0</v>
      </c>
      <c r="U590" s="18">
        <f t="shared" si="229"/>
        <v>3.1</v>
      </c>
      <c r="V590" s="58" t="s">
        <v>462</v>
      </c>
      <c r="W590" s="77">
        <f t="shared" si="232"/>
        <v>1</v>
      </c>
      <c r="X590" s="1" t="e">
        <f>VLOOKUP(A590,Data_Echipe!A:R,18,0)</f>
        <v>#N/A</v>
      </c>
      <c r="Z590" s="115">
        <f t="shared" si="230"/>
        <v>1</v>
      </c>
    </row>
    <row r="591" spans="1:26" x14ac:dyDescent="0.3">
      <c r="A591" s="49" t="s">
        <v>403</v>
      </c>
      <c r="B591" s="1" t="str">
        <f>VLOOKUP(A591,Participanti!A:B,2,0)</f>
        <v>M</v>
      </c>
      <c r="C591" s="74">
        <v>7</v>
      </c>
      <c r="D591" s="50">
        <v>50.11</v>
      </c>
      <c r="E591" s="51">
        <v>0.22944444444444445</v>
      </c>
      <c r="F591" s="51">
        <v>0.24037037037037037</v>
      </c>
      <c r="G591" s="69">
        <f t="shared" si="225"/>
        <v>0.2349074074074074</v>
      </c>
      <c r="H591" s="52">
        <v>479</v>
      </c>
      <c r="I591" s="12">
        <f t="shared" si="226"/>
        <v>4.6878349113431928E-3</v>
      </c>
      <c r="J591" s="37">
        <f t="shared" si="227"/>
        <v>5</v>
      </c>
      <c r="K591" s="37">
        <f>IF(J591=0,0,IF(B591="F",VLOOKUP(I591,Barem!$G$2:$H$16,2,1),VLOOKUP(I591,Barem!$G$17:$H$31,2,1)))</f>
        <v>0.75</v>
      </c>
      <c r="L591" s="50">
        <v>3.5</v>
      </c>
      <c r="M591" s="124" t="s">
        <v>106</v>
      </c>
      <c r="N591" s="10">
        <f t="shared" si="231"/>
        <v>0.5</v>
      </c>
      <c r="O591" s="10">
        <f t="shared" si="231"/>
        <v>0.25</v>
      </c>
      <c r="P591" s="10">
        <f t="shared" si="231"/>
        <v>0.25</v>
      </c>
      <c r="Q591" s="40">
        <f t="shared" si="228"/>
        <v>0.31933333333333336</v>
      </c>
      <c r="R591" s="21">
        <f>IF(D591&gt;21,VLOOKUP(D591,Barem!$T$1:$U$141,2,1),0)</f>
        <v>1.4</v>
      </c>
      <c r="S591" s="152">
        <f>IF(D591&lt;1.609,0,IF(B591="F",VLOOKUP(I591,Barem!$X$2:$Z$13,2,1),VLOOKUP(I591,Barem!$X$14:$Z$25,2,1)))</f>
        <v>0</v>
      </c>
      <c r="T591" s="21">
        <f>VLOOKUP(A591,Participanti!A:C,3,0)</f>
        <v>0</v>
      </c>
      <c r="U591" s="18">
        <f t="shared" si="229"/>
        <v>5.2818333333333332</v>
      </c>
      <c r="V591" s="58" t="s">
        <v>462</v>
      </c>
      <c r="W591" s="77">
        <f t="shared" si="232"/>
        <v>1</v>
      </c>
      <c r="X591" s="1" t="str">
        <f>VLOOKUP(A591,Data_Echipe!A:R,18,0)</f>
        <v>The GOATs</v>
      </c>
      <c r="Z591" s="115">
        <f t="shared" si="230"/>
        <v>1</v>
      </c>
    </row>
    <row r="592" spans="1:26" x14ac:dyDescent="0.3">
      <c r="A592" s="49" t="s">
        <v>177</v>
      </c>
      <c r="B592" s="1" t="str">
        <f>VLOOKUP(A592,Participanti!A:B,2,0)</f>
        <v>F</v>
      </c>
      <c r="C592" s="74">
        <v>7</v>
      </c>
      <c r="D592" s="50">
        <v>10.29</v>
      </c>
      <c r="E592" s="51">
        <v>4.3067129629629629E-2</v>
      </c>
      <c r="F592" s="51">
        <v>5.0439814814814819E-2</v>
      </c>
      <c r="G592" s="69">
        <f t="shared" si="225"/>
        <v>4.6753472222222224E-2</v>
      </c>
      <c r="H592" s="52"/>
      <c r="I592" s="12">
        <f t="shared" si="226"/>
        <v>4.543583306338409E-3</v>
      </c>
      <c r="J592" s="37">
        <f t="shared" si="227"/>
        <v>2.5724999999999998</v>
      </c>
      <c r="K592" s="37">
        <f>IF(J592=0,0,IF(B592="F",VLOOKUP(I592,Barem!$G$2:$H$16,2,1),VLOOKUP(I592,Barem!$G$17:$H$31,2,1)))</f>
        <v>1.25</v>
      </c>
      <c r="L592" s="50">
        <v>2.75</v>
      </c>
      <c r="M592" s="124" t="s">
        <v>207</v>
      </c>
      <c r="N592" s="10">
        <f t="shared" si="231"/>
        <v>0.25</v>
      </c>
      <c r="O592" s="10">
        <f t="shared" si="231"/>
        <v>0.25</v>
      </c>
      <c r="P592" s="10">
        <f t="shared" si="231"/>
        <v>0.5</v>
      </c>
      <c r="Q592" s="40">
        <f t="shared" si="228"/>
        <v>0</v>
      </c>
      <c r="R592" s="21">
        <f>IF(D592&gt;21,VLOOKUP(D592,Barem!$T$1:$U$141,2,1),0)</f>
        <v>0</v>
      </c>
      <c r="S592" s="152">
        <f>IF(D592&lt;1.609,0,IF(B592="F",VLOOKUP(I592,Barem!$X$2:$Z$13,2,1),VLOOKUP(I592,Barem!$X$14:$Z$25,2,1)))</f>
        <v>0</v>
      </c>
      <c r="T592" s="21">
        <f>VLOOKUP(A592,Participanti!A:C,3,0)</f>
        <v>0</v>
      </c>
      <c r="U592" s="18">
        <f t="shared" si="229"/>
        <v>2.3306249999999999</v>
      </c>
      <c r="V592" s="58" t="s">
        <v>462</v>
      </c>
      <c r="W592" s="77">
        <f t="shared" si="232"/>
        <v>1</v>
      </c>
      <c r="X592" s="1" t="str">
        <f>VLOOKUP(A592,Data_Echipe!A:R,18,0)</f>
        <v>UltraHaita lu' Borcan</v>
      </c>
      <c r="Z592" s="115">
        <f t="shared" si="230"/>
        <v>1</v>
      </c>
    </row>
    <row r="593" spans="1:26" x14ac:dyDescent="0.3">
      <c r="A593" s="49" t="s">
        <v>208</v>
      </c>
      <c r="B593" s="1" t="str">
        <f>VLOOKUP(A593,Participanti!A:B,2,0)</f>
        <v>M</v>
      </c>
      <c r="C593" s="74">
        <v>7</v>
      </c>
      <c r="D593" s="50">
        <v>31</v>
      </c>
      <c r="E593" s="51">
        <v>0.1158101851851852</v>
      </c>
      <c r="F593" s="51">
        <v>0.11598379629629629</v>
      </c>
      <c r="G593" s="69">
        <f t="shared" si="225"/>
        <v>0.11589699074074075</v>
      </c>
      <c r="H593" s="52">
        <v>95</v>
      </c>
      <c r="I593" s="12">
        <f t="shared" si="226"/>
        <v>3.738612604540024E-3</v>
      </c>
      <c r="J593" s="37">
        <f t="shared" si="227"/>
        <v>5</v>
      </c>
      <c r="K593" s="37">
        <f>IF(J593=0,0,IF(B593="F",VLOOKUP(I593,Barem!$G$2:$H$16,2,1),VLOOKUP(I593,Barem!$G$17:$H$31,2,1)))</f>
        <v>2</v>
      </c>
      <c r="L593" s="50">
        <v>2</v>
      </c>
      <c r="M593" s="124" t="s">
        <v>106</v>
      </c>
      <c r="N593" s="10">
        <f t="shared" ref="N593:P608" si="233">IF($M593=N$1,50%,25%)</f>
        <v>0.5</v>
      </c>
      <c r="O593" s="10">
        <f t="shared" si="233"/>
        <v>0.25</v>
      </c>
      <c r="P593" s="10">
        <f t="shared" si="233"/>
        <v>0.25</v>
      </c>
      <c r="Q593" s="40">
        <f t="shared" si="228"/>
        <v>6.3333333333333339E-2</v>
      </c>
      <c r="R593" s="21">
        <f>IF(D593&gt;21,VLOOKUP(D593,Barem!$T$1:$U$141,2,1),0)</f>
        <v>0.5</v>
      </c>
      <c r="S593" s="152">
        <f>IF(D593&lt;1.609,0,IF(B593="F",VLOOKUP(I593,Barem!$X$2:$Z$13,2,1),VLOOKUP(I593,Barem!$X$14:$Z$25,2,1)))</f>
        <v>0</v>
      </c>
      <c r="T593" s="21">
        <f>VLOOKUP(A593,Participanti!A:C,3,0)</f>
        <v>0</v>
      </c>
      <c r="U593" s="18">
        <f t="shared" si="229"/>
        <v>4.0633333333333335</v>
      </c>
      <c r="V593" s="58" t="s">
        <v>462</v>
      </c>
      <c r="W593" s="77">
        <f t="shared" si="232"/>
        <v>1</v>
      </c>
      <c r="X593" s="1" t="e">
        <f>VLOOKUP(A593,Data_Echipe!A:R,18,0)</f>
        <v>#N/A</v>
      </c>
      <c r="Z593" s="115">
        <f t="shared" si="230"/>
        <v>1</v>
      </c>
    </row>
    <row r="594" spans="1:26" x14ac:dyDescent="0.3">
      <c r="A594" s="49" t="s">
        <v>396</v>
      </c>
      <c r="B594" s="1" t="str">
        <f>VLOOKUP(A594,Participanti!A:B,2,0)</f>
        <v>F</v>
      </c>
      <c r="C594" s="74">
        <v>7</v>
      </c>
      <c r="D594" s="50">
        <v>16.5</v>
      </c>
      <c r="E594" s="51">
        <v>7.9421296296296295E-2</v>
      </c>
      <c r="F594" s="51">
        <v>8.143518518518518E-2</v>
      </c>
      <c r="G594" s="69">
        <f t="shared" ref="G594:G601" si="234">AVERAGE(E594:F594)</f>
        <v>8.0428240740740731E-2</v>
      </c>
      <c r="H594" s="52"/>
      <c r="I594" s="12">
        <f t="shared" ref="I594:I601" si="235">G594/D594</f>
        <v>4.8744388327721655E-3</v>
      </c>
      <c r="J594" s="37">
        <f t="shared" ref="J594:J601" si="236">IF(B594="F",IF(D594&lt;2.5,0,IF(D594&gt;19.99,5,D594/4)),IF(D594&lt;3,0, IF(D594&gt;20.99,5,D594/4.2)))</f>
        <v>4.125</v>
      </c>
      <c r="K594" s="37">
        <f>IF(J594=0,0,IF(B594="F",VLOOKUP(I594,Barem!$G$2:$H$16,2,1),VLOOKUP(I594,Barem!$G$17:$H$31,2,1)))</f>
        <v>0.75</v>
      </c>
      <c r="L594" s="50">
        <v>2.5</v>
      </c>
      <c r="M594" s="124" t="s">
        <v>106</v>
      </c>
      <c r="N594" s="10">
        <f t="shared" si="233"/>
        <v>0.5</v>
      </c>
      <c r="O594" s="10">
        <f t="shared" si="233"/>
        <v>0.25</v>
      </c>
      <c r="P594" s="10">
        <f t="shared" si="233"/>
        <v>0.25</v>
      </c>
      <c r="Q594" s="40">
        <f t="shared" ref="Q594:Q601" si="237">IF(H594&gt;49,H594/1500,0)</f>
        <v>0</v>
      </c>
      <c r="R594" s="21">
        <f>IF(D594&gt;21,VLOOKUP(D594,Barem!$T$1:$U$141,2,1),0)</f>
        <v>0</v>
      </c>
      <c r="S594" s="152">
        <f>IF(D594&lt;1.609,0,IF(B594="F",VLOOKUP(I594,Barem!$X$2:$Z$13,2,1),VLOOKUP(I594,Barem!$X$14:$Z$25,2,1)))</f>
        <v>0</v>
      </c>
      <c r="T594" s="21">
        <f>VLOOKUP(A594,Participanti!A:C,3,0)</f>
        <v>0</v>
      </c>
      <c r="U594" s="18">
        <f t="shared" ref="U594:U601" si="238">IF(H594&lt;0,0,J594*N594+K594*O594+L594*P594+Q594+R594+S594+T594)</f>
        <v>2.875</v>
      </c>
      <c r="V594" s="58" t="s">
        <v>462</v>
      </c>
      <c r="W594" s="77">
        <f t="shared" si="232"/>
        <v>1</v>
      </c>
      <c r="X594" s="1" t="str">
        <f>VLOOKUP(A594,Data_Echipe!A:R,18,0)</f>
        <v>MedgidiaRunning</v>
      </c>
      <c r="Z594" s="115">
        <f t="shared" ref="Z594:Z601" si="239">IF(K594&gt;0,1,0)</f>
        <v>1</v>
      </c>
    </row>
    <row r="595" spans="1:26" x14ac:dyDescent="0.3">
      <c r="A595" s="49" t="s">
        <v>383</v>
      </c>
      <c r="B595" s="1" t="str">
        <f>VLOOKUP(A595,Participanti!A:B,2,0)</f>
        <v>F</v>
      </c>
      <c r="C595" s="74">
        <v>7</v>
      </c>
      <c r="D595" s="50">
        <v>10.01</v>
      </c>
      <c r="E595" s="51">
        <v>4.1550925925925929E-2</v>
      </c>
      <c r="F595" s="51">
        <v>4.7476851851851853E-2</v>
      </c>
      <c r="G595" s="69">
        <f t="shared" si="234"/>
        <v>4.4513888888888895E-2</v>
      </c>
      <c r="H595" s="52"/>
      <c r="I595" s="12">
        <f t="shared" si="235"/>
        <v>4.4469419469419479E-3</v>
      </c>
      <c r="J595" s="37">
        <f t="shared" si="236"/>
        <v>2.5024999999999999</v>
      </c>
      <c r="K595" s="37">
        <f>IF(J595=0,0,IF(B595="F",VLOOKUP(I595,Barem!$G$2:$H$16,2,1),VLOOKUP(I595,Barem!$G$17:$H$31,2,1)))</f>
        <v>1.5</v>
      </c>
      <c r="L595" s="50">
        <v>1.75</v>
      </c>
      <c r="M595" s="124" t="s">
        <v>106</v>
      </c>
      <c r="N595" s="10">
        <f t="shared" si="233"/>
        <v>0.5</v>
      </c>
      <c r="O595" s="10">
        <f t="shared" si="233"/>
        <v>0.25</v>
      </c>
      <c r="P595" s="10">
        <f t="shared" si="233"/>
        <v>0.25</v>
      </c>
      <c r="Q595" s="40">
        <f t="shared" si="237"/>
        <v>0</v>
      </c>
      <c r="R595" s="21">
        <f>IF(D595&gt;21,VLOOKUP(D595,Barem!$T$1:$U$141,2,1),0)</f>
        <v>0</v>
      </c>
      <c r="S595" s="152">
        <f>IF(D595&lt;1.609,0,IF(B595="F",VLOOKUP(I595,Barem!$X$2:$Z$13,2,1),VLOOKUP(I595,Barem!$X$14:$Z$25,2,1)))</f>
        <v>0</v>
      </c>
      <c r="T595" s="21">
        <f>VLOOKUP(A595,Participanti!A:C,3,0)</f>
        <v>0</v>
      </c>
      <c r="U595" s="18">
        <f t="shared" si="238"/>
        <v>2.0637499999999998</v>
      </c>
      <c r="V595" s="58" t="s">
        <v>462</v>
      </c>
      <c r="W595" s="77">
        <f t="shared" si="232"/>
        <v>1</v>
      </c>
      <c r="X595" s="1" t="str">
        <f>VLOOKUP(A595,Data_Echipe!A:R,18,0)</f>
        <v>The GOATs</v>
      </c>
      <c r="Z595" s="115">
        <f t="shared" si="239"/>
        <v>1</v>
      </c>
    </row>
    <row r="596" spans="1:26" x14ac:dyDescent="0.3">
      <c r="A596" s="49" t="s">
        <v>225</v>
      </c>
      <c r="B596" s="1" t="str">
        <f>VLOOKUP(A596,Participanti!A:B,2,0)</f>
        <v>F</v>
      </c>
      <c r="C596" s="74">
        <v>7</v>
      </c>
      <c r="D596" s="50">
        <v>16.579999999999998</v>
      </c>
      <c r="E596" s="51">
        <v>6.2962962962962957E-2</v>
      </c>
      <c r="F596" s="51">
        <v>6.5902777777777768E-2</v>
      </c>
      <c r="G596" s="69">
        <f t="shared" si="234"/>
        <v>6.4432870370370363E-2</v>
      </c>
      <c r="H596" s="52">
        <v>110</v>
      </c>
      <c r="I596" s="12">
        <f t="shared" si="235"/>
        <v>3.8861803600947148E-3</v>
      </c>
      <c r="J596" s="37">
        <f t="shared" si="236"/>
        <v>4.1449999999999996</v>
      </c>
      <c r="K596" s="37">
        <f>IF(J596=0,0,IF(B596="F",VLOOKUP(I596,Barem!$G$2:$H$16,2,1),VLOOKUP(I596,Barem!$G$17:$H$31,2,1)))</f>
        <v>2.5</v>
      </c>
      <c r="L596" s="50">
        <v>4.25</v>
      </c>
      <c r="M596" s="124" t="s">
        <v>207</v>
      </c>
      <c r="N596" s="10">
        <f t="shared" si="233"/>
        <v>0.25</v>
      </c>
      <c r="O596" s="10">
        <f t="shared" si="233"/>
        <v>0.25</v>
      </c>
      <c r="P596" s="10">
        <f t="shared" si="233"/>
        <v>0.5</v>
      </c>
      <c r="Q596" s="40">
        <f t="shared" si="237"/>
        <v>7.3333333333333334E-2</v>
      </c>
      <c r="R596" s="21">
        <f>IF(D596&gt;21,VLOOKUP(D596,Barem!$T$1:$U$141,2,1),0)</f>
        <v>0</v>
      </c>
      <c r="S596" s="152">
        <f>IF(D596&lt;1.609,0,IF(B596="F",VLOOKUP(I596,Barem!$X$2:$Z$13,2,1),VLOOKUP(I596,Barem!$X$14:$Z$25,2,1)))</f>
        <v>0</v>
      </c>
      <c r="T596" s="21">
        <f>VLOOKUP(A596,Participanti!A:C,3,0)</f>
        <v>0</v>
      </c>
      <c r="U596" s="18">
        <f t="shared" si="238"/>
        <v>3.8595833333333331</v>
      </c>
      <c r="V596" s="58" t="s">
        <v>462</v>
      </c>
      <c r="W596" s="77">
        <f t="shared" si="232"/>
        <v>1</v>
      </c>
      <c r="X596" s="1" t="str">
        <f>VLOOKUP(A596,Data_Echipe!A:R,18,0)</f>
        <v>The GOATs</v>
      </c>
      <c r="Z596" s="115">
        <f t="shared" si="239"/>
        <v>1</v>
      </c>
    </row>
    <row r="597" spans="1:26" x14ac:dyDescent="0.3">
      <c r="A597" s="49" t="s">
        <v>133</v>
      </c>
      <c r="B597" s="1" t="str">
        <f>VLOOKUP(A597,Participanti!A:B,2,0)</f>
        <v>M</v>
      </c>
      <c r="C597" s="74">
        <v>7</v>
      </c>
      <c r="D597" s="50">
        <v>21.65</v>
      </c>
      <c r="E597" s="51">
        <v>8.217592592592593E-2</v>
      </c>
      <c r="F597" s="51">
        <v>8.2650462962962967E-2</v>
      </c>
      <c r="G597" s="69">
        <f t="shared" si="234"/>
        <v>8.2413194444444449E-2</v>
      </c>
      <c r="H597" s="52">
        <v>284</v>
      </c>
      <c r="I597" s="12">
        <f t="shared" si="235"/>
        <v>3.806614062099051E-3</v>
      </c>
      <c r="J597" s="37">
        <f t="shared" si="236"/>
        <v>5</v>
      </c>
      <c r="K597" s="37">
        <f>IF(J597=0,0,IF(B597="F",VLOOKUP(I597,Barem!$G$2:$H$16,2,1),VLOOKUP(I597,Barem!$G$17:$H$31,2,1)))</f>
        <v>2</v>
      </c>
      <c r="L597" s="50">
        <v>2.5</v>
      </c>
      <c r="M597" s="124" t="s">
        <v>207</v>
      </c>
      <c r="N597" s="10">
        <f t="shared" si="233"/>
        <v>0.25</v>
      </c>
      <c r="O597" s="10">
        <f t="shared" si="233"/>
        <v>0.25</v>
      </c>
      <c r="P597" s="10">
        <f t="shared" si="233"/>
        <v>0.5</v>
      </c>
      <c r="Q597" s="40">
        <f t="shared" si="237"/>
        <v>0.18933333333333333</v>
      </c>
      <c r="R597" s="21">
        <f>IF(D597&gt;21,VLOOKUP(D597,Barem!$T$1:$U$141,2,1),0)</f>
        <v>0</v>
      </c>
      <c r="S597" s="152">
        <f>IF(D597&lt;1.609,0,IF(B597="F",VLOOKUP(I597,Barem!$X$2:$Z$13,2,1),VLOOKUP(I597,Barem!$X$14:$Z$25,2,1)))</f>
        <v>0</v>
      </c>
      <c r="T597" s="21">
        <f>VLOOKUP(A597,Participanti!A:C,3,0)</f>
        <v>0.4</v>
      </c>
      <c r="U597" s="18">
        <f t="shared" si="238"/>
        <v>3.5893333333333333</v>
      </c>
      <c r="V597" s="58" t="s">
        <v>462</v>
      </c>
      <c r="W597" s="77">
        <f t="shared" si="232"/>
        <v>1</v>
      </c>
      <c r="X597" s="1" t="str">
        <f>VLOOKUP(A597,Data_Echipe!A:R,18,0)</f>
        <v>UltraHaita lu' Borcan</v>
      </c>
      <c r="Z597" s="115">
        <f t="shared" si="239"/>
        <v>1</v>
      </c>
    </row>
    <row r="598" spans="1:26" x14ac:dyDescent="0.3">
      <c r="A598" s="49" t="s">
        <v>247</v>
      </c>
      <c r="B598" s="1" t="str">
        <f>VLOOKUP(A598,Participanti!A:B,2,0)</f>
        <v>M</v>
      </c>
      <c r="C598" s="74">
        <v>7</v>
      </c>
      <c r="D598" s="50">
        <v>24.07</v>
      </c>
      <c r="E598" s="51">
        <v>8.6990740740740743E-2</v>
      </c>
      <c r="F598" s="51">
        <v>8.9317129629629621E-2</v>
      </c>
      <c r="G598" s="69">
        <f t="shared" si="234"/>
        <v>8.8153935185185189E-2</v>
      </c>
      <c r="H598" s="52">
        <v>56</v>
      </c>
      <c r="I598" s="12">
        <f t="shared" si="235"/>
        <v>3.6623986366923636E-3</v>
      </c>
      <c r="J598" s="37">
        <f t="shared" si="236"/>
        <v>5</v>
      </c>
      <c r="K598" s="37">
        <f>IF(J598=0,0,IF(B598="F",VLOOKUP(I598,Barem!$G$2:$H$16,2,1),VLOOKUP(I598,Barem!$G$17:$H$31,2,1)))</f>
        <v>2</v>
      </c>
      <c r="L598" s="50">
        <v>1</v>
      </c>
      <c r="M598" s="124" t="s">
        <v>106</v>
      </c>
      <c r="N598" s="10">
        <f t="shared" si="233"/>
        <v>0.5</v>
      </c>
      <c r="O598" s="10">
        <f t="shared" si="233"/>
        <v>0.25</v>
      </c>
      <c r="P598" s="10">
        <f t="shared" si="233"/>
        <v>0.25</v>
      </c>
      <c r="Q598" s="40">
        <f t="shared" si="237"/>
        <v>3.7333333333333336E-2</v>
      </c>
      <c r="R598" s="21">
        <f>IF(D598&gt;21,VLOOKUP(D598,Barem!$T$1:$U$141,2,1),0)</f>
        <v>0.1</v>
      </c>
      <c r="S598" s="152">
        <f>IF(D598&lt;1.609,0,IF(B598="F",VLOOKUP(I598,Barem!$X$2:$Z$13,2,1),VLOOKUP(I598,Barem!$X$14:$Z$25,2,1)))</f>
        <v>0</v>
      </c>
      <c r="T598" s="21">
        <f>VLOOKUP(A598,Participanti!A:C,3,0)</f>
        <v>0</v>
      </c>
      <c r="U598" s="18">
        <f t="shared" si="238"/>
        <v>3.3873333333333333</v>
      </c>
      <c r="V598" s="58" t="s">
        <v>462</v>
      </c>
      <c r="W598" s="77">
        <f t="shared" si="232"/>
        <v>1</v>
      </c>
      <c r="X598" s="1" t="str">
        <f>VLOOKUP(A598,Data_Echipe!A:R,18,0)</f>
        <v>UltraHaita lu' Borcan</v>
      </c>
      <c r="Z598" s="115">
        <f t="shared" si="239"/>
        <v>1</v>
      </c>
    </row>
    <row r="599" spans="1:26" x14ac:dyDescent="0.3">
      <c r="A599" s="49" t="s">
        <v>283</v>
      </c>
      <c r="B599" s="1" t="str">
        <f>VLOOKUP(A599,Participanti!A:B,2,0)</f>
        <v>M</v>
      </c>
      <c r="C599" s="74">
        <v>7</v>
      </c>
      <c r="D599" s="50">
        <v>100.24</v>
      </c>
      <c r="E599" s="51">
        <v>0.48775462962962962</v>
      </c>
      <c r="F599" s="51">
        <v>0.51033564814814814</v>
      </c>
      <c r="G599" s="69">
        <f t="shared" si="234"/>
        <v>0.49904513888888891</v>
      </c>
      <c r="H599" s="52">
        <v>772</v>
      </c>
      <c r="I599" s="12">
        <f t="shared" si="235"/>
        <v>4.9785029817327308E-3</v>
      </c>
      <c r="J599" s="37">
        <f t="shared" si="236"/>
        <v>5</v>
      </c>
      <c r="K599" s="37">
        <f>IF(J599=0,0,IF(B599="F",VLOOKUP(I599,Barem!$G$2:$H$16,2,1),VLOOKUP(I599,Barem!$G$17:$H$31,2,1)))</f>
        <v>0.25</v>
      </c>
      <c r="L599" s="50">
        <v>4.75</v>
      </c>
      <c r="M599" s="124" t="s">
        <v>106</v>
      </c>
      <c r="N599" s="10">
        <f t="shared" si="233"/>
        <v>0.5</v>
      </c>
      <c r="O599" s="10">
        <f t="shared" si="233"/>
        <v>0.25</v>
      </c>
      <c r="P599" s="10">
        <f t="shared" si="233"/>
        <v>0.25</v>
      </c>
      <c r="Q599" s="40">
        <f t="shared" si="237"/>
        <v>0.51466666666666672</v>
      </c>
      <c r="R599" s="21">
        <f>IF(D599&gt;21,VLOOKUP(D599,Barem!$T$1:$U$141,2,1),0)</f>
        <v>3.9</v>
      </c>
      <c r="S599" s="152">
        <f>IF(D599&lt;1.609,0,IF(B599="F",VLOOKUP(I599,Barem!$X$2:$Z$13,2,1),VLOOKUP(I599,Barem!$X$14:$Z$25,2,1)))</f>
        <v>0</v>
      </c>
      <c r="T599" s="21">
        <f>VLOOKUP(A599,Participanti!A:C,3,0)</f>
        <v>0</v>
      </c>
      <c r="U599" s="18">
        <f t="shared" si="238"/>
        <v>8.1646666666666672</v>
      </c>
      <c r="V599" s="58" t="s">
        <v>462</v>
      </c>
      <c r="W599" s="77">
        <f t="shared" si="232"/>
        <v>1</v>
      </c>
      <c r="X599" s="1" t="str">
        <f>VLOOKUP(A599,Data_Echipe!A:R,18,0)</f>
        <v>The GOATs</v>
      </c>
      <c r="Z599" s="115">
        <f t="shared" si="239"/>
        <v>1</v>
      </c>
    </row>
    <row r="600" spans="1:26" x14ac:dyDescent="0.3">
      <c r="A600" s="49" t="s">
        <v>125</v>
      </c>
      <c r="B600" s="1" t="str">
        <f>VLOOKUP(A600,Participanti!A:B,2,0)</f>
        <v>M</v>
      </c>
      <c r="C600" s="74">
        <v>7</v>
      </c>
      <c r="D600" s="50">
        <v>10.1</v>
      </c>
      <c r="E600" s="51">
        <v>3.4456018518518518E-2</v>
      </c>
      <c r="F600" s="51">
        <v>3.4560185185185187E-2</v>
      </c>
      <c r="G600" s="69">
        <f t="shared" si="234"/>
        <v>3.4508101851851852E-2</v>
      </c>
      <c r="H600" s="52">
        <v>88</v>
      </c>
      <c r="I600" s="12">
        <f t="shared" si="235"/>
        <v>3.4166437477081042E-3</v>
      </c>
      <c r="J600" s="37">
        <f t="shared" si="236"/>
        <v>2.4047619047619047</v>
      </c>
      <c r="K600" s="37">
        <f>IF(J600=0,0,IF(B600="F",VLOOKUP(I600,Barem!$G$2:$H$16,2,1),VLOOKUP(I600,Barem!$G$17:$H$31,2,1)))</f>
        <v>3</v>
      </c>
      <c r="L600" s="50">
        <v>1.25</v>
      </c>
      <c r="M600" s="124" t="s">
        <v>106</v>
      </c>
      <c r="N600" s="10">
        <f t="shared" si="233"/>
        <v>0.5</v>
      </c>
      <c r="O600" s="10">
        <f t="shared" si="233"/>
        <v>0.25</v>
      </c>
      <c r="P600" s="10">
        <f t="shared" si="233"/>
        <v>0.25</v>
      </c>
      <c r="Q600" s="40">
        <f t="shared" si="237"/>
        <v>5.8666666666666666E-2</v>
      </c>
      <c r="R600" s="21">
        <f>IF(D600&gt;21,VLOOKUP(D600,Barem!$T$1:$U$141,2,1),0)</f>
        <v>0</v>
      </c>
      <c r="S600" s="152">
        <f>IF(D600&lt;1.609,0,IF(B600="F",VLOOKUP(I600,Barem!$X$2:$Z$13,2,1),VLOOKUP(I600,Barem!$X$14:$Z$25,2,1)))</f>
        <v>0</v>
      </c>
      <c r="T600" s="21">
        <f>VLOOKUP(A600,Participanti!A:C,3,0)</f>
        <v>0</v>
      </c>
      <c r="U600" s="18">
        <f t="shared" si="238"/>
        <v>2.3235476190476194</v>
      </c>
      <c r="V600" s="58" t="s">
        <v>462</v>
      </c>
      <c r="W600" s="77">
        <f t="shared" si="232"/>
        <v>1</v>
      </c>
      <c r="X600" s="1" t="str">
        <f>VLOOKUP(A600,Data_Echipe!A:R,18,0)</f>
        <v>The GOATs</v>
      </c>
      <c r="Z600" s="115">
        <f t="shared" si="239"/>
        <v>1</v>
      </c>
    </row>
    <row r="601" spans="1:26" x14ac:dyDescent="0.3">
      <c r="A601" s="49" t="s">
        <v>284</v>
      </c>
      <c r="B601" s="1" t="str">
        <f>VLOOKUP(A601,Participanti!A:B,2,0)</f>
        <v>M</v>
      </c>
      <c r="C601" s="74">
        <v>7</v>
      </c>
      <c r="D601" s="50">
        <v>10.02</v>
      </c>
      <c r="E601" s="51">
        <v>4.0613425925925928E-2</v>
      </c>
      <c r="F601" s="51">
        <v>4.2141203703703702E-2</v>
      </c>
      <c r="G601" s="69">
        <f t="shared" si="234"/>
        <v>4.1377314814814811E-2</v>
      </c>
      <c r="H601" s="52">
        <v>108</v>
      </c>
      <c r="I601" s="12">
        <f t="shared" si="235"/>
        <v>4.1294725364086644E-3</v>
      </c>
      <c r="J601" s="37">
        <f t="shared" si="236"/>
        <v>2.3857142857142857</v>
      </c>
      <c r="K601" s="37">
        <f>IF(J601=0,0,IF(B601="F",VLOOKUP(I601,Barem!$G$2:$H$16,2,1),VLOOKUP(I601,Barem!$G$17:$H$31,2,1)))</f>
        <v>1.5</v>
      </c>
      <c r="L601" s="50">
        <v>2</v>
      </c>
      <c r="M601" s="124" t="s">
        <v>106</v>
      </c>
      <c r="N601" s="10">
        <f t="shared" si="233"/>
        <v>0.5</v>
      </c>
      <c r="O601" s="10">
        <f t="shared" si="233"/>
        <v>0.25</v>
      </c>
      <c r="P601" s="10">
        <f t="shared" si="233"/>
        <v>0.25</v>
      </c>
      <c r="Q601" s="40">
        <f t="shared" si="237"/>
        <v>7.1999999999999995E-2</v>
      </c>
      <c r="R601" s="21">
        <f>IF(D601&gt;21,VLOOKUP(D601,Barem!$T$1:$U$141,2,1),0)</f>
        <v>0</v>
      </c>
      <c r="S601" s="152">
        <f>IF(D601&lt;1.609,0,IF(B601="F",VLOOKUP(I601,Barem!$X$2:$Z$13,2,1),VLOOKUP(I601,Barem!$X$14:$Z$25,2,1)))</f>
        <v>0</v>
      </c>
      <c r="T601" s="21">
        <f>VLOOKUP(A601,Participanti!A:C,3,0)</f>
        <v>0</v>
      </c>
      <c r="U601" s="18">
        <f t="shared" si="238"/>
        <v>2.1398571428571431</v>
      </c>
      <c r="V601" s="58" t="s">
        <v>462</v>
      </c>
      <c r="W601" s="77">
        <f t="shared" si="232"/>
        <v>1</v>
      </c>
      <c r="X601" s="1" t="str">
        <f>VLOOKUP(A601,Data_Echipe!A:R,18,0)</f>
        <v>The GOATs</v>
      </c>
      <c r="Z601" s="115">
        <f t="shared" si="239"/>
        <v>1</v>
      </c>
    </row>
    <row r="602" spans="1:26" x14ac:dyDescent="0.3">
      <c r="A602" s="49" t="s">
        <v>41</v>
      </c>
      <c r="B602" s="1" t="str">
        <f>VLOOKUP(A602,Participanti!A:B,2,0)</f>
        <v>M</v>
      </c>
      <c r="C602" s="74">
        <v>7</v>
      </c>
      <c r="D602" s="50">
        <v>16</v>
      </c>
      <c r="E602" s="51">
        <v>6.1354166666666675E-2</v>
      </c>
      <c r="F602" s="51">
        <v>6.7638888888888887E-2</v>
      </c>
      <c r="G602" s="69">
        <f t="shared" ref="G602:G612" si="240">AVERAGE(E602:F602)</f>
        <v>6.4496527777777785E-2</v>
      </c>
      <c r="H602" s="52">
        <v>91</v>
      </c>
      <c r="I602" s="12">
        <f t="shared" ref="I602:I612" si="241">G602/D602</f>
        <v>4.0310329861111115E-3</v>
      </c>
      <c r="J602" s="37">
        <f t="shared" ref="J602:J612" si="242">IF(B602="F",IF(D602&lt;2.5,0,IF(D602&gt;19.99,5,D602/4)),IF(D602&lt;3,0, IF(D602&gt;20.99,5,D602/4.2)))</f>
        <v>3.8095238095238093</v>
      </c>
      <c r="K602" s="37">
        <f>IF(J602=0,0,IF(B602="F",VLOOKUP(I602,Barem!$G$2:$H$16,2,1),VLOOKUP(I602,Barem!$G$17:$H$31,2,1)))</f>
        <v>1.5</v>
      </c>
      <c r="L602" s="50">
        <v>2.75</v>
      </c>
      <c r="M602" s="124" t="s">
        <v>106</v>
      </c>
      <c r="N602" s="10">
        <f t="shared" si="233"/>
        <v>0.5</v>
      </c>
      <c r="O602" s="10">
        <f t="shared" si="233"/>
        <v>0.25</v>
      </c>
      <c r="P602" s="10">
        <f t="shared" si="233"/>
        <v>0.25</v>
      </c>
      <c r="Q602" s="40">
        <f t="shared" ref="Q602:Q612" si="243">IF(H602&gt;49,H602/1500,0)</f>
        <v>6.0666666666666667E-2</v>
      </c>
      <c r="R602" s="21">
        <f>IF(D602&gt;21,VLOOKUP(D602,Barem!$T$1:$U$141,2,1),0)</f>
        <v>0</v>
      </c>
      <c r="S602" s="152">
        <f>IF(D602&lt;1.609,0,IF(B602="F",VLOOKUP(I602,Barem!$X$2:$Z$13,2,1),VLOOKUP(I602,Barem!$X$14:$Z$25,2,1)))</f>
        <v>0</v>
      </c>
      <c r="T602" s="21">
        <f>VLOOKUP(A602,Participanti!A:C,3,0)</f>
        <v>0</v>
      </c>
      <c r="U602" s="18">
        <f t="shared" ref="U602:U612" si="244">IF(H602&lt;0,0,J602*N602+K602*O602+L602*P602+Q602+R602+S602+T602)</f>
        <v>3.0279285714285713</v>
      </c>
      <c r="V602" s="58" t="s">
        <v>462</v>
      </c>
      <c r="W602" s="77">
        <f t="shared" si="232"/>
        <v>1</v>
      </c>
      <c r="X602" s="1" t="str">
        <f>VLOOKUP(A602,Data_Echipe!A:R,18,0)</f>
        <v>Almost Kenyan Runners</v>
      </c>
      <c r="Z602" s="115">
        <f t="shared" ref="Z602:Z612" si="245">IF(K602&gt;0,1,0)</f>
        <v>1</v>
      </c>
    </row>
    <row r="603" spans="1:26" x14ac:dyDescent="0.3">
      <c r="A603" s="49" t="s">
        <v>137</v>
      </c>
      <c r="B603" s="1" t="str">
        <f>VLOOKUP(A603,Participanti!A:B,2,0)</f>
        <v>M</v>
      </c>
      <c r="C603" s="74">
        <v>7</v>
      </c>
      <c r="D603" s="50">
        <v>7.01</v>
      </c>
      <c r="E603" s="51">
        <v>2.0416666666666666E-2</v>
      </c>
      <c r="F603" s="51">
        <v>2.0868055555555556E-2</v>
      </c>
      <c r="G603" s="69">
        <f t="shared" si="240"/>
        <v>2.0642361111111111E-2</v>
      </c>
      <c r="H603" s="52"/>
      <c r="I603" s="12">
        <f t="shared" si="241"/>
        <v>2.9447020129973055E-3</v>
      </c>
      <c r="J603" s="37">
        <f t="shared" si="242"/>
        <v>1.6690476190476189</v>
      </c>
      <c r="K603" s="37">
        <f>IF(J603=0,0,IF(B603="F",VLOOKUP(I603,Barem!$G$2:$H$16,2,1),VLOOKUP(I603,Barem!$G$17:$H$31,2,1)))</f>
        <v>4.5</v>
      </c>
      <c r="L603" s="50">
        <v>2</v>
      </c>
      <c r="M603" s="124" t="s">
        <v>107</v>
      </c>
      <c r="N603" s="10">
        <f t="shared" si="233"/>
        <v>0.25</v>
      </c>
      <c r="O603" s="10">
        <f t="shared" si="233"/>
        <v>0.5</v>
      </c>
      <c r="P603" s="10">
        <f t="shared" si="233"/>
        <v>0.25</v>
      </c>
      <c r="Q603" s="40">
        <f t="shared" si="243"/>
        <v>0</v>
      </c>
      <c r="R603" s="21">
        <f>IF(D603&gt;21,VLOOKUP(D603,Barem!$T$1:$U$141,2,1),0)</f>
        <v>0</v>
      </c>
      <c r="S603" s="152">
        <f>IF(D603&lt;1.609,0,IF(B603="F",VLOOKUP(I603,Barem!$X$2:$Z$13,2,1),VLOOKUP(I603,Barem!$X$14:$Z$25,2,1)))</f>
        <v>0</v>
      </c>
      <c r="T603" s="21">
        <f>VLOOKUP(A603,Participanti!A:C,3,0)</f>
        <v>0</v>
      </c>
      <c r="U603" s="18">
        <f t="shared" si="244"/>
        <v>3.1672619047619048</v>
      </c>
      <c r="V603" s="58" t="s">
        <v>462</v>
      </c>
      <c r="W603" s="77">
        <f t="shared" si="232"/>
        <v>1</v>
      </c>
      <c r="X603" s="1" t="str">
        <f>VLOOKUP(A603,Data_Echipe!A:R,18,0)</f>
        <v>The GOATs</v>
      </c>
      <c r="Z603" s="115">
        <f t="shared" si="245"/>
        <v>1</v>
      </c>
    </row>
    <row r="604" spans="1:26" x14ac:dyDescent="0.3">
      <c r="A604" s="49" t="s">
        <v>361</v>
      </c>
      <c r="B604" s="1" t="str">
        <f>VLOOKUP(A604,Participanti!A:B,2,0)</f>
        <v>M</v>
      </c>
      <c r="C604" s="74">
        <v>7</v>
      </c>
      <c r="D604" s="50">
        <v>23.98</v>
      </c>
      <c r="E604" s="51">
        <v>0.1012037037037037</v>
      </c>
      <c r="F604" s="51">
        <v>0.10121527777777778</v>
      </c>
      <c r="G604" s="69">
        <f t="shared" si="240"/>
        <v>0.10120949074074073</v>
      </c>
      <c r="H604" s="52">
        <v>1169</v>
      </c>
      <c r="I604" s="12">
        <f t="shared" si="241"/>
        <v>4.2205792635838504E-3</v>
      </c>
      <c r="J604" s="37">
        <f t="shared" si="242"/>
        <v>5</v>
      </c>
      <c r="K604" s="37">
        <f>IF(J604=0,0,IF(B604="F",VLOOKUP(I604,Barem!$G$2:$H$16,2,1),VLOOKUP(I604,Barem!$G$17:$H$31,2,1)))</f>
        <v>1.25</v>
      </c>
      <c r="L604" s="50">
        <v>2.5</v>
      </c>
      <c r="M604" s="124" t="s">
        <v>106</v>
      </c>
      <c r="N604" s="10">
        <f t="shared" si="233"/>
        <v>0.5</v>
      </c>
      <c r="O604" s="10">
        <f t="shared" si="233"/>
        <v>0.25</v>
      </c>
      <c r="P604" s="10">
        <f t="shared" si="233"/>
        <v>0.25</v>
      </c>
      <c r="Q604" s="40">
        <f t="shared" si="243"/>
        <v>0.77933333333333332</v>
      </c>
      <c r="R604" s="21">
        <f>IF(D604&gt;21,VLOOKUP(D604,Barem!$T$1:$U$141,2,1),0)</f>
        <v>0.1</v>
      </c>
      <c r="S604" s="152">
        <f>IF(D604&lt;1.609,0,IF(B604="F",VLOOKUP(I604,Barem!$X$2:$Z$13,2,1),VLOOKUP(I604,Barem!$X$14:$Z$25,2,1)))</f>
        <v>0</v>
      </c>
      <c r="T604" s="21">
        <f>VLOOKUP(A604,Participanti!A:C,3,0)</f>
        <v>0</v>
      </c>
      <c r="U604" s="18">
        <f t="shared" si="244"/>
        <v>4.3168333333333333</v>
      </c>
      <c r="V604" s="58" t="s">
        <v>462</v>
      </c>
      <c r="W604" s="77">
        <f t="shared" si="232"/>
        <v>1</v>
      </c>
      <c r="X604" s="1" t="str">
        <f>VLOOKUP(A604,Data_Echipe!A:R,18,0)</f>
        <v>UltraHaita lu' Borcan</v>
      </c>
      <c r="Z604" s="115">
        <f t="shared" si="245"/>
        <v>1</v>
      </c>
    </row>
    <row r="605" spans="1:26" x14ac:dyDescent="0.3">
      <c r="A605" s="49" t="s">
        <v>78</v>
      </c>
      <c r="B605" s="1" t="str">
        <f>VLOOKUP(A605,Participanti!A:B,2,0)</f>
        <v>M</v>
      </c>
      <c r="C605" s="74">
        <v>7</v>
      </c>
      <c r="D605" s="50">
        <v>42.43</v>
      </c>
      <c r="E605" s="51">
        <v>0.29454861111111114</v>
      </c>
      <c r="F605" s="51">
        <v>0.31538194444444445</v>
      </c>
      <c r="G605" s="69">
        <f t="shared" si="240"/>
        <v>0.30496527777777782</v>
      </c>
      <c r="H605" s="52">
        <v>414</v>
      </c>
      <c r="I605" s="12">
        <f t="shared" si="241"/>
        <v>7.187491816586798E-3</v>
      </c>
      <c r="J605" s="37">
        <f t="shared" si="242"/>
        <v>5</v>
      </c>
      <c r="K605" s="37">
        <f>IF(J605=0,0,IF(B605="F",VLOOKUP(I605,Barem!$G$2:$H$16,2,1),VLOOKUP(I605,Barem!$G$17:$H$31,2,1)))</f>
        <v>0</v>
      </c>
      <c r="L605" s="50">
        <v>3.25</v>
      </c>
      <c r="M605" s="124" t="s">
        <v>107</v>
      </c>
      <c r="N605" s="10">
        <f t="shared" si="233"/>
        <v>0.25</v>
      </c>
      <c r="O605" s="10">
        <f t="shared" si="233"/>
        <v>0.5</v>
      </c>
      <c r="P605" s="10">
        <f t="shared" si="233"/>
        <v>0.25</v>
      </c>
      <c r="Q605" s="40">
        <f t="shared" si="243"/>
        <v>0.27600000000000002</v>
      </c>
      <c r="R605" s="21">
        <f>IF(D605&gt;21,VLOOKUP(D605,Barem!$T$1:$U$141,2,1),0)</f>
        <v>1</v>
      </c>
      <c r="S605" s="152">
        <f>IF(D605&lt;1.609,0,IF(B605="F",VLOOKUP(I605,Barem!$X$2:$Z$13,2,1),VLOOKUP(I605,Barem!$X$14:$Z$25,2,1)))</f>
        <v>0</v>
      </c>
      <c r="T605" s="21">
        <f>VLOOKUP(A605,Participanti!A:C,3,0)</f>
        <v>0.4</v>
      </c>
      <c r="U605" s="18">
        <f t="shared" si="244"/>
        <v>3.7384999999999997</v>
      </c>
      <c r="V605" s="58" t="s">
        <v>462</v>
      </c>
      <c r="W605" s="77">
        <f t="shared" si="232"/>
        <v>1</v>
      </c>
      <c r="X605" s="1" t="str">
        <f>VLOOKUP(A605,Data_Echipe!A:R,18,0)</f>
        <v>Almost Kenyan Runners</v>
      </c>
      <c r="Z605" s="115">
        <f t="shared" si="245"/>
        <v>0</v>
      </c>
    </row>
    <row r="606" spans="1:26" x14ac:dyDescent="0.3">
      <c r="A606" s="49" t="s">
        <v>206</v>
      </c>
      <c r="B606" s="1" t="str">
        <f>VLOOKUP(A606,Participanti!A:B,2,0)</f>
        <v>M</v>
      </c>
      <c r="C606" s="74">
        <v>7</v>
      </c>
      <c r="D606" s="50">
        <v>25.07</v>
      </c>
      <c r="E606" s="51">
        <v>9.0659722222222225E-2</v>
      </c>
      <c r="F606" s="51">
        <v>9.6921296296296297E-2</v>
      </c>
      <c r="G606" s="69">
        <f t="shared" si="240"/>
        <v>9.3790509259259261E-2</v>
      </c>
      <c r="H606" s="52"/>
      <c r="I606" s="12">
        <f t="shared" si="241"/>
        <v>3.7411451639114183E-3</v>
      </c>
      <c r="J606" s="37">
        <f t="shared" si="242"/>
        <v>5</v>
      </c>
      <c r="K606" s="37">
        <f>IF(J606=0,0,IF(B606="F",VLOOKUP(I606,Barem!$G$2:$H$16,2,1),VLOOKUP(I606,Barem!$G$17:$H$31,2,1)))</f>
        <v>2</v>
      </c>
      <c r="L606" s="50">
        <v>2</v>
      </c>
      <c r="M606" s="124" t="s">
        <v>106</v>
      </c>
      <c r="N606" s="10">
        <f t="shared" si="233"/>
        <v>0.5</v>
      </c>
      <c r="O606" s="10">
        <f t="shared" si="233"/>
        <v>0.25</v>
      </c>
      <c r="P606" s="10">
        <f t="shared" si="233"/>
        <v>0.25</v>
      </c>
      <c r="Q606" s="40">
        <f t="shared" si="243"/>
        <v>0</v>
      </c>
      <c r="R606" s="21">
        <f>IF(D606&gt;21,VLOOKUP(D606,Barem!$T$1:$U$141,2,1),0)</f>
        <v>0.2</v>
      </c>
      <c r="S606" s="152">
        <f>IF(D606&lt;1.609,0,IF(B606="F",VLOOKUP(I606,Barem!$X$2:$Z$13,2,1),VLOOKUP(I606,Barem!$X$14:$Z$25,2,1)))</f>
        <v>0</v>
      </c>
      <c r="T606" s="21">
        <f>VLOOKUP(A606,Participanti!A:C,3,0)</f>
        <v>0</v>
      </c>
      <c r="U606" s="18">
        <f t="shared" si="244"/>
        <v>3.7</v>
      </c>
      <c r="V606" s="58" t="s">
        <v>462</v>
      </c>
      <c r="W606" s="77">
        <f t="shared" si="232"/>
        <v>1</v>
      </c>
      <c r="X606" s="1" t="e">
        <f>VLOOKUP(A606,Data_Echipe!A:R,18,0)</f>
        <v>#N/A</v>
      </c>
      <c r="Z606" s="115">
        <f t="shared" si="245"/>
        <v>1</v>
      </c>
    </row>
    <row r="607" spans="1:26" x14ac:dyDescent="0.3">
      <c r="A607" s="49" t="s">
        <v>49</v>
      </c>
      <c r="B607" s="1" t="str">
        <f>VLOOKUP(A607,Participanti!A:B,2,0)</f>
        <v>M</v>
      </c>
      <c r="C607" s="74">
        <v>7</v>
      </c>
      <c r="D607" s="50">
        <v>42.22</v>
      </c>
      <c r="E607" s="51">
        <v>0.16181712962962963</v>
      </c>
      <c r="F607" s="51">
        <v>0.17686342592592594</v>
      </c>
      <c r="G607" s="69">
        <f t="shared" si="240"/>
        <v>0.16934027777777777</v>
      </c>
      <c r="H607" s="52">
        <v>148</v>
      </c>
      <c r="I607" s="12">
        <f t="shared" si="241"/>
        <v>4.0109018895731355E-3</v>
      </c>
      <c r="J607" s="37">
        <f t="shared" si="242"/>
        <v>5</v>
      </c>
      <c r="K607" s="37">
        <f>IF(J607=0,0,IF(B607="F",VLOOKUP(I607,Barem!$G$2:$H$16,2,1),VLOOKUP(I607,Barem!$G$17:$H$31,2,1)))</f>
        <v>1.5</v>
      </c>
      <c r="L607" s="50">
        <v>4</v>
      </c>
      <c r="M607" s="124" t="s">
        <v>106</v>
      </c>
      <c r="N607" s="10">
        <f t="shared" si="233"/>
        <v>0.5</v>
      </c>
      <c r="O607" s="10">
        <f t="shared" si="233"/>
        <v>0.25</v>
      </c>
      <c r="P607" s="10">
        <f t="shared" si="233"/>
        <v>0.25</v>
      </c>
      <c r="Q607" s="40">
        <f t="shared" si="243"/>
        <v>9.8666666666666666E-2</v>
      </c>
      <c r="R607" s="21">
        <f>IF(D607&gt;21,VLOOKUP(D607,Barem!$T$1:$U$141,2,1),0)</f>
        <v>1</v>
      </c>
      <c r="S607" s="152">
        <f>IF(D607&lt;1.609,0,IF(B607="F",VLOOKUP(I607,Barem!$X$2:$Z$13,2,1),VLOOKUP(I607,Barem!$X$14:$Z$25,2,1)))</f>
        <v>0</v>
      </c>
      <c r="T607" s="21">
        <f>VLOOKUP(A607,Participanti!A:C,3,0)</f>
        <v>0</v>
      </c>
      <c r="U607" s="18">
        <f t="shared" si="244"/>
        <v>4.9736666666666665</v>
      </c>
      <c r="V607" s="58" t="s">
        <v>462</v>
      </c>
      <c r="W607" s="77">
        <f t="shared" si="232"/>
        <v>1</v>
      </c>
      <c r="X607" s="1" t="str">
        <f>VLOOKUP(A607,Data_Echipe!A:R,18,0)</f>
        <v>The GOATs</v>
      </c>
      <c r="Z607" s="115">
        <f t="shared" si="245"/>
        <v>1</v>
      </c>
    </row>
    <row r="608" spans="1:26" x14ac:dyDescent="0.3">
      <c r="A608" s="49" t="s">
        <v>331</v>
      </c>
      <c r="B608" s="1" t="str">
        <f>VLOOKUP(A608,Participanti!A:B,2,0)</f>
        <v>F</v>
      </c>
      <c r="C608" s="74">
        <v>7</v>
      </c>
      <c r="D608" s="50">
        <v>10.1</v>
      </c>
      <c r="E608" s="51">
        <v>4.3159722222222224E-2</v>
      </c>
      <c r="F608" s="51">
        <v>4.3831018518518512E-2</v>
      </c>
      <c r="G608" s="69">
        <f t="shared" si="240"/>
        <v>4.3495370370370365E-2</v>
      </c>
      <c r="H608" s="52"/>
      <c r="I608" s="12">
        <f t="shared" si="241"/>
        <v>4.3064723138980564E-3</v>
      </c>
      <c r="J608" s="37">
        <f t="shared" si="242"/>
        <v>2.5249999999999999</v>
      </c>
      <c r="K608" s="37">
        <f>IF(J608=0,0,IF(B608="F",VLOOKUP(I608,Barem!$G$2:$H$16,2,1),VLOOKUP(I608,Barem!$G$17:$H$31,2,1)))</f>
        <v>1.75</v>
      </c>
      <c r="L608" s="50">
        <v>3.25</v>
      </c>
      <c r="M608" s="124" t="s">
        <v>106</v>
      </c>
      <c r="N608" s="10">
        <f t="shared" si="233"/>
        <v>0.5</v>
      </c>
      <c r="O608" s="10">
        <f t="shared" si="233"/>
        <v>0.25</v>
      </c>
      <c r="P608" s="10">
        <f t="shared" si="233"/>
        <v>0.25</v>
      </c>
      <c r="Q608" s="40">
        <f t="shared" si="243"/>
        <v>0</v>
      </c>
      <c r="R608" s="21">
        <f>IF(D608&gt;21,VLOOKUP(D608,Barem!$T$1:$U$141,2,1),0)</f>
        <v>0</v>
      </c>
      <c r="S608" s="152">
        <f>IF(D608&lt;1.609,0,IF(B608="F",VLOOKUP(I608,Barem!$X$2:$Z$13,2,1),VLOOKUP(I608,Barem!$X$14:$Z$25,2,1)))</f>
        <v>0</v>
      </c>
      <c r="T608" s="21">
        <f>VLOOKUP(A608,Participanti!A:C,3,0)</f>
        <v>0</v>
      </c>
      <c r="U608" s="18">
        <f t="shared" si="244"/>
        <v>2.5125000000000002</v>
      </c>
      <c r="V608" s="58" t="s">
        <v>462</v>
      </c>
      <c r="W608" s="77">
        <f t="shared" si="232"/>
        <v>1</v>
      </c>
      <c r="X608" s="1" t="str">
        <f>VLOOKUP(A608,Data_Echipe!A:R,18,0)</f>
        <v>MedgidiaRunning</v>
      </c>
      <c r="Z608" s="115">
        <f t="shared" si="245"/>
        <v>1</v>
      </c>
    </row>
    <row r="609" spans="1:26" x14ac:dyDescent="0.3">
      <c r="A609" s="49" t="s">
        <v>248</v>
      </c>
      <c r="B609" s="1" t="str">
        <f>VLOOKUP(A609,Participanti!A:B,2,0)</f>
        <v>M</v>
      </c>
      <c r="C609" s="74">
        <v>7</v>
      </c>
      <c r="D609" s="50">
        <v>10.050000000000001</v>
      </c>
      <c r="E609" s="51">
        <v>3.3425925925925921E-2</v>
      </c>
      <c r="F609" s="51">
        <v>3.363425925925926E-2</v>
      </c>
      <c r="G609" s="69">
        <f t="shared" si="240"/>
        <v>3.3530092592592591E-2</v>
      </c>
      <c r="H609" s="52"/>
      <c r="I609" s="12">
        <f t="shared" si="241"/>
        <v>3.3363276211534915E-3</v>
      </c>
      <c r="J609" s="37">
        <f t="shared" si="242"/>
        <v>2.3928571428571428</v>
      </c>
      <c r="K609" s="37">
        <f>IF(J609=0,0,IF(B609="F",VLOOKUP(I609,Barem!$G$2:$H$16,2,1),VLOOKUP(I609,Barem!$G$17:$H$31,2,1)))</f>
        <v>3</v>
      </c>
      <c r="L609" s="50">
        <v>4</v>
      </c>
      <c r="M609" s="124" t="s">
        <v>106</v>
      </c>
      <c r="N609" s="10">
        <f t="shared" ref="N609:P624" si="246">IF($M609=N$1,50%,25%)</f>
        <v>0.5</v>
      </c>
      <c r="O609" s="10">
        <f t="shared" si="246"/>
        <v>0.25</v>
      </c>
      <c r="P609" s="10">
        <f t="shared" si="246"/>
        <v>0.25</v>
      </c>
      <c r="Q609" s="40">
        <f t="shared" si="243"/>
        <v>0</v>
      </c>
      <c r="R609" s="21">
        <f>IF(D609&gt;21,VLOOKUP(D609,Barem!$T$1:$U$141,2,1),0)</f>
        <v>0</v>
      </c>
      <c r="S609" s="152">
        <f>IF(D609&lt;1.609,0,IF(B609="F",VLOOKUP(I609,Barem!$X$2:$Z$13,2,1),VLOOKUP(I609,Barem!$X$14:$Z$25,2,1)))</f>
        <v>0</v>
      </c>
      <c r="T609" s="21">
        <f>VLOOKUP(A609,Participanti!A:C,3,0)</f>
        <v>0</v>
      </c>
      <c r="U609" s="18">
        <f t="shared" si="244"/>
        <v>2.9464285714285712</v>
      </c>
      <c r="V609" s="58" t="s">
        <v>462</v>
      </c>
      <c r="W609" s="77">
        <f t="shared" si="232"/>
        <v>1</v>
      </c>
      <c r="X609" s="1" t="str">
        <f>VLOOKUP(A609,Data_Echipe!A:R,18,0)</f>
        <v>Almost Kenyan Runners</v>
      </c>
      <c r="Z609" s="115">
        <f t="shared" si="245"/>
        <v>1</v>
      </c>
    </row>
    <row r="610" spans="1:26" x14ac:dyDescent="0.3">
      <c r="A610" s="49" t="s">
        <v>114</v>
      </c>
      <c r="B610" s="1" t="str">
        <f>VLOOKUP(A610,Participanti!A:B,2,0)</f>
        <v>M</v>
      </c>
      <c r="C610" s="74">
        <v>7</v>
      </c>
      <c r="D610" s="50">
        <v>13.02</v>
      </c>
      <c r="E610" s="51">
        <v>7.1076388888888883E-2</v>
      </c>
      <c r="F610" s="51">
        <v>7.3275462962962959E-2</v>
      </c>
      <c r="G610" s="69">
        <f t="shared" si="240"/>
        <v>7.2175925925925921E-2</v>
      </c>
      <c r="H610" s="52"/>
      <c r="I610" s="12">
        <f t="shared" si="241"/>
        <v>5.5434658929282583E-3</v>
      </c>
      <c r="J610" s="37">
        <f t="shared" si="242"/>
        <v>3.0999999999999996</v>
      </c>
      <c r="K610" s="37">
        <f>IF(J610=0,0,IF(B610="F",VLOOKUP(I610,Barem!$G$2:$H$16,2,1),VLOOKUP(I610,Barem!$G$17:$H$31,2,1)))</f>
        <v>0.25</v>
      </c>
      <c r="L610" s="50">
        <v>1.5</v>
      </c>
      <c r="M610" s="124" t="s">
        <v>106</v>
      </c>
      <c r="N610" s="10">
        <f t="shared" si="246"/>
        <v>0.5</v>
      </c>
      <c r="O610" s="10">
        <f t="shared" si="246"/>
        <v>0.25</v>
      </c>
      <c r="P610" s="10">
        <f t="shared" si="246"/>
        <v>0.25</v>
      </c>
      <c r="Q610" s="40">
        <f t="shared" si="243"/>
        <v>0</v>
      </c>
      <c r="R610" s="21">
        <f>IF(D610&gt;21,VLOOKUP(D610,Barem!$T$1:$U$141,2,1),0)</f>
        <v>0</v>
      </c>
      <c r="S610" s="152">
        <f>IF(D610&lt;1.609,0,IF(B610="F",VLOOKUP(I610,Barem!$X$2:$Z$13,2,1),VLOOKUP(I610,Barem!$X$14:$Z$25,2,1)))</f>
        <v>0</v>
      </c>
      <c r="T610" s="21">
        <f>VLOOKUP(A610,Participanti!A:C,3,0)</f>
        <v>0</v>
      </c>
      <c r="U610" s="18">
        <f t="shared" si="244"/>
        <v>1.9874999999999998</v>
      </c>
      <c r="V610" s="58" t="s">
        <v>462</v>
      </c>
      <c r="W610" s="77">
        <f t="shared" si="232"/>
        <v>1</v>
      </c>
      <c r="X610" s="1" t="str">
        <f>VLOOKUP(A610,Data_Echipe!A:R,18,0)</f>
        <v>#notSYRious</v>
      </c>
      <c r="Z610" s="115">
        <f t="shared" si="245"/>
        <v>1</v>
      </c>
    </row>
    <row r="611" spans="1:26" x14ac:dyDescent="0.3">
      <c r="A611" s="49" t="s">
        <v>376</v>
      </c>
      <c r="B611" s="1" t="str">
        <f>VLOOKUP(A611,Participanti!A:B,2,0)</f>
        <v>M</v>
      </c>
      <c r="C611" s="74">
        <v>7</v>
      </c>
      <c r="D611" s="50">
        <v>22.89</v>
      </c>
      <c r="E611" s="51">
        <v>6.458333333333334E-2</v>
      </c>
      <c r="F611" s="51">
        <v>6.458333333333334E-2</v>
      </c>
      <c r="G611" s="69">
        <f t="shared" si="240"/>
        <v>6.458333333333334E-2</v>
      </c>
      <c r="H611" s="52"/>
      <c r="I611" s="12">
        <f t="shared" si="241"/>
        <v>2.8214649774282803E-3</v>
      </c>
      <c r="J611" s="37">
        <f t="shared" si="242"/>
        <v>5</v>
      </c>
      <c r="K611" s="37">
        <f>IF(J611=0,0,IF(B611="F",VLOOKUP(I611,Barem!$G$2:$H$16,2,1),VLOOKUP(I611,Barem!$G$17:$H$31,2,1)))</f>
        <v>4.5</v>
      </c>
      <c r="L611" s="50">
        <v>0.5</v>
      </c>
      <c r="M611" s="124" t="s">
        <v>106</v>
      </c>
      <c r="N611" s="10">
        <f t="shared" si="246"/>
        <v>0.5</v>
      </c>
      <c r="O611" s="10">
        <f t="shared" si="246"/>
        <v>0.25</v>
      </c>
      <c r="P611" s="10">
        <f t="shared" si="246"/>
        <v>0.25</v>
      </c>
      <c r="Q611" s="40">
        <f t="shared" si="243"/>
        <v>0</v>
      </c>
      <c r="R611" s="21">
        <f>IF(D611&gt;21,VLOOKUP(D611,Barem!$T$1:$U$141,2,1),0)</f>
        <v>0</v>
      </c>
      <c r="S611" s="152">
        <f>IF(D611&lt;1.609,0,IF(B611="F",VLOOKUP(I611,Barem!$X$2:$Z$13,2,1),VLOOKUP(I611,Barem!$X$14:$Z$25,2,1)))</f>
        <v>0</v>
      </c>
      <c r="T611" s="21">
        <f>VLOOKUP(A611,Participanti!A:C,3,0)</f>
        <v>0</v>
      </c>
      <c r="U611" s="18">
        <f t="shared" si="244"/>
        <v>3.75</v>
      </c>
      <c r="V611" s="58" t="s">
        <v>462</v>
      </c>
      <c r="W611" s="77">
        <f t="shared" si="232"/>
        <v>1</v>
      </c>
      <c r="X611" s="1" t="e">
        <f>VLOOKUP(A611,Data_Echipe!A:R,18,0)</f>
        <v>#N/A</v>
      </c>
      <c r="Z611" s="115">
        <f t="shared" si="245"/>
        <v>1</v>
      </c>
    </row>
    <row r="612" spans="1:26" x14ac:dyDescent="0.3">
      <c r="A612" s="49" t="s">
        <v>374</v>
      </c>
      <c r="B612" s="1" t="str">
        <f>VLOOKUP(A612,Participanti!A:B,2,0)</f>
        <v>M</v>
      </c>
      <c r="C612" s="74">
        <v>7</v>
      </c>
      <c r="D612" s="50">
        <v>8.06</v>
      </c>
      <c r="E612" s="51">
        <v>2.0960648148148148E-2</v>
      </c>
      <c r="F612" s="51">
        <v>2.0960648148148148E-2</v>
      </c>
      <c r="G612" s="69">
        <f t="shared" si="240"/>
        <v>2.0960648148148148E-2</v>
      </c>
      <c r="H612" s="52"/>
      <c r="I612" s="12">
        <f t="shared" si="241"/>
        <v>2.6005766933186285E-3</v>
      </c>
      <c r="J612" s="37">
        <f t="shared" si="242"/>
        <v>1.9190476190476191</v>
      </c>
      <c r="K612" s="37">
        <f>IF(J612=0,0,IF(B612="F",VLOOKUP(I612,Barem!$G$2:$H$16,2,1),VLOOKUP(I612,Barem!$G$17:$H$31,2,1)))</f>
        <v>5</v>
      </c>
      <c r="L612" s="50">
        <v>2.25</v>
      </c>
      <c r="M612" s="124" t="s">
        <v>107</v>
      </c>
      <c r="N612" s="10">
        <f t="shared" si="246"/>
        <v>0.25</v>
      </c>
      <c r="O612" s="10">
        <f t="shared" si="246"/>
        <v>0.5</v>
      </c>
      <c r="P612" s="10">
        <f t="shared" si="246"/>
        <v>0.25</v>
      </c>
      <c r="Q612" s="40">
        <f t="shared" si="243"/>
        <v>0</v>
      </c>
      <c r="R612" s="21">
        <f>IF(D612&gt;21,VLOOKUP(D612,Barem!$T$1:$U$141,2,1),0)</f>
        <v>0</v>
      </c>
      <c r="S612" s="152">
        <f>IF(D612&lt;1.609,0,IF(B612="F",VLOOKUP(I612,Barem!$X$2:$Z$13,2,1),VLOOKUP(I612,Barem!$X$14:$Z$25,2,1)))</f>
        <v>1.4999999999999998</v>
      </c>
      <c r="T612" s="21">
        <f>VLOOKUP(A612,Participanti!A:C,3,0)</f>
        <v>0</v>
      </c>
      <c r="U612" s="18">
        <f t="shared" si="244"/>
        <v>5.0422619047619044</v>
      </c>
      <c r="V612" s="58" t="s">
        <v>462</v>
      </c>
      <c r="W612" s="77">
        <f t="shared" si="232"/>
        <v>1</v>
      </c>
      <c r="X612" s="1" t="e">
        <f>VLOOKUP(A612,Data_Echipe!A:R,18,0)</f>
        <v>#N/A</v>
      </c>
      <c r="Z612" s="115">
        <f t="shared" si="245"/>
        <v>1</v>
      </c>
    </row>
    <row r="613" spans="1:26" x14ac:dyDescent="0.3">
      <c r="A613" s="49" t="s">
        <v>122</v>
      </c>
      <c r="B613" s="1" t="str">
        <f>VLOOKUP(A613,Participanti!A:B,2,0)</f>
        <v>M</v>
      </c>
      <c r="C613" s="74">
        <v>7</v>
      </c>
      <c r="D613" s="50">
        <v>9.34</v>
      </c>
      <c r="E613" s="51">
        <v>3.5428240740740739E-2</v>
      </c>
      <c r="F613" s="51">
        <v>3.5497685185185188E-2</v>
      </c>
      <c r="G613" s="69">
        <f t="shared" ref="G613:G619" si="247">AVERAGE(E613:F613)</f>
        <v>3.546296296296296E-2</v>
      </c>
      <c r="H613" s="52"/>
      <c r="I613" s="12">
        <f t="shared" ref="I613:I619" si="248">G613/D613</f>
        <v>3.7968911095249422E-3</v>
      </c>
      <c r="J613" s="37">
        <f t="shared" ref="J613:J619" si="249">IF(B613="F",IF(D613&lt;2.5,0,IF(D613&gt;19.99,5,D613/4)),IF(D613&lt;3,0, IF(D613&gt;20.99,5,D613/4.2)))</f>
        <v>2.2238095238095239</v>
      </c>
      <c r="K613" s="37">
        <f>IF(J613=0,0,IF(B613="F",VLOOKUP(I613,Barem!$G$2:$H$16,2,1),VLOOKUP(I613,Barem!$G$17:$H$31,2,1)))</f>
        <v>2</v>
      </c>
      <c r="L613" s="50">
        <v>2.25</v>
      </c>
      <c r="M613" s="124" t="s">
        <v>106</v>
      </c>
      <c r="N613" s="10">
        <f t="shared" si="246"/>
        <v>0.5</v>
      </c>
      <c r="O613" s="10">
        <f t="shared" si="246"/>
        <v>0.25</v>
      </c>
      <c r="P613" s="10">
        <f t="shared" si="246"/>
        <v>0.25</v>
      </c>
      <c r="Q613" s="40">
        <f t="shared" ref="Q613:Q619" si="250">IF(H613&gt;49,H613/1500,0)</f>
        <v>0</v>
      </c>
      <c r="R613" s="21">
        <f>IF(D613&gt;21,VLOOKUP(D613,Barem!$T$1:$U$141,2,1),0)</f>
        <v>0</v>
      </c>
      <c r="S613" s="152">
        <f>IF(D613&lt;1.609,0,IF(B613="F",VLOOKUP(I613,Barem!$X$2:$Z$13,2,1),VLOOKUP(I613,Barem!$X$14:$Z$25,2,1)))</f>
        <v>0</v>
      </c>
      <c r="T613" s="21">
        <f>VLOOKUP(A613,Participanti!A:C,3,0)</f>
        <v>0</v>
      </c>
      <c r="U613" s="18">
        <f t="shared" ref="U613:U619" si="251">IF(H613&lt;0,0,J613*N613+K613*O613+L613*P613+Q613+R613+S613+T613)</f>
        <v>2.174404761904762</v>
      </c>
      <c r="V613" s="58" t="s">
        <v>462</v>
      </c>
      <c r="W613" s="77">
        <f t="shared" si="232"/>
        <v>1</v>
      </c>
      <c r="X613" s="1" t="str">
        <f>VLOOKUP(A613,Data_Echipe!A:R,18,0)</f>
        <v>#notSYRious</v>
      </c>
      <c r="Z613" s="115">
        <f t="shared" ref="Z613:Z619" si="252">IF(K613&gt;0,1,0)</f>
        <v>1</v>
      </c>
    </row>
    <row r="614" spans="1:26" x14ac:dyDescent="0.3">
      <c r="A614" s="49" t="s">
        <v>362</v>
      </c>
      <c r="B614" s="1" t="str">
        <f>VLOOKUP(A614,Participanti!A:B,2,0)</f>
        <v>M</v>
      </c>
      <c r="C614" s="74">
        <v>7</v>
      </c>
      <c r="D614" s="50">
        <v>9.0500000000000007</v>
      </c>
      <c r="E614" s="51">
        <v>4.282407407407407E-2</v>
      </c>
      <c r="F614" s="51">
        <v>7.402777777777779E-2</v>
      </c>
      <c r="G614" s="69">
        <f t="shared" si="247"/>
        <v>5.842592592592593E-2</v>
      </c>
      <c r="H614" s="52">
        <v>808</v>
      </c>
      <c r="I614" s="12">
        <f t="shared" si="248"/>
        <v>6.4559034172293837E-3</v>
      </c>
      <c r="J614" s="37">
        <f t="shared" si="249"/>
        <v>2.1547619047619047</v>
      </c>
      <c r="K614" s="37">
        <f>IF(J614=0,0,IF(B614="F",VLOOKUP(I614,Barem!$G$2:$H$16,2,1),VLOOKUP(I614,Barem!$G$17:$H$31,2,1)))</f>
        <v>0</v>
      </c>
      <c r="L614" s="50">
        <v>2</v>
      </c>
      <c r="M614" s="124" t="s">
        <v>106</v>
      </c>
      <c r="N614" s="10">
        <f t="shared" si="246"/>
        <v>0.5</v>
      </c>
      <c r="O614" s="10">
        <f t="shared" si="246"/>
        <v>0.25</v>
      </c>
      <c r="P614" s="10">
        <f t="shared" si="246"/>
        <v>0.25</v>
      </c>
      <c r="Q614" s="40">
        <f t="shared" si="250"/>
        <v>0.53866666666666663</v>
      </c>
      <c r="R614" s="21">
        <f>IF(D614&gt;21,VLOOKUP(D614,Barem!$T$1:$U$141,2,1),0)</f>
        <v>0</v>
      </c>
      <c r="S614" s="152">
        <f>IF(D614&lt;1.609,0,IF(B614="F",VLOOKUP(I614,Barem!$X$2:$Z$13,2,1),VLOOKUP(I614,Barem!$X$14:$Z$25,2,1)))</f>
        <v>0</v>
      </c>
      <c r="T614" s="21">
        <f>VLOOKUP(A614,Participanti!A:C,3,0)</f>
        <v>0</v>
      </c>
      <c r="U614" s="18">
        <f t="shared" si="251"/>
        <v>2.116047619047619</v>
      </c>
      <c r="V614" s="58" t="s">
        <v>462</v>
      </c>
      <c r="W614" s="77">
        <f t="shared" si="232"/>
        <v>1</v>
      </c>
      <c r="X614" s="1" t="e">
        <f>VLOOKUP(A614,Data_Echipe!A:R,18,0)</f>
        <v>#N/A</v>
      </c>
      <c r="Z614" s="115">
        <f t="shared" si="252"/>
        <v>0</v>
      </c>
    </row>
    <row r="615" spans="1:26" x14ac:dyDescent="0.3">
      <c r="A615" s="49" t="s">
        <v>51</v>
      </c>
      <c r="B615" s="1" t="str">
        <f>VLOOKUP(A615,Participanti!A:B,2,0)</f>
        <v>M</v>
      </c>
      <c r="C615" s="74">
        <v>7</v>
      </c>
      <c r="D615" s="50">
        <v>32.049999999999997</v>
      </c>
      <c r="E615" s="51">
        <v>0.14130787037037038</v>
      </c>
      <c r="F615" s="51">
        <v>0.14349537037037038</v>
      </c>
      <c r="G615" s="69">
        <f t="shared" si="247"/>
        <v>0.14240162037037038</v>
      </c>
      <c r="H615" s="52">
        <v>1029</v>
      </c>
      <c r="I615" s="12">
        <f t="shared" si="248"/>
        <v>4.4431082798867521E-3</v>
      </c>
      <c r="J615" s="37">
        <f t="shared" si="249"/>
        <v>5</v>
      </c>
      <c r="K615" s="37">
        <f>IF(J615=0,0,IF(B615="F",VLOOKUP(I615,Barem!$G$2:$H$16,2,1),VLOOKUP(I615,Barem!$G$17:$H$31,2,1)))</f>
        <v>1</v>
      </c>
      <c r="L615" s="50">
        <v>4</v>
      </c>
      <c r="M615" s="124" t="s">
        <v>207</v>
      </c>
      <c r="N615" s="10">
        <f t="shared" si="246"/>
        <v>0.25</v>
      </c>
      <c r="O615" s="10">
        <f t="shared" si="246"/>
        <v>0.25</v>
      </c>
      <c r="P615" s="10">
        <f t="shared" si="246"/>
        <v>0.5</v>
      </c>
      <c r="Q615" s="40">
        <f t="shared" si="250"/>
        <v>0.68600000000000005</v>
      </c>
      <c r="R615" s="21">
        <f>IF(D615&gt;21,VLOOKUP(D615,Barem!$T$1:$U$141,2,1),0)</f>
        <v>0.5</v>
      </c>
      <c r="S615" s="152">
        <f>IF(D615&lt;1.609,0,IF(B615="F",VLOOKUP(I615,Barem!$X$2:$Z$13,2,1),VLOOKUP(I615,Barem!$X$14:$Z$25,2,1)))</f>
        <v>0</v>
      </c>
      <c r="T615" s="21">
        <f>VLOOKUP(A615,Participanti!A:C,3,0)</f>
        <v>0</v>
      </c>
      <c r="U615" s="18">
        <f t="shared" si="251"/>
        <v>4.6859999999999999</v>
      </c>
      <c r="V615" s="58" t="s">
        <v>462</v>
      </c>
      <c r="W615" s="77">
        <f t="shared" si="232"/>
        <v>1</v>
      </c>
      <c r="X615" s="1" t="str">
        <f>VLOOKUP(A615,Data_Echipe!A:R,18,0)</f>
        <v>The GOATs</v>
      </c>
      <c r="Z615" s="115">
        <f t="shared" si="252"/>
        <v>1</v>
      </c>
    </row>
    <row r="616" spans="1:26" x14ac:dyDescent="0.3">
      <c r="A616" s="49" t="s">
        <v>170</v>
      </c>
      <c r="B616" s="1" t="str">
        <f>VLOOKUP(A616,Participanti!A:B,2,0)</f>
        <v>F</v>
      </c>
      <c r="C616" s="74">
        <v>7</v>
      </c>
      <c r="D616" s="50">
        <v>10.050000000000001</v>
      </c>
      <c r="E616" s="51">
        <v>3.5671296296296298E-2</v>
      </c>
      <c r="F616" s="51">
        <v>3.5671296296296298E-2</v>
      </c>
      <c r="G616" s="69">
        <f t="shared" si="247"/>
        <v>3.5671296296296298E-2</v>
      </c>
      <c r="H616" s="52"/>
      <c r="I616" s="12">
        <f t="shared" si="248"/>
        <v>3.5493827160493828E-3</v>
      </c>
      <c r="J616" s="37">
        <f t="shared" si="249"/>
        <v>2.5125000000000002</v>
      </c>
      <c r="K616" s="37">
        <f>IF(J616=0,0,IF(B616="F",VLOOKUP(I616,Barem!$G$2:$H$16,2,1),VLOOKUP(I616,Barem!$G$17:$H$31,2,1)))</f>
        <v>3.5</v>
      </c>
      <c r="L616" s="50">
        <v>1.25</v>
      </c>
      <c r="M616" s="124" t="s">
        <v>107</v>
      </c>
      <c r="N616" s="10">
        <f t="shared" si="246"/>
        <v>0.25</v>
      </c>
      <c r="O616" s="10">
        <f t="shared" si="246"/>
        <v>0.5</v>
      </c>
      <c r="P616" s="10">
        <f t="shared" si="246"/>
        <v>0.25</v>
      </c>
      <c r="Q616" s="40">
        <f t="shared" si="250"/>
        <v>0</v>
      </c>
      <c r="R616" s="21">
        <f>IF(D616&gt;21,VLOOKUP(D616,Barem!$T$1:$U$141,2,1),0)</f>
        <v>0</v>
      </c>
      <c r="S616" s="152">
        <f>IF(D616&lt;1.609,0,IF(B616="F",VLOOKUP(I616,Barem!$X$2:$Z$13,2,1),VLOOKUP(I616,Barem!$X$14:$Z$25,2,1)))</f>
        <v>0</v>
      </c>
      <c r="T616" s="21">
        <f>VLOOKUP(A616,Participanti!A:C,3,0)</f>
        <v>0</v>
      </c>
      <c r="U616" s="18">
        <f t="shared" si="251"/>
        <v>2.6906249999999998</v>
      </c>
      <c r="V616" s="58" t="s">
        <v>462</v>
      </c>
      <c r="W616" s="77">
        <f t="shared" si="232"/>
        <v>1</v>
      </c>
      <c r="X616" s="1" t="str">
        <f>VLOOKUP(A616,Data_Echipe!A:R,18,0)</f>
        <v>Almost Kenyan Runners</v>
      </c>
      <c r="Z616" s="115">
        <f t="shared" si="252"/>
        <v>1</v>
      </c>
    </row>
    <row r="617" spans="1:26" x14ac:dyDescent="0.3">
      <c r="A617" s="49" t="s">
        <v>116</v>
      </c>
      <c r="B617" s="1" t="str">
        <f>VLOOKUP(A617,Participanti!A:B,2,0)</f>
        <v>F</v>
      </c>
      <c r="C617" s="74">
        <v>7</v>
      </c>
      <c r="D617" s="50">
        <v>7</v>
      </c>
      <c r="E617" s="51">
        <v>2.704861111111111E-2</v>
      </c>
      <c r="F617" s="51">
        <v>2.7488425925925927E-2</v>
      </c>
      <c r="G617" s="69">
        <f t="shared" si="247"/>
        <v>2.7268518518518518E-2</v>
      </c>
      <c r="H617" s="52"/>
      <c r="I617" s="12">
        <f t="shared" si="248"/>
        <v>3.8955026455026456E-3</v>
      </c>
      <c r="J617" s="37">
        <f t="shared" si="249"/>
        <v>1.75</v>
      </c>
      <c r="K617" s="37">
        <f>IF(J617=0,0,IF(B617="F",VLOOKUP(I617,Barem!$G$2:$H$16,2,1),VLOOKUP(I617,Barem!$G$17:$H$31,2,1)))</f>
        <v>2.5</v>
      </c>
      <c r="L617" s="50">
        <v>2.75</v>
      </c>
      <c r="M617" s="124" t="s">
        <v>106</v>
      </c>
      <c r="N617" s="10">
        <f t="shared" si="246"/>
        <v>0.5</v>
      </c>
      <c r="O617" s="10">
        <f t="shared" si="246"/>
        <v>0.25</v>
      </c>
      <c r="P617" s="10">
        <f t="shared" si="246"/>
        <v>0.25</v>
      </c>
      <c r="Q617" s="40">
        <f t="shared" si="250"/>
        <v>0</v>
      </c>
      <c r="R617" s="21">
        <f>IF(D617&gt;21,VLOOKUP(D617,Barem!$T$1:$U$141,2,1),0)</f>
        <v>0</v>
      </c>
      <c r="S617" s="152">
        <f>IF(D617&lt;1.609,0,IF(B617="F",VLOOKUP(I617,Barem!$X$2:$Z$13,2,1),VLOOKUP(I617,Barem!$X$14:$Z$25,2,1)))</f>
        <v>0</v>
      </c>
      <c r="T617" s="21">
        <f>VLOOKUP(A617,Participanti!A:C,3,0)</f>
        <v>0</v>
      </c>
      <c r="U617" s="18">
        <f t="shared" si="251"/>
        <v>2.1875</v>
      </c>
      <c r="V617" s="58" t="s">
        <v>462</v>
      </c>
      <c r="W617" s="77">
        <f t="shared" si="232"/>
        <v>1</v>
      </c>
      <c r="X617" s="1" t="str">
        <f>VLOOKUP(A617,Data_Echipe!A:R,18,0)</f>
        <v>#notSYRious</v>
      </c>
      <c r="Z617" s="115">
        <f t="shared" si="252"/>
        <v>1</v>
      </c>
    </row>
    <row r="618" spans="1:26" x14ac:dyDescent="0.3">
      <c r="A618" s="49" t="s">
        <v>136</v>
      </c>
      <c r="B618" s="1" t="str">
        <f>VLOOKUP(A618,Participanti!A:B,2,0)</f>
        <v>F</v>
      </c>
      <c r="C618" s="74">
        <v>8</v>
      </c>
      <c r="D618" s="50">
        <v>6.01</v>
      </c>
      <c r="E618" s="51">
        <v>2.3530092592592592E-2</v>
      </c>
      <c r="F618" s="51">
        <v>2.3576388888888893E-2</v>
      </c>
      <c r="G618" s="69">
        <f t="shared" si="247"/>
        <v>2.3553240740740743E-2</v>
      </c>
      <c r="H618" s="52"/>
      <c r="I618" s="12">
        <f t="shared" si="248"/>
        <v>3.9190084427189256E-3</v>
      </c>
      <c r="J618" s="37">
        <f t="shared" si="249"/>
        <v>1.5024999999999999</v>
      </c>
      <c r="K618" s="37">
        <f>IF(J618=0,0,IF(B618="F",VLOOKUP(I618,Barem!$G$2:$H$16,2,1),VLOOKUP(I618,Barem!$G$17:$H$31,2,1)))</f>
        <v>2.5</v>
      </c>
      <c r="L618" s="50">
        <v>2.25</v>
      </c>
      <c r="M618" s="124" t="s">
        <v>107</v>
      </c>
      <c r="N618" s="10">
        <f t="shared" si="246"/>
        <v>0.25</v>
      </c>
      <c r="O618" s="10">
        <f t="shared" si="246"/>
        <v>0.5</v>
      </c>
      <c r="P618" s="10">
        <f t="shared" si="246"/>
        <v>0.25</v>
      </c>
      <c r="Q618" s="40">
        <f t="shared" si="250"/>
        <v>0</v>
      </c>
      <c r="R618" s="21">
        <f>IF(D618&gt;21,VLOOKUP(D618,Barem!$T$1:$U$141,2,1),0)</f>
        <v>0</v>
      </c>
      <c r="S618" s="152">
        <f>IF(D618&lt;1.609,0,IF(B618="F",VLOOKUP(I618,Barem!$X$2:$Z$13,2,1),VLOOKUP(I618,Barem!$X$14:$Z$25,2,1)))</f>
        <v>0</v>
      </c>
      <c r="T618" s="21">
        <f>VLOOKUP(A618,Participanti!A:C,3,0)</f>
        <v>0</v>
      </c>
      <c r="U618" s="18">
        <f t="shared" si="251"/>
        <v>2.1881249999999999</v>
      </c>
      <c r="V618" s="58" t="s">
        <v>463</v>
      </c>
      <c r="W618" s="77">
        <f t="shared" si="232"/>
        <v>1</v>
      </c>
      <c r="X618" s="1" t="e">
        <f>VLOOKUP(A618,Data_Echipe!A:R,18,0)</f>
        <v>#N/A</v>
      </c>
      <c r="Z618" s="115">
        <f t="shared" si="252"/>
        <v>1</v>
      </c>
    </row>
    <row r="619" spans="1:26" x14ac:dyDescent="0.3">
      <c r="A619" s="49" t="s">
        <v>288</v>
      </c>
      <c r="B619" s="1" t="str">
        <f>VLOOKUP(A619,Participanti!A:B,2,0)</f>
        <v>M</v>
      </c>
      <c r="C619" s="74">
        <v>8</v>
      </c>
      <c r="D619" s="50">
        <v>13.01</v>
      </c>
      <c r="E619" s="51">
        <v>4.6608796296296294E-2</v>
      </c>
      <c r="F619" s="51">
        <v>4.7245370370370375E-2</v>
      </c>
      <c r="G619" s="69">
        <f t="shared" si="247"/>
        <v>4.6927083333333335E-2</v>
      </c>
      <c r="H619" s="52">
        <v>50</v>
      </c>
      <c r="I619" s="12">
        <f t="shared" si="248"/>
        <v>3.6070010248526775E-3</v>
      </c>
      <c r="J619" s="37">
        <f t="shared" si="249"/>
        <v>3.0976190476190473</v>
      </c>
      <c r="K619" s="37">
        <f>IF(J619=0,0,IF(B619="F",VLOOKUP(I619,Barem!$G$2:$H$16,2,1),VLOOKUP(I619,Barem!$G$17:$H$31,2,1)))</f>
        <v>2.5</v>
      </c>
      <c r="L619" s="50">
        <v>1</v>
      </c>
      <c r="M619" s="124" t="s">
        <v>106</v>
      </c>
      <c r="N619" s="10">
        <f t="shared" si="246"/>
        <v>0.5</v>
      </c>
      <c r="O619" s="10">
        <f t="shared" si="246"/>
        <v>0.25</v>
      </c>
      <c r="P619" s="10">
        <f t="shared" si="246"/>
        <v>0.25</v>
      </c>
      <c r="Q619" s="40">
        <f t="shared" si="250"/>
        <v>3.3333333333333333E-2</v>
      </c>
      <c r="R619" s="21">
        <f>IF(D619&gt;21,VLOOKUP(D619,Barem!$T$1:$U$141,2,1),0)</f>
        <v>0</v>
      </c>
      <c r="S619" s="152">
        <f>IF(D619&lt;1.609,0,IF(B619="F",VLOOKUP(I619,Barem!$X$2:$Z$13,2,1),VLOOKUP(I619,Barem!$X$14:$Z$25,2,1)))</f>
        <v>0</v>
      </c>
      <c r="T619" s="21">
        <f>VLOOKUP(A619,Participanti!A:C,3,0)</f>
        <v>0</v>
      </c>
      <c r="U619" s="18">
        <f t="shared" si="251"/>
        <v>2.4571428571428569</v>
      </c>
      <c r="V619" s="58" t="s">
        <v>463</v>
      </c>
      <c r="W619" s="77">
        <f t="shared" si="232"/>
        <v>1</v>
      </c>
      <c r="X619" s="1" t="e">
        <f>VLOOKUP(A619,Data_Echipe!A:R,18,0)</f>
        <v>#N/A</v>
      </c>
      <c r="Z619" s="115">
        <f t="shared" si="252"/>
        <v>1</v>
      </c>
    </row>
    <row r="620" spans="1:26" x14ac:dyDescent="0.3">
      <c r="A620" s="49" t="s">
        <v>47</v>
      </c>
      <c r="B620" s="1" t="str">
        <f>VLOOKUP(A620,Participanti!A:B,2,0)</f>
        <v>M</v>
      </c>
      <c r="C620" s="74">
        <v>8</v>
      </c>
      <c r="D620" s="50">
        <v>16.489999999999998</v>
      </c>
      <c r="E620" s="51">
        <v>5.7002314814814818E-2</v>
      </c>
      <c r="F620" s="51">
        <v>5.7002314814814818E-2</v>
      </c>
      <c r="G620" s="69">
        <f t="shared" ref="G620:G635" si="253">AVERAGE(E620:F620)</f>
        <v>5.7002314814814818E-2</v>
      </c>
      <c r="H620" s="52"/>
      <c r="I620" s="12">
        <f t="shared" ref="I620:I635" si="254">G620/D620</f>
        <v>3.4567807649978667E-3</v>
      </c>
      <c r="J620" s="37">
        <f t="shared" ref="J620:J635" si="255">IF(B620="F",IF(D620&lt;2.5,0,IF(D620&gt;19.99,5,D620/4)),IF(D620&lt;3,0, IF(D620&gt;20.99,5,D620/4.2)))</f>
        <v>3.9261904761904756</v>
      </c>
      <c r="K620" s="37">
        <f>IF(J620=0,0,IF(B620="F",VLOOKUP(I620,Barem!$G$2:$H$16,2,1),VLOOKUP(I620,Barem!$G$17:$H$31,2,1)))</f>
        <v>3</v>
      </c>
      <c r="L620" s="50">
        <v>2.25</v>
      </c>
      <c r="M620" s="124" t="s">
        <v>106</v>
      </c>
      <c r="N620" s="10">
        <f t="shared" si="246"/>
        <v>0.5</v>
      </c>
      <c r="O620" s="10">
        <f t="shared" si="246"/>
        <v>0.25</v>
      </c>
      <c r="P620" s="10">
        <f t="shared" si="246"/>
        <v>0.25</v>
      </c>
      <c r="Q620" s="40">
        <f t="shared" ref="Q620:Q635" si="256">IF(H620&gt;49,H620/1500,0)</f>
        <v>0</v>
      </c>
      <c r="R620" s="21">
        <f>IF(D620&gt;21,VLOOKUP(D620,Barem!$T$1:$U$141,2,1),0)</f>
        <v>0</v>
      </c>
      <c r="S620" s="152">
        <f>IF(D620&lt;1.609,0,IF(B620="F",VLOOKUP(I620,Barem!$X$2:$Z$13,2,1),VLOOKUP(I620,Barem!$X$14:$Z$25,2,1)))</f>
        <v>0</v>
      </c>
      <c r="T620" s="21">
        <f>VLOOKUP(A620,Participanti!A:C,3,0)</f>
        <v>0</v>
      </c>
      <c r="U620" s="18">
        <f t="shared" ref="U620:U635" si="257">IF(H620&lt;0,0,J620*N620+K620*O620+L620*P620+Q620+R620+S620+T620)</f>
        <v>3.2755952380952378</v>
      </c>
      <c r="V620" s="58" t="s">
        <v>463</v>
      </c>
      <c r="W620" s="77">
        <f t="shared" si="232"/>
        <v>1</v>
      </c>
      <c r="X620" s="1" t="str">
        <f>VLOOKUP(A620,Data_Echipe!A:R,18,0)</f>
        <v>The GOATs</v>
      </c>
      <c r="Z620" s="115">
        <f t="shared" ref="Z620:Z635" si="258">IF(K620&gt;0,1,0)</f>
        <v>1</v>
      </c>
    </row>
    <row r="621" spans="1:26" x14ac:dyDescent="0.3">
      <c r="A621" s="49" t="s">
        <v>252</v>
      </c>
      <c r="B621" s="1" t="str">
        <f>VLOOKUP(A621,Participanti!A:B,2,0)</f>
        <v>M</v>
      </c>
      <c r="C621" s="74">
        <v>8</v>
      </c>
      <c r="D621" s="50">
        <v>7.27</v>
      </c>
      <c r="E621" s="51">
        <v>2.1493055555555557E-2</v>
      </c>
      <c r="F621" s="51">
        <v>2.1493055555555557E-2</v>
      </c>
      <c r="G621" s="69">
        <f t="shared" si="253"/>
        <v>2.1493055555555557E-2</v>
      </c>
      <c r="H621" s="52"/>
      <c r="I621" s="12">
        <f t="shared" si="254"/>
        <v>2.9564037903102554E-3</v>
      </c>
      <c r="J621" s="37">
        <f t="shared" si="255"/>
        <v>1.7309523809523808</v>
      </c>
      <c r="K621" s="37">
        <f>IF(J621=0,0,IF(B621="F",VLOOKUP(I621,Barem!$G$2:$H$16,2,1),VLOOKUP(I621,Barem!$G$17:$H$31,2,1)))</f>
        <v>4.5</v>
      </c>
      <c r="L621" s="50">
        <v>1</v>
      </c>
      <c r="M621" s="124" t="s">
        <v>107</v>
      </c>
      <c r="N621" s="10">
        <f t="shared" si="246"/>
        <v>0.25</v>
      </c>
      <c r="O621" s="10">
        <f t="shared" si="246"/>
        <v>0.5</v>
      </c>
      <c r="P621" s="10">
        <f t="shared" si="246"/>
        <v>0.25</v>
      </c>
      <c r="Q621" s="40">
        <f t="shared" si="256"/>
        <v>0</v>
      </c>
      <c r="R621" s="21">
        <f>IF(D621&gt;21,VLOOKUP(D621,Barem!$T$1:$U$141,2,1),0)</f>
        <v>0</v>
      </c>
      <c r="S621" s="152">
        <f>IF(D621&lt;1.609,0,IF(B621="F",VLOOKUP(I621,Barem!$X$2:$Z$13,2,1),VLOOKUP(I621,Barem!$X$14:$Z$25,2,1)))</f>
        <v>0</v>
      </c>
      <c r="T621" s="21">
        <f>VLOOKUP(A621,Participanti!A:C,3,0)</f>
        <v>0</v>
      </c>
      <c r="U621" s="18">
        <f t="shared" si="257"/>
        <v>2.9327380952380953</v>
      </c>
      <c r="V621" s="58" t="s">
        <v>463</v>
      </c>
      <c r="W621" s="77">
        <f t="shared" si="232"/>
        <v>1</v>
      </c>
      <c r="X621" s="1" t="str">
        <f>VLOOKUP(A621,Data_Echipe!A:R,18,0)</f>
        <v>UltraHaita lu' Borcan</v>
      </c>
      <c r="Z621" s="115">
        <f t="shared" si="258"/>
        <v>1</v>
      </c>
    </row>
    <row r="622" spans="1:26" x14ac:dyDescent="0.3">
      <c r="A622" s="49" t="s">
        <v>333</v>
      </c>
      <c r="B622" s="1" t="str">
        <f>VLOOKUP(A622,Participanti!A:B,2,0)</f>
        <v>M</v>
      </c>
      <c r="C622" s="74">
        <v>8</v>
      </c>
      <c r="D622" s="50">
        <v>30.74</v>
      </c>
      <c r="E622" s="51">
        <v>0.1368287037037037</v>
      </c>
      <c r="F622" s="51">
        <v>0.13688657407407409</v>
      </c>
      <c r="G622" s="69">
        <f t="shared" si="253"/>
        <v>0.13685763888888891</v>
      </c>
      <c r="H622" s="52"/>
      <c r="I622" s="12">
        <f t="shared" si="254"/>
        <v>4.4521027615123266E-3</v>
      </c>
      <c r="J622" s="37">
        <f t="shared" si="255"/>
        <v>5</v>
      </c>
      <c r="K622" s="37">
        <f>IF(J622=0,0,IF(B622="F",VLOOKUP(I622,Barem!$G$2:$H$16,2,1),VLOOKUP(I622,Barem!$G$17:$H$31,2,1)))</f>
        <v>1</v>
      </c>
      <c r="L622" s="50">
        <v>2</v>
      </c>
      <c r="M622" s="124" t="s">
        <v>106</v>
      </c>
      <c r="N622" s="10">
        <f t="shared" si="246"/>
        <v>0.5</v>
      </c>
      <c r="O622" s="10">
        <f t="shared" si="246"/>
        <v>0.25</v>
      </c>
      <c r="P622" s="10">
        <f t="shared" si="246"/>
        <v>0.25</v>
      </c>
      <c r="Q622" s="40">
        <f t="shared" si="256"/>
        <v>0</v>
      </c>
      <c r="R622" s="21">
        <f>IF(D622&gt;21,VLOOKUP(D622,Barem!$T$1:$U$141,2,1),0)</f>
        <v>0.4</v>
      </c>
      <c r="S622" s="152">
        <f>IF(D622&lt;1.609,0,IF(B622="F",VLOOKUP(I622,Barem!$X$2:$Z$13,2,1),VLOOKUP(I622,Barem!$X$14:$Z$25,2,1)))</f>
        <v>0</v>
      </c>
      <c r="T622" s="21">
        <f>VLOOKUP(A622,Participanti!A:C,3,0)</f>
        <v>0</v>
      </c>
      <c r="U622" s="18">
        <f t="shared" si="257"/>
        <v>3.65</v>
      </c>
      <c r="V622" s="58" t="s">
        <v>465</v>
      </c>
      <c r="W622" s="77">
        <f t="shared" si="232"/>
        <v>1</v>
      </c>
      <c r="X622" s="1" t="str">
        <f>VLOOKUP(A622,Data_Echipe!A:R,18,0)</f>
        <v>UltraHaita lu' Borcan</v>
      </c>
      <c r="Z622" s="115">
        <f t="shared" si="258"/>
        <v>1</v>
      </c>
    </row>
    <row r="623" spans="1:26" x14ac:dyDescent="0.3">
      <c r="A623" s="49" t="s">
        <v>48</v>
      </c>
      <c r="B623" s="1" t="str">
        <f>VLOOKUP(A623,Participanti!A:B,2,0)</f>
        <v>M</v>
      </c>
      <c r="C623" s="74">
        <v>8</v>
      </c>
      <c r="D623" s="50">
        <v>11.7</v>
      </c>
      <c r="E623" s="51">
        <v>4.4641203703703704E-2</v>
      </c>
      <c r="F623" s="51">
        <v>5.5150462962962964E-2</v>
      </c>
      <c r="G623" s="69">
        <f t="shared" si="253"/>
        <v>4.9895833333333334E-2</v>
      </c>
      <c r="H623" s="52">
        <v>177</v>
      </c>
      <c r="I623" s="12">
        <f t="shared" si="254"/>
        <v>4.2646011396011395E-3</v>
      </c>
      <c r="J623" s="37">
        <f t="shared" si="255"/>
        <v>2.7857142857142856</v>
      </c>
      <c r="K623" s="37">
        <f>IF(J623=0,0,IF(B623="F",VLOOKUP(I623,Barem!$G$2:$H$16,2,1),VLOOKUP(I623,Barem!$G$17:$H$31,2,1)))</f>
        <v>1.25</v>
      </c>
      <c r="L623" s="50">
        <v>2.75</v>
      </c>
      <c r="M623" s="124" t="s">
        <v>107</v>
      </c>
      <c r="N623" s="10">
        <f t="shared" si="246"/>
        <v>0.25</v>
      </c>
      <c r="O623" s="10">
        <f t="shared" si="246"/>
        <v>0.5</v>
      </c>
      <c r="P623" s="10">
        <f t="shared" si="246"/>
        <v>0.25</v>
      </c>
      <c r="Q623" s="40">
        <f t="shared" si="256"/>
        <v>0.11799999999999999</v>
      </c>
      <c r="R623" s="21">
        <f>IF(D623&gt;21,VLOOKUP(D623,Barem!$T$1:$U$141,2,1),0)</f>
        <v>0</v>
      </c>
      <c r="S623" s="152">
        <f>IF(D623&lt;1.609,0,IF(B623="F",VLOOKUP(I623,Barem!$X$2:$Z$13,2,1),VLOOKUP(I623,Barem!$X$14:$Z$25,2,1)))</f>
        <v>0</v>
      </c>
      <c r="T623" s="21">
        <f>VLOOKUP(A623,Participanti!A:C,3,0)</f>
        <v>0.4</v>
      </c>
      <c r="U623" s="18">
        <f t="shared" si="257"/>
        <v>2.526928571428571</v>
      </c>
      <c r="V623" s="58" t="s">
        <v>465</v>
      </c>
      <c r="W623" s="77">
        <f t="shared" si="232"/>
        <v>1</v>
      </c>
      <c r="X623" s="1" t="str">
        <f>VLOOKUP(A623,Data_Echipe!A:R,18,0)</f>
        <v>#notSYRious</v>
      </c>
      <c r="Z623" s="115">
        <f t="shared" si="258"/>
        <v>1</v>
      </c>
    </row>
    <row r="624" spans="1:26" x14ac:dyDescent="0.3">
      <c r="A624" s="49" t="s">
        <v>336</v>
      </c>
      <c r="B624" s="1" t="str">
        <f>VLOOKUP(A624,Participanti!A:B,2,0)</f>
        <v>M</v>
      </c>
      <c r="C624" s="74">
        <v>8</v>
      </c>
      <c r="D624" s="50">
        <v>28.06</v>
      </c>
      <c r="E624" s="51">
        <v>0.1149074074074074</v>
      </c>
      <c r="F624" s="51">
        <v>0.1149074074074074</v>
      </c>
      <c r="G624" s="69">
        <f t="shared" si="253"/>
        <v>0.1149074074074074</v>
      </c>
      <c r="H624" s="52"/>
      <c r="I624" s="12">
        <f t="shared" si="254"/>
        <v>4.0950608484464504E-3</v>
      </c>
      <c r="J624" s="37">
        <f t="shared" si="255"/>
        <v>5</v>
      </c>
      <c r="K624" s="37">
        <f>IF(J624=0,0,IF(B624="F",VLOOKUP(I624,Barem!$G$2:$H$16,2,1),VLOOKUP(I624,Barem!$G$17:$H$31,2,1)))</f>
        <v>1.5</v>
      </c>
      <c r="L624" s="50">
        <v>1</v>
      </c>
      <c r="M624" s="124" t="s">
        <v>107</v>
      </c>
      <c r="N624" s="10">
        <f t="shared" si="246"/>
        <v>0.25</v>
      </c>
      <c r="O624" s="10">
        <f t="shared" si="246"/>
        <v>0.5</v>
      </c>
      <c r="P624" s="10">
        <f t="shared" si="246"/>
        <v>0.25</v>
      </c>
      <c r="Q624" s="40">
        <f t="shared" si="256"/>
        <v>0</v>
      </c>
      <c r="R624" s="21">
        <f>IF(D624&gt;21,VLOOKUP(D624,Barem!$T$1:$U$141,2,1),0)</f>
        <v>0.3</v>
      </c>
      <c r="S624" s="152">
        <f>IF(D624&lt;1.609,0,IF(B624="F",VLOOKUP(I624,Barem!$X$2:$Z$13,2,1),VLOOKUP(I624,Barem!$X$14:$Z$25,2,1)))</f>
        <v>0</v>
      </c>
      <c r="T624" s="21">
        <f>VLOOKUP(A624,Participanti!A:C,3,0)</f>
        <v>0</v>
      </c>
      <c r="U624" s="18">
        <f t="shared" si="257"/>
        <v>2.5499999999999998</v>
      </c>
      <c r="V624" s="58" t="s">
        <v>465</v>
      </c>
      <c r="W624" s="77">
        <f t="shared" si="232"/>
        <v>1</v>
      </c>
      <c r="X624" s="1" t="e">
        <f>VLOOKUP(A624,Data_Echipe!A:R,18,0)</f>
        <v>#N/A</v>
      </c>
      <c r="Z624" s="115">
        <f t="shared" si="258"/>
        <v>1</v>
      </c>
    </row>
    <row r="625" spans="1:26" x14ac:dyDescent="0.3">
      <c r="A625" s="49" t="s">
        <v>406</v>
      </c>
      <c r="B625" s="1" t="str">
        <f>VLOOKUP(A625,Participanti!A:B,2,0)</f>
        <v>M</v>
      </c>
      <c r="C625" s="74">
        <v>8</v>
      </c>
      <c r="D625" s="50">
        <v>10.01</v>
      </c>
      <c r="E625" s="51">
        <v>3.3009259259259259E-2</v>
      </c>
      <c r="F625" s="51">
        <v>3.3923611111111113E-2</v>
      </c>
      <c r="G625" s="69">
        <f t="shared" si="253"/>
        <v>3.3466435185185189E-2</v>
      </c>
      <c r="H625" s="52"/>
      <c r="I625" s="12">
        <f t="shared" si="254"/>
        <v>3.3433002183002186E-3</v>
      </c>
      <c r="J625" s="37">
        <f t="shared" si="255"/>
        <v>2.3833333333333333</v>
      </c>
      <c r="K625" s="37">
        <f>IF(J625=0,0,IF(B625="F",VLOOKUP(I625,Barem!$G$2:$H$16,2,1),VLOOKUP(I625,Barem!$G$17:$H$31,2,1)))</f>
        <v>3</v>
      </c>
      <c r="L625" s="50">
        <v>2.75</v>
      </c>
      <c r="M625" s="124" t="s">
        <v>107</v>
      </c>
      <c r="N625" s="10">
        <f t="shared" ref="N625:P641" si="259">IF($M625=N$1,50%,25%)</f>
        <v>0.25</v>
      </c>
      <c r="O625" s="10">
        <f t="shared" si="259"/>
        <v>0.5</v>
      </c>
      <c r="P625" s="10">
        <f t="shared" si="259"/>
        <v>0.25</v>
      </c>
      <c r="Q625" s="40">
        <f t="shared" si="256"/>
        <v>0</v>
      </c>
      <c r="R625" s="21">
        <f>IF(D625&gt;21,VLOOKUP(D625,Barem!$T$1:$U$141,2,1),0)</f>
        <v>0</v>
      </c>
      <c r="S625" s="152">
        <f>IF(D625&lt;1.609,0,IF(B625="F",VLOOKUP(I625,Barem!$X$2:$Z$13,2,1),VLOOKUP(I625,Barem!$X$14:$Z$25,2,1)))</f>
        <v>0</v>
      </c>
      <c r="T625" s="21">
        <f>VLOOKUP(A625,Participanti!A:C,3,0)</f>
        <v>0</v>
      </c>
      <c r="U625" s="18">
        <f t="shared" si="257"/>
        <v>2.7833333333333332</v>
      </c>
      <c r="V625" s="58" t="s">
        <v>466</v>
      </c>
      <c r="W625" s="77">
        <f t="shared" si="232"/>
        <v>1</v>
      </c>
      <c r="X625" s="1" t="e">
        <f>VLOOKUP(A625,Data_Echipe!A:R,18,0)</f>
        <v>#N/A</v>
      </c>
      <c r="Z625" s="115">
        <f t="shared" si="258"/>
        <v>1</v>
      </c>
    </row>
    <row r="626" spans="1:26" x14ac:dyDescent="0.3">
      <c r="A626" s="49" t="s">
        <v>339</v>
      </c>
      <c r="B626" s="1" t="str">
        <f>VLOOKUP(A626,Participanti!A:B,2,0)</f>
        <v>M</v>
      </c>
      <c r="C626" s="74">
        <v>8</v>
      </c>
      <c r="D626" s="50">
        <v>20.68</v>
      </c>
      <c r="E626" s="51">
        <v>8.2141203703703702E-2</v>
      </c>
      <c r="F626" s="51">
        <v>8.4120370370370359E-2</v>
      </c>
      <c r="G626" s="69">
        <f t="shared" si="253"/>
        <v>8.3130787037037024E-2</v>
      </c>
      <c r="H626" s="52">
        <v>72</v>
      </c>
      <c r="I626" s="12">
        <f t="shared" si="254"/>
        <v>4.0198639766458912E-3</v>
      </c>
      <c r="J626" s="37">
        <f t="shared" si="255"/>
        <v>4.9238095238095232</v>
      </c>
      <c r="K626" s="37">
        <f>IF(J626=0,0,IF(B626="F",VLOOKUP(I626,Barem!$G$2:$H$16,2,1),VLOOKUP(I626,Barem!$G$17:$H$31,2,1)))</f>
        <v>1.5</v>
      </c>
      <c r="L626" s="50">
        <v>2.5</v>
      </c>
      <c r="M626" s="124" t="s">
        <v>106</v>
      </c>
      <c r="N626" s="10">
        <f t="shared" si="259"/>
        <v>0.5</v>
      </c>
      <c r="O626" s="10">
        <f t="shared" si="259"/>
        <v>0.25</v>
      </c>
      <c r="P626" s="10">
        <f t="shared" si="259"/>
        <v>0.25</v>
      </c>
      <c r="Q626" s="40">
        <f t="shared" si="256"/>
        <v>4.8000000000000001E-2</v>
      </c>
      <c r="R626" s="21">
        <f>IF(D626&gt;21,VLOOKUP(D626,Barem!$T$1:$U$141,2,1),0)</f>
        <v>0</v>
      </c>
      <c r="S626" s="152">
        <f>IF(D626&lt;1.609,0,IF(B626="F",VLOOKUP(I626,Barem!$X$2:$Z$13,2,1),VLOOKUP(I626,Barem!$X$14:$Z$25,2,1)))</f>
        <v>0</v>
      </c>
      <c r="T626" s="21">
        <f>VLOOKUP(A626,Participanti!A:C,3,0)</f>
        <v>0</v>
      </c>
      <c r="U626" s="18">
        <f t="shared" si="257"/>
        <v>3.5099047619047616</v>
      </c>
      <c r="V626" s="58" t="s">
        <v>466</v>
      </c>
      <c r="W626" s="77">
        <f t="shared" si="232"/>
        <v>1</v>
      </c>
      <c r="X626" s="1" t="str">
        <f>VLOOKUP(A626,Data_Echipe!A:R,18,0)</f>
        <v>MedgidiaRunning</v>
      </c>
      <c r="Z626" s="115">
        <f t="shared" si="258"/>
        <v>1</v>
      </c>
    </row>
    <row r="627" spans="1:26" x14ac:dyDescent="0.3">
      <c r="A627" s="49" t="s">
        <v>204</v>
      </c>
      <c r="B627" s="1" t="str">
        <f>VLOOKUP(A627,Participanti!A:B,2,0)</f>
        <v>M</v>
      </c>
      <c r="C627" s="74">
        <v>8</v>
      </c>
      <c r="D627" s="50">
        <v>7.18</v>
      </c>
      <c r="E627" s="51">
        <v>2.0706018518518519E-2</v>
      </c>
      <c r="F627" s="51">
        <v>2.0925925925925928E-2</v>
      </c>
      <c r="G627" s="69">
        <f t="shared" si="253"/>
        <v>2.0815972222222222E-2</v>
      </c>
      <c r="H627" s="52"/>
      <c r="I627" s="12">
        <f t="shared" si="254"/>
        <v>2.8991604766326214E-3</v>
      </c>
      <c r="J627" s="37">
        <f t="shared" si="255"/>
        <v>1.7095238095238094</v>
      </c>
      <c r="K627" s="37">
        <f>IF(J627=0,0,IF(B627="F",VLOOKUP(I627,Barem!$G$2:$H$16,2,1),VLOOKUP(I627,Barem!$G$17:$H$31,2,1)))</f>
        <v>4.5</v>
      </c>
      <c r="L627" s="50">
        <v>2.25</v>
      </c>
      <c r="M627" s="124" t="s">
        <v>107</v>
      </c>
      <c r="N627" s="10">
        <f t="shared" si="259"/>
        <v>0.25</v>
      </c>
      <c r="O627" s="10">
        <f t="shared" si="259"/>
        <v>0.5</v>
      </c>
      <c r="P627" s="10">
        <f t="shared" si="259"/>
        <v>0.25</v>
      </c>
      <c r="Q627" s="40">
        <f t="shared" si="256"/>
        <v>0</v>
      </c>
      <c r="R627" s="21">
        <f>IF(D627&gt;21,VLOOKUP(D627,Barem!$T$1:$U$141,2,1),0)</f>
        <v>0</v>
      </c>
      <c r="S627" s="152">
        <f>IF(D627&lt;1.609,0,IF(B627="F",VLOOKUP(I627,Barem!$X$2:$Z$13,2,1),VLOOKUP(I627,Barem!$X$14:$Z$25,2,1)))</f>
        <v>0</v>
      </c>
      <c r="T627" s="21">
        <f>VLOOKUP(A627,Participanti!A:C,3,0)</f>
        <v>0</v>
      </c>
      <c r="U627" s="18">
        <f t="shared" si="257"/>
        <v>3.2398809523809522</v>
      </c>
      <c r="V627" s="58" t="s">
        <v>466</v>
      </c>
      <c r="W627" s="77">
        <f t="shared" si="232"/>
        <v>1</v>
      </c>
      <c r="X627" s="1" t="e">
        <f>VLOOKUP(A627,Data_Echipe!A:R,18,0)</f>
        <v>#N/A</v>
      </c>
      <c r="Z627" s="115">
        <f t="shared" si="258"/>
        <v>1</v>
      </c>
    </row>
    <row r="628" spans="1:26" x14ac:dyDescent="0.3">
      <c r="A628" s="49" t="s">
        <v>433</v>
      </c>
      <c r="B628" s="1" t="str">
        <f>VLOOKUP(A628,Participanti!A:B,2,0)</f>
        <v>M</v>
      </c>
      <c r="C628" s="74">
        <v>8</v>
      </c>
      <c r="D628" s="50">
        <v>21.14</v>
      </c>
      <c r="E628" s="51">
        <v>9.1064814814814821E-2</v>
      </c>
      <c r="F628" s="51">
        <v>9.1365740740740733E-2</v>
      </c>
      <c r="G628" s="69">
        <f t="shared" si="253"/>
        <v>9.121527777777777E-2</v>
      </c>
      <c r="H628" s="52">
        <v>124</v>
      </c>
      <c r="I628" s="12">
        <f t="shared" si="254"/>
        <v>4.3148191947860815E-3</v>
      </c>
      <c r="J628" s="37">
        <f t="shared" si="255"/>
        <v>5</v>
      </c>
      <c r="K628" s="37">
        <f>IF(J628=0,0,IF(B628="F",VLOOKUP(I628,Barem!$G$2:$H$16,2,1),VLOOKUP(I628,Barem!$G$17:$H$31,2,1)))</f>
        <v>1.25</v>
      </c>
      <c r="L628" s="50">
        <v>1.25</v>
      </c>
      <c r="M628" s="124" t="s">
        <v>107</v>
      </c>
      <c r="N628" s="10">
        <f t="shared" si="259"/>
        <v>0.25</v>
      </c>
      <c r="O628" s="10">
        <f t="shared" si="259"/>
        <v>0.5</v>
      </c>
      <c r="P628" s="10">
        <f t="shared" si="259"/>
        <v>0.25</v>
      </c>
      <c r="Q628" s="40">
        <f t="shared" si="256"/>
        <v>8.2666666666666666E-2</v>
      </c>
      <c r="R628" s="21">
        <f>IF(D628&gt;21,VLOOKUP(D628,Barem!$T$1:$U$141,2,1),0)</f>
        <v>0</v>
      </c>
      <c r="S628" s="152">
        <f>IF(D628&lt;1.609,0,IF(B628="F",VLOOKUP(I628,Barem!$X$2:$Z$13,2,1),VLOOKUP(I628,Barem!$X$14:$Z$25,2,1)))</f>
        <v>0</v>
      </c>
      <c r="T628" s="21">
        <f>VLOOKUP(A628,Participanti!A:C,3,0)</f>
        <v>0</v>
      </c>
      <c r="U628" s="18">
        <f t="shared" si="257"/>
        <v>2.2701666666666664</v>
      </c>
      <c r="V628" s="58" t="s">
        <v>466</v>
      </c>
      <c r="W628" s="77">
        <f t="shared" si="232"/>
        <v>1</v>
      </c>
      <c r="X628" s="1" t="e">
        <f>VLOOKUP(A628,Data_Echipe!A:R,18,0)</f>
        <v>#N/A</v>
      </c>
      <c r="Z628" s="115">
        <f t="shared" si="258"/>
        <v>1</v>
      </c>
    </row>
    <row r="629" spans="1:26" x14ac:dyDescent="0.3">
      <c r="A629" s="49" t="s">
        <v>343</v>
      </c>
      <c r="B629" s="1" t="str">
        <f>VLOOKUP(A629,Participanti!A:B,2,0)</f>
        <v>M</v>
      </c>
      <c r="C629" s="74">
        <v>8</v>
      </c>
      <c r="D629" s="50">
        <v>10</v>
      </c>
      <c r="E629" s="51">
        <v>2.7835648148148151E-2</v>
      </c>
      <c r="F629" s="51">
        <v>2.7835648148148151E-2</v>
      </c>
      <c r="G629" s="69">
        <f t="shared" si="253"/>
        <v>2.7835648148148151E-2</v>
      </c>
      <c r="H629" s="52"/>
      <c r="I629" s="12">
        <f t="shared" si="254"/>
        <v>2.7835648148148151E-3</v>
      </c>
      <c r="J629" s="37">
        <f t="shared" si="255"/>
        <v>2.3809523809523809</v>
      </c>
      <c r="K629" s="37">
        <f>IF(J629=0,0,IF(B629="F",VLOOKUP(I629,Barem!$G$2:$H$16,2,1),VLOOKUP(I629,Barem!$G$17:$H$31,2,1)))</f>
        <v>5</v>
      </c>
      <c r="L629" s="50">
        <v>2.5</v>
      </c>
      <c r="M629" s="124" t="s">
        <v>107</v>
      </c>
      <c r="N629" s="10">
        <f t="shared" si="259"/>
        <v>0.25</v>
      </c>
      <c r="O629" s="10">
        <f t="shared" si="259"/>
        <v>0.5</v>
      </c>
      <c r="P629" s="10">
        <f t="shared" si="259"/>
        <v>0.25</v>
      </c>
      <c r="Q629" s="40">
        <f t="shared" si="256"/>
        <v>0</v>
      </c>
      <c r="R629" s="21">
        <f>IF(D629&gt;21,VLOOKUP(D629,Barem!$T$1:$U$141,2,1),0)</f>
        <v>0</v>
      </c>
      <c r="S629" s="152">
        <f>IF(D629&lt;1.609,0,IF(B629="F",VLOOKUP(I629,Barem!$X$2:$Z$13,2,1),VLOOKUP(I629,Barem!$X$14:$Z$25,2,1)))</f>
        <v>0</v>
      </c>
      <c r="T629" s="21">
        <f>VLOOKUP(A629,Participanti!A:C,3,0)</f>
        <v>0</v>
      </c>
      <c r="U629" s="18">
        <f t="shared" si="257"/>
        <v>3.7202380952380953</v>
      </c>
      <c r="V629" s="58" t="s">
        <v>466</v>
      </c>
      <c r="W629" s="77">
        <f t="shared" si="232"/>
        <v>1</v>
      </c>
      <c r="X629" s="1" t="str">
        <f>VLOOKUP(A629,Data_Echipe!A:R,18,0)</f>
        <v>#notSYRious</v>
      </c>
      <c r="Z629" s="115">
        <f t="shared" si="258"/>
        <v>1</v>
      </c>
    </row>
    <row r="630" spans="1:26" x14ac:dyDescent="0.3">
      <c r="A630" s="49" t="s">
        <v>296</v>
      </c>
      <c r="B630" s="1" t="str">
        <f>VLOOKUP(A630,Participanti!A:B,2,0)</f>
        <v>M</v>
      </c>
      <c r="C630" s="74">
        <v>8</v>
      </c>
      <c r="D630" s="50">
        <v>11</v>
      </c>
      <c r="E630" s="51">
        <v>6.3576388888888891E-2</v>
      </c>
      <c r="F630" s="51">
        <v>6.3668981481481479E-2</v>
      </c>
      <c r="G630" s="69">
        <f t="shared" si="253"/>
        <v>6.3622685185185185E-2</v>
      </c>
      <c r="H630" s="52">
        <v>160</v>
      </c>
      <c r="I630" s="12">
        <f t="shared" si="254"/>
        <v>5.783880471380471E-3</v>
      </c>
      <c r="J630" s="37">
        <f t="shared" si="255"/>
        <v>2.6190476190476191</v>
      </c>
      <c r="K630" s="37">
        <f>IF(J630=0,0,IF(B630="F",VLOOKUP(I630,Barem!$G$2:$H$16,2,1),VLOOKUP(I630,Barem!$G$17:$H$31,2,1)))</f>
        <v>0</v>
      </c>
      <c r="L630" s="50">
        <v>3.5</v>
      </c>
      <c r="M630" s="124" t="s">
        <v>106</v>
      </c>
      <c r="N630" s="10">
        <f t="shared" si="259"/>
        <v>0.5</v>
      </c>
      <c r="O630" s="10">
        <f t="shared" si="259"/>
        <v>0.25</v>
      </c>
      <c r="P630" s="10">
        <f t="shared" si="259"/>
        <v>0.25</v>
      </c>
      <c r="Q630" s="40">
        <f t="shared" si="256"/>
        <v>0.10666666666666667</v>
      </c>
      <c r="R630" s="21">
        <f>IF(D630&gt;21,VLOOKUP(D630,Barem!$T$1:$U$141,2,1),0)</f>
        <v>0</v>
      </c>
      <c r="S630" s="152">
        <f>IF(D630&lt;1.609,0,IF(B630="F",VLOOKUP(I630,Barem!$X$2:$Z$13,2,1),VLOOKUP(I630,Barem!$X$14:$Z$25,2,1)))</f>
        <v>0</v>
      </c>
      <c r="T630" s="21">
        <f>VLOOKUP(A630,Participanti!A:C,3,0)</f>
        <v>0</v>
      </c>
      <c r="U630" s="18">
        <f t="shared" si="257"/>
        <v>2.2911904761904758</v>
      </c>
      <c r="V630" s="58" t="s">
        <v>466</v>
      </c>
      <c r="W630" s="77">
        <f t="shared" si="232"/>
        <v>1</v>
      </c>
      <c r="X630" s="1" t="str">
        <f>VLOOKUP(A630,Data_Echipe!A:R,18,0)</f>
        <v>MedgidiaRunning</v>
      </c>
      <c r="Z630" s="115">
        <f t="shared" si="258"/>
        <v>0</v>
      </c>
    </row>
    <row r="631" spans="1:26" x14ac:dyDescent="0.3">
      <c r="A631" s="49" t="s">
        <v>205</v>
      </c>
      <c r="B631" s="1" t="str">
        <f>VLOOKUP(A631,Participanti!A:B,2,0)</f>
        <v>M</v>
      </c>
      <c r="C631" s="74">
        <v>8</v>
      </c>
      <c r="D631" s="50">
        <v>8.0299999999999994</v>
      </c>
      <c r="E631" s="51">
        <v>2.0277777777777777E-2</v>
      </c>
      <c r="F631" s="51">
        <v>2.0277777777777777E-2</v>
      </c>
      <c r="G631" s="69">
        <f t="shared" si="253"/>
        <v>2.0277777777777777E-2</v>
      </c>
      <c r="H631" s="52"/>
      <c r="I631" s="12">
        <f t="shared" si="254"/>
        <v>2.5252525252525255E-3</v>
      </c>
      <c r="J631" s="37">
        <f t="shared" si="255"/>
        <v>1.9119047619047618</v>
      </c>
      <c r="K631" s="37">
        <f>IF(J631=0,0,IF(B631="F",VLOOKUP(I631,Barem!$G$2:$H$16,2,1),VLOOKUP(I631,Barem!$G$17:$H$31,2,1)))</f>
        <v>5</v>
      </c>
      <c r="L631" s="50">
        <v>3</v>
      </c>
      <c r="M631" s="124" t="s">
        <v>107</v>
      </c>
      <c r="N631" s="10">
        <f t="shared" si="259"/>
        <v>0.25</v>
      </c>
      <c r="O631" s="10">
        <f t="shared" si="259"/>
        <v>0.5</v>
      </c>
      <c r="P631" s="10">
        <f t="shared" si="259"/>
        <v>0.25</v>
      </c>
      <c r="Q631" s="40">
        <f t="shared" si="256"/>
        <v>0</v>
      </c>
      <c r="R631" s="21">
        <f>IF(D631&gt;21,VLOOKUP(D631,Barem!$T$1:$U$141,2,1),0)</f>
        <v>0</v>
      </c>
      <c r="S631" s="152">
        <f>IF(D631&lt;1.609,0,IF(B631="F",VLOOKUP(I631,Barem!$X$2:$Z$13,2,1),VLOOKUP(I631,Barem!$X$14:$Z$25,2,1)))</f>
        <v>2.25</v>
      </c>
      <c r="T631" s="21">
        <f>VLOOKUP(A631,Participanti!A:C,3,0)</f>
        <v>0</v>
      </c>
      <c r="U631" s="18">
        <f t="shared" si="257"/>
        <v>5.9779761904761903</v>
      </c>
      <c r="V631" s="58" t="s">
        <v>466</v>
      </c>
      <c r="W631" s="77">
        <f t="shared" si="232"/>
        <v>1</v>
      </c>
      <c r="X631" s="1" t="str">
        <f>VLOOKUP(A631,Data_Echipe!A:R,18,0)</f>
        <v>Almost Kenyan Runners</v>
      </c>
      <c r="Z631" s="115">
        <f t="shared" si="258"/>
        <v>1</v>
      </c>
    </row>
    <row r="632" spans="1:26" x14ac:dyDescent="0.3">
      <c r="A632" s="49" t="s">
        <v>347</v>
      </c>
      <c r="B632" s="1" t="str">
        <f>VLOOKUP(A632,Participanti!A:B,2,0)</f>
        <v>F</v>
      </c>
      <c r="C632" s="74">
        <v>8</v>
      </c>
      <c r="D632" s="50">
        <v>10.039999999999999</v>
      </c>
      <c r="E632" s="51">
        <v>3.6620370370370373E-2</v>
      </c>
      <c r="F632" s="51">
        <v>3.6620370370370373E-2</v>
      </c>
      <c r="G632" s="69">
        <f t="shared" si="253"/>
        <v>3.6620370370370373E-2</v>
      </c>
      <c r="H632" s="52"/>
      <c r="I632" s="12">
        <f t="shared" si="254"/>
        <v>3.6474472480448579E-3</v>
      </c>
      <c r="J632" s="37">
        <f t="shared" si="255"/>
        <v>2.5099999999999998</v>
      </c>
      <c r="K632" s="37">
        <f>IF(J632=0,0,IF(B632="F",VLOOKUP(I632,Barem!$G$2:$H$16,2,1),VLOOKUP(I632,Barem!$G$17:$H$31,2,1)))</f>
        <v>3.5</v>
      </c>
      <c r="L632" s="50">
        <v>2.25</v>
      </c>
      <c r="M632" s="124" t="s">
        <v>107</v>
      </c>
      <c r="N632" s="10">
        <f t="shared" si="259"/>
        <v>0.25</v>
      </c>
      <c r="O632" s="10">
        <f t="shared" si="259"/>
        <v>0.5</v>
      </c>
      <c r="P632" s="10">
        <f t="shared" si="259"/>
        <v>0.25</v>
      </c>
      <c r="Q632" s="40">
        <f t="shared" si="256"/>
        <v>0</v>
      </c>
      <c r="R632" s="21">
        <f>IF(D632&gt;21,VLOOKUP(D632,Barem!$T$1:$U$141,2,1),0)</f>
        <v>0</v>
      </c>
      <c r="S632" s="152">
        <f>IF(D632&lt;1.609,0,IF(B632="F",VLOOKUP(I632,Barem!$X$2:$Z$13,2,1),VLOOKUP(I632,Barem!$X$14:$Z$25,2,1)))</f>
        <v>0</v>
      </c>
      <c r="T632" s="21">
        <f>VLOOKUP(A632,Participanti!A:C,3,0)</f>
        <v>0</v>
      </c>
      <c r="U632" s="18">
        <f t="shared" si="257"/>
        <v>2.94</v>
      </c>
      <c r="V632" s="58" t="s">
        <v>466</v>
      </c>
      <c r="W632" s="77">
        <f t="shared" si="232"/>
        <v>1</v>
      </c>
      <c r="X632" s="1" t="str">
        <f>VLOOKUP(A632,Data_Echipe!A:R,18,0)</f>
        <v>MedgidiaRunning</v>
      </c>
      <c r="Z632" s="115">
        <f t="shared" si="258"/>
        <v>1</v>
      </c>
    </row>
    <row r="633" spans="1:26" x14ac:dyDescent="0.3">
      <c r="A633" s="49" t="s">
        <v>124</v>
      </c>
      <c r="B633" s="1" t="str">
        <f>VLOOKUP(A633,Participanti!A:B,2,0)</f>
        <v>M</v>
      </c>
      <c r="C633" s="74">
        <v>8</v>
      </c>
      <c r="D633" s="50">
        <v>10.01</v>
      </c>
      <c r="E633" s="51">
        <v>2.3194444444444445E-2</v>
      </c>
      <c r="F633" s="51">
        <v>2.3194444444444445E-2</v>
      </c>
      <c r="G633" s="69">
        <f t="shared" si="253"/>
        <v>2.3194444444444445E-2</v>
      </c>
      <c r="H633" s="52"/>
      <c r="I633" s="12">
        <f t="shared" si="254"/>
        <v>2.317127317127317E-3</v>
      </c>
      <c r="J633" s="37">
        <f t="shared" si="255"/>
        <v>2.3833333333333333</v>
      </c>
      <c r="K633" s="37">
        <f>IF(J633=0,0,IF(B633="F",VLOOKUP(I633,Barem!$G$2:$H$16,2,1),VLOOKUP(I633,Barem!$G$17:$H$31,2,1)))</f>
        <v>5</v>
      </c>
      <c r="L633" s="50">
        <v>3.25</v>
      </c>
      <c r="M633" s="124" t="s">
        <v>107</v>
      </c>
      <c r="N633" s="10">
        <f t="shared" si="259"/>
        <v>0.25</v>
      </c>
      <c r="O633" s="10">
        <f t="shared" si="259"/>
        <v>0.5</v>
      </c>
      <c r="P633" s="10">
        <f t="shared" si="259"/>
        <v>0.25</v>
      </c>
      <c r="Q633" s="40">
        <f t="shared" si="256"/>
        <v>0</v>
      </c>
      <c r="R633" s="21">
        <f>IF(D633&gt;21,VLOOKUP(D633,Barem!$T$1:$U$141,2,1),0)</f>
        <v>0</v>
      </c>
      <c r="S633" s="152">
        <f>IF(D633&lt;1.609,0,IF(B633="F",VLOOKUP(I633,Barem!$X$2:$Z$13,2,1),VLOOKUP(I633,Barem!$X$14:$Z$25,2,1)))</f>
        <v>6.75</v>
      </c>
      <c r="T633" s="21">
        <f>VLOOKUP(A633,Participanti!A:C,3,0)</f>
        <v>0</v>
      </c>
      <c r="U633" s="18">
        <f t="shared" si="257"/>
        <v>10.658333333333333</v>
      </c>
      <c r="V633" s="58" t="s">
        <v>467</v>
      </c>
      <c r="W633" s="77">
        <f t="shared" si="232"/>
        <v>1</v>
      </c>
      <c r="X633" s="1" t="str">
        <f>VLOOKUP(A633,Data_Echipe!A:R,18,0)</f>
        <v>#notSYRious</v>
      </c>
      <c r="Z633" s="115">
        <f t="shared" si="258"/>
        <v>1</v>
      </c>
    </row>
    <row r="634" spans="1:26" x14ac:dyDescent="0.3">
      <c r="A634" s="49" t="s">
        <v>125</v>
      </c>
      <c r="B634" s="1" t="str">
        <f>VLOOKUP(A634,Participanti!A:B,2,0)</f>
        <v>M</v>
      </c>
      <c r="C634" s="74">
        <v>8</v>
      </c>
      <c r="D634" s="50">
        <v>10.01</v>
      </c>
      <c r="E634" s="51">
        <v>2.6932870370370371E-2</v>
      </c>
      <c r="F634" s="51">
        <v>2.6932870370370371E-2</v>
      </c>
      <c r="G634" s="69">
        <f t="shared" si="253"/>
        <v>2.6932870370370371E-2</v>
      </c>
      <c r="H634" s="52"/>
      <c r="I634" s="12">
        <f t="shared" si="254"/>
        <v>2.6905964405964408E-3</v>
      </c>
      <c r="J634" s="37">
        <f t="shared" si="255"/>
        <v>2.3833333333333333</v>
      </c>
      <c r="K634" s="37">
        <f>IF(J634=0,0,IF(B634="F",VLOOKUP(I634,Barem!$G$2:$H$16,2,1),VLOOKUP(I634,Barem!$G$17:$H$31,2,1)))</f>
        <v>5</v>
      </c>
      <c r="L634" s="50">
        <v>0.5</v>
      </c>
      <c r="M634" s="124" t="s">
        <v>107</v>
      </c>
      <c r="N634" s="10">
        <f t="shared" si="259"/>
        <v>0.25</v>
      </c>
      <c r="O634" s="10">
        <f t="shared" si="259"/>
        <v>0.5</v>
      </c>
      <c r="P634" s="10">
        <f t="shared" si="259"/>
        <v>0.25</v>
      </c>
      <c r="Q634" s="40">
        <f t="shared" si="256"/>
        <v>0</v>
      </c>
      <c r="R634" s="21">
        <f>IF(D634&gt;21,VLOOKUP(D634,Barem!$T$1:$U$141,2,1),0)</f>
        <v>0</v>
      </c>
      <c r="S634" s="152">
        <f>IF(D634&lt;1.609,0,IF(B634="F",VLOOKUP(I634,Barem!$X$2:$Z$13,2,1),VLOOKUP(I634,Barem!$X$14:$Z$25,2,1)))</f>
        <v>0.45000000000000007</v>
      </c>
      <c r="T634" s="21">
        <f>VLOOKUP(A634,Participanti!A:C,3,0)</f>
        <v>0</v>
      </c>
      <c r="U634" s="18">
        <f t="shared" si="257"/>
        <v>3.6708333333333334</v>
      </c>
      <c r="V634" s="58" t="s">
        <v>467</v>
      </c>
      <c r="W634" s="77">
        <f t="shared" si="232"/>
        <v>1</v>
      </c>
      <c r="X634" s="1" t="str">
        <f>VLOOKUP(A634,Data_Echipe!A:R,18,0)</f>
        <v>The GOATs</v>
      </c>
      <c r="Z634" s="115">
        <f t="shared" si="258"/>
        <v>1</v>
      </c>
    </row>
    <row r="635" spans="1:26" x14ac:dyDescent="0.3">
      <c r="A635" s="49" t="s">
        <v>203</v>
      </c>
      <c r="B635" s="1" t="str">
        <f>VLOOKUP(A635,Participanti!A:B,2,0)</f>
        <v>M</v>
      </c>
      <c r="C635" s="74">
        <v>8</v>
      </c>
      <c r="D635" s="50">
        <v>4.2</v>
      </c>
      <c r="E635" s="51">
        <v>1.1851851851851851E-2</v>
      </c>
      <c r="F635" s="51">
        <v>1.1851851851851851E-2</v>
      </c>
      <c r="G635" s="69">
        <f t="shared" si="253"/>
        <v>1.1851851851851851E-2</v>
      </c>
      <c r="H635" s="52"/>
      <c r="I635" s="12">
        <f t="shared" si="254"/>
        <v>2.821869488536155E-3</v>
      </c>
      <c r="J635" s="37">
        <f t="shared" si="255"/>
        <v>1</v>
      </c>
      <c r="K635" s="37">
        <f>IF(J635=0,0,IF(B635="F",VLOOKUP(I635,Barem!$G$2:$H$16,2,1),VLOOKUP(I635,Barem!$G$17:$H$31,2,1)))</f>
        <v>4.5</v>
      </c>
      <c r="L635" s="50">
        <v>3</v>
      </c>
      <c r="M635" s="124" t="s">
        <v>107</v>
      </c>
      <c r="N635" s="10">
        <f t="shared" si="259"/>
        <v>0.25</v>
      </c>
      <c r="O635" s="10">
        <f t="shared" si="259"/>
        <v>0.5</v>
      </c>
      <c r="P635" s="10">
        <f t="shared" si="259"/>
        <v>0.25</v>
      </c>
      <c r="Q635" s="40">
        <f t="shared" si="256"/>
        <v>0</v>
      </c>
      <c r="R635" s="21">
        <f>IF(D635&gt;21,VLOOKUP(D635,Barem!$T$1:$U$141,2,1),0)</f>
        <v>0</v>
      </c>
      <c r="S635" s="152">
        <f>IF(D635&lt;1.609,0,IF(B635="F",VLOOKUP(I635,Barem!$X$2:$Z$13,2,1),VLOOKUP(I635,Barem!$X$14:$Z$25,2,1)))</f>
        <v>0</v>
      </c>
      <c r="T635" s="21">
        <f>VLOOKUP(A635,Participanti!A:C,3,0)</f>
        <v>0</v>
      </c>
      <c r="U635" s="18">
        <f t="shared" si="257"/>
        <v>3.25</v>
      </c>
      <c r="V635" s="58" t="s">
        <v>467</v>
      </c>
      <c r="W635" s="77">
        <f t="shared" si="232"/>
        <v>1</v>
      </c>
      <c r="X635" s="1" t="str">
        <f>VLOOKUP(A635,Data_Echipe!A:R,18,0)</f>
        <v>The GOATs</v>
      </c>
      <c r="Z635" s="115">
        <f t="shared" si="258"/>
        <v>1</v>
      </c>
    </row>
    <row r="636" spans="1:26" x14ac:dyDescent="0.3">
      <c r="A636" s="49" t="s">
        <v>403</v>
      </c>
      <c r="B636" s="1" t="str">
        <f>VLOOKUP(A636,Participanti!A:B,2,0)</f>
        <v>M</v>
      </c>
      <c r="C636" s="74">
        <v>8</v>
      </c>
      <c r="D636" s="50">
        <v>22.11</v>
      </c>
      <c r="E636" s="51">
        <v>8.8333333333333333E-2</v>
      </c>
      <c r="F636" s="51">
        <v>8.8437500000000002E-2</v>
      </c>
      <c r="G636" s="69">
        <f t="shared" ref="G636:G657" si="260">AVERAGE(E636:F636)</f>
        <v>8.8385416666666661E-2</v>
      </c>
      <c r="H636" s="52">
        <v>164</v>
      </c>
      <c r="I636" s="12">
        <f t="shared" ref="I636:I657" si="261">G636/D636</f>
        <v>3.9975312829790442E-3</v>
      </c>
      <c r="J636" s="37">
        <f t="shared" ref="J636:J657" si="262">IF(B636="F",IF(D636&lt;2.5,0,IF(D636&gt;19.99,5,D636/4)),IF(D636&lt;3,0, IF(D636&gt;20.99,5,D636/4.2)))</f>
        <v>5</v>
      </c>
      <c r="K636" s="37">
        <f>IF(J636=0,0,IF(B636="F",VLOOKUP(I636,Barem!$G$2:$H$16,2,1),VLOOKUP(I636,Barem!$G$17:$H$31,2,1)))</f>
        <v>1.75</v>
      </c>
      <c r="L636" s="50">
        <v>4</v>
      </c>
      <c r="M636" s="124" t="s">
        <v>107</v>
      </c>
      <c r="N636" s="10">
        <f t="shared" si="259"/>
        <v>0.25</v>
      </c>
      <c r="O636" s="10">
        <f t="shared" si="259"/>
        <v>0.5</v>
      </c>
      <c r="P636" s="10">
        <f t="shared" si="259"/>
        <v>0.25</v>
      </c>
      <c r="Q636" s="40">
        <f t="shared" ref="Q636:Q657" si="263">IF(H636&gt;49,H636/1500,0)</f>
        <v>0.10933333333333334</v>
      </c>
      <c r="R636" s="21">
        <f>IF(D636&gt;21,VLOOKUP(D636,Barem!$T$1:$U$141,2,1),0)</f>
        <v>0</v>
      </c>
      <c r="S636" s="152">
        <f>IF(D636&lt;1.609,0,IF(B636="F",VLOOKUP(I636,Barem!$X$2:$Z$13,2,1),VLOOKUP(I636,Barem!$X$14:$Z$25,2,1)))</f>
        <v>0</v>
      </c>
      <c r="T636" s="21">
        <f>VLOOKUP(A636,Participanti!A:C,3,0)</f>
        <v>0</v>
      </c>
      <c r="U636" s="18">
        <f t="shared" ref="U636:U657" si="264">IF(H636&lt;0,0,J636*N636+K636*O636+L636*P636+Q636+R636+S636+T636)</f>
        <v>3.2343333333333333</v>
      </c>
      <c r="V636" s="58" t="s">
        <v>467</v>
      </c>
      <c r="W636" s="77">
        <f t="shared" si="232"/>
        <v>1</v>
      </c>
      <c r="X636" s="1" t="str">
        <f>VLOOKUP(A636,Data_Echipe!A:R,18,0)</f>
        <v>The GOATs</v>
      </c>
      <c r="Z636" s="115">
        <f t="shared" ref="Z636:Z657" si="265">IF(K636&gt;0,1,0)</f>
        <v>1</v>
      </c>
    </row>
    <row r="637" spans="1:26" x14ac:dyDescent="0.3">
      <c r="A637" s="49" t="s">
        <v>351</v>
      </c>
      <c r="B637" s="1" t="str">
        <f>VLOOKUP(A637,Participanti!A:B,2,0)</f>
        <v>F</v>
      </c>
      <c r="C637" s="74">
        <v>8</v>
      </c>
      <c r="D637" s="50">
        <v>4.3</v>
      </c>
      <c r="E637" s="51">
        <v>1.4780092592592595E-2</v>
      </c>
      <c r="F637" s="51">
        <v>1.4780092592592595E-2</v>
      </c>
      <c r="G637" s="69">
        <f t="shared" si="260"/>
        <v>1.4780092592592595E-2</v>
      </c>
      <c r="H637" s="52"/>
      <c r="I637" s="12">
        <f t="shared" si="261"/>
        <v>3.4372308354866502E-3</v>
      </c>
      <c r="J637" s="37">
        <f t="shared" si="262"/>
        <v>1.075</v>
      </c>
      <c r="K637" s="37">
        <f>IF(J637=0,0,IF(B637="F",VLOOKUP(I637,Barem!$G$2:$H$16,2,1),VLOOKUP(I637,Barem!$G$17:$H$31,2,1)))</f>
        <v>4</v>
      </c>
      <c r="L637" s="50">
        <v>1.5</v>
      </c>
      <c r="M637" s="124" t="s">
        <v>107</v>
      </c>
      <c r="N637" s="10">
        <f t="shared" si="259"/>
        <v>0.25</v>
      </c>
      <c r="O637" s="10">
        <f t="shared" si="259"/>
        <v>0.5</v>
      </c>
      <c r="P637" s="10">
        <f t="shared" si="259"/>
        <v>0.25</v>
      </c>
      <c r="Q637" s="40">
        <f t="shared" si="263"/>
        <v>0</v>
      </c>
      <c r="R637" s="21">
        <f>IF(D637&gt;21,VLOOKUP(D637,Barem!$T$1:$U$141,2,1),0)</f>
        <v>0</v>
      </c>
      <c r="S637" s="152">
        <f>IF(D637&lt;1.609,0,IF(B637="F",VLOOKUP(I637,Barem!$X$2:$Z$13,2,1),VLOOKUP(I637,Barem!$X$14:$Z$25,2,1)))</f>
        <v>0</v>
      </c>
      <c r="T637" s="21">
        <f>VLOOKUP(A637,Participanti!A:C,3,0)</f>
        <v>0</v>
      </c>
      <c r="U637" s="18">
        <f t="shared" si="264"/>
        <v>2.6437499999999998</v>
      </c>
      <c r="V637" s="58" t="s">
        <v>467</v>
      </c>
      <c r="W637" s="77">
        <f t="shared" si="232"/>
        <v>1</v>
      </c>
      <c r="X637" s="1" t="e">
        <f>VLOOKUP(A637,Data_Echipe!A:R,18,0)</f>
        <v>#N/A</v>
      </c>
      <c r="Z637" s="115">
        <f t="shared" si="265"/>
        <v>1</v>
      </c>
    </row>
    <row r="638" spans="1:26" x14ac:dyDescent="0.3">
      <c r="A638" s="49" t="s">
        <v>461</v>
      </c>
      <c r="B638" s="1" t="str">
        <f>VLOOKUP(A638,Participanti!A:B,2,0)</f>
        <v>M</v>
      </c>
      <c r="C638" s="74">
        <v>8</v>
      </c>
      <c r="D638" s="50">
        <v>15.19</v>
      </c>
      <c r="E638" s="51">
        <v>6.0486111111111109E-2</v>
      </c>
      <c r="F638" s="51">
        <v>7.8171296296296308E-2</v>
      </c>
      <c r="G638" s="69">
        <f t="shared" si="260"/>
        <v>6.9328703703703712E-2</v>
      </c>
      <c r="H638" s="52"/>
      <c r="I638" s="12">
        <f t="shared" si="261"/>
        <v>4.5641016263136087E-3</v>
      </c>
      <c r="J638" s="37">
        <f t="shared" si="262"/>
        <v>3.6166666666666663</v>
      </c>
      <c r="K638" s="37">
        <f>IF(J638=0,0,IF(B638="F",VLOOKUP(I638,Barem!$G$2:$H$16,2,1),VLOOKUP(I638,Barem!$G$17:$H$31,2,1)))</f>
        <v>0.75</v>
      </c>
      <c r="L638" s="50">
        <v>0</v>
      </c>
      <c r="M638" s="124" t="s">
        <v>107</v>
      </c>
      <c r="N638" s="10">
        <f t="shared" si="259"/>
        <v>0.25</v>
      </c>
      <c r="O638" s="10">
        <f t="shared" si="259"/>
        <v>0.5</v>
      </c>
      <c r="P638" s="10">
        <f t="shared" si="259"/>
        <v>0.25</v>
      </c>
      <c r="Q638" s="40">
        <f t="shared" si="263"/>
        <v>0</v>
      </c>
      <c r="R638" s="21">
        <f>IF(D638&gt;21,VLOOKUP(D638,Barem!$T$1:$U$141,2,1),0)</f>
        <v>0</v>
      </c>
      <c r="S638" s="152">
        <f>IF(D638&lt;1.609,0,IF(B638="F",VLOOKUP(I638,Barem!$X$2:$Z$13,2,1),VLOOKUP(I638,Barem!$X$14:$Z$25,2,1)))</f>
        <v>0</v>
      </c>
      <c r="T638" s="21">
        <f>VLOOKUP(A638,Participanti!A:C,3,0)</f>
        <v>0</v>
      </c>
      <c r="U638" s="18">
        <f t="shared" si="264"/>
        <v>1.2791666666666666</v>
      </c>
      <c r="V638" s="58" t="s">
        <v>467</v>
      </c>
      <c r="W638" s="77">
        <f t="shared" si="232"/>
        <v>1</v>
      </c>
      <c r="X638" s="1" t="e">
        <f>VLOOKUP(A638,Data_Echipe!A:R,18,0)</f>
        <v>#N/A</v>
      </c>
      <c r="Z638" s="115">
        <f t="shared" si="265"/>
        <v>1</v>
      </c>
    </row>
    <row r="639" spans="1:26" x14ac:dyDescent="0.3">
      <c r="A639" s="132" t="s">
        <v>137</v>
      </c>
      <c r="B639" s="133" t="str">
        <f>VLOOKUP(A639,Participanti!A:B,2,0)</f>
        <v>M</v>
      </c>
      <c r="C639" s="134">
        <v>8</v>
      </c>
      <c r="D639" s="135">
        <v>0</v>
      </c>
      <c r="E639" s="136">
        <v>0</v>
      </c>
      <c r="F639" s="136">
        <v>0</v>
      </c>
      <c r="G639" s="137">
        <f t="shared" si="260"/>
        <v>0</v>
      </c>
      <c r="H639" s="138"/>
      <c r="I639" s="139">
        <v>0</v>
      </c>
      <c r="J639" s="140">
        <f t="shared" si="262"/>
        <v>0</v>
      </c>
      <c r="K639" s="140">
        <f>IF(J639=0,0,IF(B639="F",VLOOKUP(I639,Barem!$G$2:$H$16,2,1),VLOOKUP(I639,Barem!$G$17:$H$31,2,1)))</f>
        <v>0</v>
      </c>
      <c r="L639" s="135">
        <v>0</v>
      </c>
      <c r="M639" s="141" t="s">
        <v>459</v>
      </c>
      <c r="N639" s="142">
        <f t="shared" si="259"/>
        <v>0.25</v>
      </c>
      <c r="O639" s="142">
        <f t="shared" si="259"/>
        <v>0.25</v>
      </c>
      <c r="P639" s="142">
        <f t="shared" si="259"/>
        <v>0.25</v>
      </c>
      <c r="Q639" s="143">
        <f t="shared" si="263"/>
        <v>0</v>
      </c>
      <c r="R639" s="144">
        <f>IF(D639&gt;21,VLOOKUP(D639,Barem!$T$1:$U$141,2,1),0)</f>
        <v>0</v>
      </c>
      <c r="S639" s="156">
        <f>IF(D639&lt;1.609,0,IF(B639="F",VLOOKUP(I639,Barem!$X$2:$Z$13,2,1),VLOOKUP(I639,Barem!$X$14:$Z$25,2,1)))</f>
        <v>0</v>
      </c>
      <c r="T639" s="144">
        <f>VLOOKUP(A639,Participanti!A:C,3,0)</f>
        <v>0</v>
      </c>
      <c r="U639" s="143">
        <v>1.5</v>
      </c>
      <c r="V639" s="145" t="s">
        <v>467</v>
      </c>
      <c r="W639" s="146">
        <f t="shared" si="232"/>
        <v>1</v>
      </c>
      <c r="X639" s="133" t="str">
        <f>VLOOKUP(A639,Data_Echipe!A:R,18,0)</f>
        <v>The GOATs</v>
      </c>
      <c r="Y639" s="133"/>
      <c r="Z639" s="147">
        <f t="shared" si="265"/>
        <v>0</v>
      </c>
    </row>
    <row r="640" spans="1:26" x14ac:dyDescent="0.3">
      <c r="A640" s="49" t="s">
        <v>275</v>
      </c>
      <c r="B640" s="1" t="str">
        <f>VLOOKUP(A640,Participanti!A:B,2,0)</f>
        <v>M</v>
      </c>
      <c r="C640" s="74">
        <v>8</v>
      </c>
      <c r="D640" s="50">
        <v>17.760000000000002</v>
      </c>
      <c r="E640" s="51">
        <v>0.10324074074074074</v>
      </c>
      <c r="F640" s="51">
        <v>0.10621527777777778</v>
      </c>
      <c r="G640" s="69">
        <f t="shared" si="260"/>
        <v>0.10472800925925926</v>
      </c>
      <c r="H640" s="52">
        <v>1012</v>
      </c>
      <c r="I640" s="12">
        <f t="shared" si="261"/>
        <v>5.8968473682015346E-3</v>
      </c>
      <c r="J640" s="37">
        <f t="shared" si="262"/>
        <v>4.2285714285714286</v>
      </c>
      <c r="K640" s="37">
        <f>IF(J640=0,0,IF(B640="F",VLOOKUP(I640,Barem!$G$2:$H$16,2,1),VLOOKUP(I640,Barem!$G$17:$H$31,2,1)))</f>
        <v>0</v>
      </c>
      <c r="L640" s="50">
        <v>2.5</v>
      </c>
      <c r="M640" s="124" t="s">
        <v>106</v>
      </c>
      <c r="N640" s="10">
        <f t="shared" si="259"/>
        <v>0.5</v>
      </c>
      <c r="O640" s="10">
        <f t="shared" si="259"/>
        <v>0.25</v>
      </c>
      <c r="P640" s="10">
        <f t="shared" si="259"/>
        <v>0.25</v>
      </c>
      <c r="Q640" s="40">
        <f t="shared" si="263"/>
        <v>0.67466666666666664</v>
      </c>
      <c r="R640" s="21">
        <f>IF(D640&gt;21,VLOOKUP(D640,Barem!$T$1:$U$141,2,1),0)</f>
        <v>0</v>
      </c>
      <c r="S640" s="152">
        <f>IF(D640&lt;1.609,0,IF(B640="F",VLOOKUP(I640,Barem!$X$2:$Z$13,2,1),VLOOKUP(I640,Barem!$X$14:$Z$25,2,1)))</f>
        <v>0</v>
      </c>
      <c r="T640" s="21">
        <f>VLOOKUP(A640,Participanti!A:C,3,0)</f>
        <v>0</v>
      </c>
      <c r="U640" s="18">
        <f t="shared" si="264"/>
        <v>3.4139523809523808</v>
      </c>
      <c r="V640" s="58" t="s">
        <v>467</v>
      </c>
      <c r="W640" s="77">
        <f t="shared" si="232"/>
        <v>1</v>
      </c>
      <c r="X640" s="1" t="e">
        <f>VLOOKUP(A640,Data_Echipe!A:R,18,0)</f>
        <v>#N/A</v>
      </c>
      <c r="Z640" s="115">
        <f t="shared" si="265"/>
        <v>0</v>
      </c>
    </row>
    <row r="641" spans="1:26" x14ac:dyDescent="0.3">
      <c r="A641" s="49" t="s">
        <v>430</v>
      </c>
      <c r="B641" s="1" t="str">
        <f>VLOOKUP(A641,Participanti!A:B,2,0)</f>
        <v>M</v>
      </c>
      <c r="C641" s="74">
        <v>8</v>
      </c>
      <c r="D641" s="50">
        <v>14</v>
      </c>
      <c r="E641" s="51">
        <v>5.1701388888888887E-2</v>
      </c>
      <c r="F641" s="51">
        <v>5.1701388888888887E-2</v>
      </c>
      <c r="G641" s="69">
        <f t="shared" si="260"/>
        <v>5.1701388888888887E-2</v>
      </c>
      <c r="H641" s="52"/>
      <c r="I641" s="12">
        <f t="shared" si="261"/>
        <v>3.692956349206349E-3</v>
      </c>
      <c r="J641" s="37">
        <f t="shared" si="262"/>
        <v>3.333333333333333</v>
      </c>
      <c r="K641" s="37">
        <f>IF(J641=0,0,IF(B641="F",VLOOKUP(I641,Barem!$G$2:$H$16,2,1),VLOOKUP(I641,Barem!$G$17:$H$31,2,1)))</f>
        <v>2</v>
      </c>
      <c r="L641" s="50">
        <v>2</v>
      </c>
      <c r="M641" s="124" t="s">
        <v>107</v>
      </c>
      <c r="N641" s="10">
        <f t="shared" si="259"/>
        <v>0.25</v>
      </c>
      <c r="O641" s="10">
        <f t="shared" si="259"/>
        <v>0.5</v>
      </c>
      <c r="P641" s="10">
        <f t="shared" si="259"/>
        <v>0.25</v>
      </c>
      <c r="Q641" s="40">
        <f t="shared" si="263"/>
        <v>0</v>
      </c>
      <c r="R641" s="21">
        <f>IF(D641&gt;21,VLOOKUP(D641,Barem!$T$1:$U$141,2,1),0)</f>
        <v>0</v>
      </c>
      <c r="S641" s="152">
        <f>IF(D641&lt;1.609,0,IF(B641="F",VLOOKUP(I641,Barem!$X$2:$Z$13,2,1),VLOOKUP(I641,Barem!$X$14:$Z$25,2,1)))</f>
        <v>0</v>
      </c>
      <c r="T641" s="21">
        <f>VLOOKUP(A641,Participanti!A:C,3,0)</f>
        <v>0</v>
      </c>
      <c r="U641" s="18">
        <f t="shared" si="264"/>
        <v>2.333333333333333</v>
      </c>
      <c r="V641" s="58" t="s">
        <v>467</v>
      </c>
      <c r="W641" s="77">
        <f t="shared" si="232"/>
        <v>1</v>
      </c>
      <c r="X641" s="1" t="e">
        <f>VLOOKUP(A641,Data_Echipe!A:R,18,0)</f>
        <v>#N/A</v>
      </c>
      <c r="Z641" s="115">
        <f t="shared" si="265"/>
        <v>1</v>
      </c>
    </row>
    <row r="642" spans="1:26" x14ac:dyDescent="0.3">
      <c r="A642" s="49" t="s">
        <v>344</v>
      </c>
      <c r="B642" s="1" t="str">
        <f>VLOOKUP(A642,Participanti!A:B,2,0)</f>
        <v>F</v>
      </c>
      <c r="C642" s="74">
        <v>8</v>
      </c>
      <c r="D642" s="50">
        <v>20.03</v>
      </c>
      <c r="E642" s="51">
        <v>8.2650462962962967E-2</v>
      </c>
      <c r="F642" s="51">
        <v>8.2731481481481475E-2</v>
      </c>
      <c r="G642" s="69">
        <f t="shared" si="260"/>
        <v>8.2690972222222214E-2</v>
      </c>
      <c r="H642" s="52">
        <v>95</v>
      </c>
      <c r="I642" s="12">
        <f t="shared" si="261"/>
        <v>4.128356076995617E-3</v>
      </c>
      <c r="J642" s="37">
        <f t="shared" si="262"/>
        <v>5</v>
      </c>
      <c r="K642" s="37">
        <f>IF(J642=0,0,IF(B642="F",VLOOKUP(I642,Barem!$G$2:$H$16,2,1),VLOOKUP(I642,Barem!$G$17:$H$31,2,1)))</f>
        <v>2</v>
      </c>
      <c r="L642" s="50">
        <v>3.75</v>
      </c>
      <c r="M642" s="124" t="s">
        <v>207</v>
      </c>
      <c r="N642" s="10">
        <f t="shared" ref="N642:P658" si="266">IF($M642=N$1,50%,25%)</f>
        <v>0.25</v>
      </c>
      <c r="O642" s="10">
        <f t="shared" si="266"/>
        <v>0.25</v>
      </c>
      <c r="P642" s="10">
        <f t="shared" si="266"/>
        <v>0.5</v>
      </c>
      <c r="Q642" s="40">
        <f t="shared" si="263"/>
        <v>6.3333333333333339E-2</v>
      </c>
      <c r="R642" s="21">
        <f>IF(D642&gt;21,VLOOKUP(D642,Barem!$T$1:$U$141,2,1),0)</f>
        <v>0</v>
      </c>
      <c r="S642" s="152">
        <f>IF(D642&lt;1.609,0,IF(B642="F",VLOOKUP(I642,Barem!$X$2:$Z$13,2,1),VLOOKUP(I642,Barem!$X$14:$Z$25,2,1)))</f>
        <v>0</v>
      </c>
      <c r="T642" s="21">
        <f>VLOOKUP(A642,Participanti!A:C,3,0)</f>
        <v>0</v>
      </c>
      <c r="U642" s="18">
        <f t="shared" si="264"/>
        <v>3.6883333333333335</v>
      </c>
      <c r="V642" s="58" t="s">
        <v>467</v>
      </c>
      <c r="W642" s="77">
        <f t="shared" ref="W642:W705" si="267">COUNTIFS(A:A,A642,C:C,C642)</f>
        <v>1</v>
      </c>
      <c r="X642" s="1" t="e">
        <f>VLOOKUP(A642,Data_Echipe!A:R,18,0)</f>
        <v>#N/A</v>
      </c>
      <c r="Z642" s="115">
        <f t="shared" si="265"/>
        <v>1</v>
      </c>
    </row>
    <row r="643" spans="1:26" x14ac:dyDescent="0.3">
      <c r="A643" s="49" t="s">
        <v>368</v>
      </c>
      <c r="B643" s="1" t="str">
        <f>VLOOKUP(A643,Participanti!A:B,2,0)</f>
        <v>M</v>
      </c>
      <c r="C643" s="74">
        <v>8</v>
      </c>
      <c r="D643" s="50">
        <v>10.33</v>
      </c>
      <c r="E643" s="51">
        <v>3.1296296296296301E-2</v>
      </c>
      <c r="F643" s="51">
        <v>3.1817129629629633E-2</v>
      </c>
      <c r="G643" s="69">
        <f t="shared" si="260"/>
        <v>3.1556712962962967E-2</v>
      </c>
      <c r="H643" s="52"/>
      <c r="I643" s="12">
        <f t="shared" si="261"/>
        <v>3.0548608870244885E-3</v>
      </c>
      <c r="J643" s="37">
        <f t="shared" si="262"/>
        <v>2.4595238095238092</v>
      </c>
      <c r="K643" s="37">
        <f>IF(J643=0,0,IF(B643="F",VLOOKUP(I643,Barem!$G$2:$H$16,2,1),VLOOKUP(I643,Barem!$G$17:$H$31,2,1)))</f>
        <v>4</v>
      </c>
      <c r="L643" s="50">
        <v>1.5</v>
      </c>
      <c r="M643" s="124" t="s">
        <v>107</v>
      </c>
      <c r="N643" s="10">
        <f t="shared" si="266"/>
        <v>0.25</v>
      </c>
      <c r="O643" s="10">
        <f t="shared" si="266"/>
        <v>0.5</v>
      </c>
      <c r="P643" s="10">
        <f t="shared" si="266"/>
        <v>0.25</v>
      </c>
      <c r="Q643" s="40">
        <f t="shared" si="263"/>
        <v>0</v>
      </c>
      <c r="R643" s="21">
        <f>IF(D643&gt;21,VLOOKUP(D643,Barem!$T$1:$U$141,2,1),0)</f>
        <v>0</v>
      </c>
      <c r="S643" s="152">
        <f>IF(D643&lt;1.609,0,IF(B643="F",VLOOKUP(I643,Barem!$X$2:$Z$13,2,1),VLOOKUP(I643,Barem!$X$14:$Z$25,2,1)))</f>
        <v>0</v>
      </c>
      <c r="T643" s="21">
        <f>VLOOKUP(A643,Participanti!A:C,3,0)</f>
        <v>0</v>
      </c>
      <c r="U643" s="18">
        <f t="shared" si="264"/>
        <v>2.9898809523809522</v>
      </c>
      <c r="V643" s="58" t="s">
        <v>467</v>
      </c>
      <c r="W643" s="77">
        <f t="shared" si="267"/>
        <v>1</v>
      </c>
      <c r="X643" s="1" t="str">
        <f>VLOOKUP(A643,Data_Echipe!A:R,18,0)</f>
        <v>Almost Kenyan Runners</v>
      </c>
      <c r="Z643" s="115">
        <f t="shared" si="265"/>
        <v>1</v>
      </c>
    </row>
    <row r="644" spans="1:26" x14ac:dyDescent="0.3">
      <c r="A644" s="49" t="s">
        <v>362</v>
      </c>
      <c r="B644" s="1" t="str">
        <f>VLOOKUP(A644,Participanti!A:B,2,0)</f>
        <v>M</v>
      </c>
      <c r="C644" s="74">
        <v>8</v>
      </c>
      <c r="D644" s="50">
        <v>15.81</v>
      </c>
      <c r="E644" s="51">
        <v>9.0509259259259248E-2</v>
      </c>
      <c r="F644" s="51">
        <v>0.16991898148148146</v>
      </c>
      <c r="G644" s="69">
        <f t="shared" si="260"/>
        <v>0.13021412037037036</v>
      </c>
      <c r="H644" s="52">
        <v>2293</v>
      </c>
      <c r="I644" s="12">
        <f t="shared" si="261"/>
        <v>8.2361872467027423E-3</v>
      </c>
      <c r="J644" s="37">
        <f t="shared" si="262"/>
        <v>3.7642857142857142</v>
      </c>
      <c r="K644" s="37">
        <f>IF(J644=0,0,IF(B644="F",VLOOKUP(I644,Barem!$G$2:$H$16,2,1),VLOOKUP(I644,Barem!$G$17:$H$31,2,1)))</f>
        <v>0</v>
      </c>
      <c r="L644" s="50">
        <v>3</v>
      </c>
      <c r="M644" s="124" t="s">
        <v>207</v>
      </c>
      <c r="N644" s="10">
        <f t="shared" si="266"/>
        <v>0.25</v>
      </c>
      <c r="O644" s="10">
        <f t="shared" si="266"/>
        <v>0.25</v>
      </c>
      <c r="P644" s="10">
        <f t="shared" si="266"/>
        <v>0.5</v>
      </c>
      <c r="Q644" s="40">
        <f t="shared" si="263"/>
        <v>1.5286666666666666</v>
      </c>
      <c r="R644" s="21">
        <f>IF(D644&gt;21,VLOOKUP(D644,Barem!$T$1:$U$141,2,1),0)</f>
        <v>0</v>
      </c>
      <c r="S644" s="152">
        <f>IF(D644&lt;1.609,0,IF(B644="F",VLOOKUP(I644,Barem!$X$2:$Z$13,2,1),VLOOKUP(I644,Barem!$X$14:$Z$25,2,1)))</f>
        <v>0</v>
      </c>
      <c r="T644" s="21">
        <f>VLOOKUP(A644,Participanti!A:C,3,0)</f>
        <v>0</v>
      </c>
      <c r="U644" s="18">
        <f t="shared" si="264"/>
        <v>3.9697380952380952</v>
      </c>
      <c r="V644" s="58" t="s">
        <v>467</v>
      </c>
      <c r="W644" s="77">
        <f t="shared" si="267"/>
        <v>1</v>
      </c>
      <c r="X644" s="1" t="e">
        <f>VLOOKUP(A644,Data_Echipe!A:R,18,0)</f>
        <v>#N/A</v>
      </c>
      <c r="Z644" s="115">
        <f t="shared" si="265"/>
        <v>0</v>
      </c>
    </row>
    <row r="645" spans="1:26" x14ac:dyDescent="0.3">
      <c r="A645" s="49" t="s">
        <v>108</v>
      </c>
      <c r="B645" s="1" t="str">
        <f>VLOOKUP(A645,Participanti!A:B,2,0)</f>
        <v>M</v>
      </c>
      <c r="C645" s="74">
        <v>8</v>
      </c>
      <c r="D645" s="50">
        <v>56.1</v>
      </c>
      <c r="E645" s="51">
        <v>0.29946759259259259</v>
      </c>
      <c r="F645" s="51">
        <v>0.38851851851851849</v>
      </c>
      <c r="G645" s="69">
        <f t="shared" si="260"/>
        <v>0.34399305555555554</v>
      </c>
      <c r="H645" s="52">
        <v>1948</v>
      </c>
      <c r="I645" s="12">
        <f t="shared" si="261"/>
        <v>6.1317835214894038E-3</v>
      </c>
      <c r="J645" s="37">
        <f t="shared" si="262"/>
        <v>5</v>
      </c>
      <c r="K645" s="37">
        <f>IF(J645=0,0,IF(B645="F",VLOOKUP(I645,Barem!$G$2:$H$16,2,1),VLOOKUP(I645,Barem!$G$17:$H$31,2,1)))</f>
        <v>0</v>
      </c>
      <c r="L645" s="50">
        <v>4.25</v>
      </c>
      <c r="M645" s="124" t="s">
        <v>106</v>
      </c>
      <c r="N645" s="10">
        <f t="shared" si="266"/>
        <v>0.5</v>
      </c>
      <c r="O645" s="10">
        <f t="shared" si="266"/>
        <v>0.25</v>
      </c>
      <c r="P645" s="10">
        <f t="shared" si="266"/>
        <v>0.25</v>
      </c>
      <c r="Q645" s="40">
        <f t="shared" si="263"/>
        <v>1.2986666666666666</v>
      </c>
      <c r="R645" s="21">
        <f>IF(D645&gt;21,VLOOKUP(D645,Barem!$T$1:$U$141,2,1),0)</f>
        <v>1.7</v>
      </c>
      <c r="S645" s="152">
        <f>IF(D645&lt;1.609,0,IF(B645="F",VLOOKUP(I645,Barem!$X$2:$Z$13,2,1),VLOOKUP(I645,Barem!$X$14:$Z$25,2,1)))</f>
        <v>0</v>
      </c>
      <c r="T645" s="21">
        <f>VLOOKUP(A645,Participanti!A:C,3,0)</f>
        <v>0</v>
      </c>
      <c r="U645" s="18">
        <f t="shared" si="264"/>
        <v>6.5611666666666668</v>
      </c>
      <c r="V645" s="58" t="s">
        <v>467</v>
      </c>
      <c r="W645" s="77">
        <f t="shared" si="267"/>
        <v>1</v>
      </c>
      <c r="X645" s="1" t="str">
        <f>VLOOKUP(A645,Data_Echipe!A:R,18,0)</f>
        <v>UltraHaita lu' Borcan</v>
      </c>
      <c r="Z645" s="115">
        <f t="shared" si="265"/>
        <v>0</v>
      </c>
    </row>
    <row r="646" spans="1:26" x14ac:dyDescent="0.3">
      <c r="A646" s="49" t="s">
        <v>132</v>
      </c>
      <c r="B646" s="1" t="str">
        <f>VLOOKUP(A646,Participanti!A:B,2,0)</f>
        <v>F</v>
      </c>
      <c r="C646" s="74">
        <v>8</v>
      </c>
      <c r="D646" s="50">
        <v>23.08</v>
      </c>
      <c r="E646" s="51">
        <v>0.11288194444444444</v>
      </c>
      <c r="F646" s="51">
        <v>0.11697916666666668</v>
      </c>
      <c r="G646" s="69">
        <f t="shared" si="260"/>
        <v>0.11493055555555556</v>
      </c>
      <c r="H646" s="52">
        <v>195</v>
      </c>
      <c r="I646" s="12">
        <f t="shared" si="261"/>
        <v>4.9796601193914892E-3</v>
      </c>
      <c r="J646" s="37">
        <f t="shared" si="262"/>
        <v>5</v>
      </c>
      <c r="K646" s="37">
        <f>IF(J646=0,0,IF(B646="F",VLOOKUP(I646,Barem!$G$2:$H$16,2,1),VLOOKUP(I646,Barem!$G$17:$H$31,2,1)))</f>
        <v>0.75</v>
      </c>
      <c r="L646" s="50">
        <v>3.5</v>
      </c>
      <c r="M646" s="124" t="s">
        <v>106</v>
      </c>
      <c r="N646" s="10">
        <f t="shared" si="266"/>
        <v>0.5</v>
      </c>
      <c r="O646" s="10">
        <f t="shared" si="266"/>
        <v>0.25</v>
      </c>
      <c r="P646" s="10">
        <f t="shared" si="266"/>
        <v>0.25</v>
      </c>
      <c r="Q646" s="40">
        <f t="shared" si="263"/>
        <v>0.13</v>
      </c>
      <c r="R646" s="21">
        <f>IF(D646&gt;21,VLOOKUP(D646,Barem!$T$1:$U$141,2,1),0)</f>
        <v>0.1</v>
      </c>
      <c r="S646" s="152">
        <f>IF(D646&lt;1.609,0,IF(B646="F",VLOOKUP(I646,Barem!$X$2:$Z$13,2,1),VLOOKUP(I646,Barem!$X$14:$Z$25,2,1)))</f>
        <v>0</v>
      </c>
      <c r="T646" s="21">
        <f>VLOOKUP(A646,Participanti!A:C,3,0)</f>
        <v>0</v>
      </c>
      <c r="U646" s="18">
        <f t="shared" si="264"/>
        <v>3.7925</v>
      </c>
      <c r="V646" s="58" t="s">
        <v>467</v>
      </c>
      <c r="W646" s="77">
        <f t="shared" si="267"/>
        <v>1</v>
      </c>
      <c r="X646" s="1" t="str">
        <f>VLOOKUP(A646,Data_Echipe!A:R,18,0)</f>
        <v>MedgidiaRunning</v>
      </c>
      <c r="Z646" s="115">
        <f t="shared" si="265"/>
        <v>1</v>
      </c>
    </row>
    <row r="647" spans="1:26" x14ac:dyDescent="0.3">
      <c r="A647" s="49" t="s">
        <v>448</v>
      </c>
      <c r="B647" s="1" t="str">
        <f>VLOOKUP(A647,Participanti!A:B,2,0)</f>
        <v>M</v>
      </c>
      <c r="C647" s="74">
        <v>8</v>
      </c>
      <c r="D647" s="50">
        <v>42.38</v>
      </c>
      <c r="E647" s="51">
        <v>0.18795138888888888</v>
      </c>
      <c r="F647" s="51">
        <v>0.19125</v>
      </c>
      <c r="G647" s="69">
        <f t="shared" si="260"/>
        <v>0.18960069444444444</v>
      </c>
      <c r="H647" s="52"/>
      <c r="I647" s="12">
        <f t="shared" si="261"/>
        <v>4.473824786324786E-3</v>
      </c>
      <c r="J647" s="37">
        <f t="shared" si="262"/>
        <v>5</v>
      </c>
      <c r="K647" s="37">
        <f>IF(J647=0,0,IF(B647="F",VLOOKUP(I647,Barem!$G$2:$H$16,2,1),VLOOKUP(I647,Barem!$G$17:$H$31,2,1)))</f>
        <v>1</v>
      </c>
      <c r="L647" s="50">
        <v>0.5</v>
      </c>
      <c r="M647" s="124" t="s">
        <v>106</v>
      </c>
      <c r="N647" s="10">
        <f t="shared" si="266"/>
        <v>0.5</v>
      </c>
      <c r="O647" s="10">
        <f t="shared" si="266"/>
        <v>0.25</v>
      </c>
      <c r="P647" s="10">
        <f t="shared" si="266"/>
        <v>0.25</v>
      </c>
      <c r="Q647" s="40">
        <f t="shared" si="263"/>
        <v>0</v>
      </c>
      <c r="R647" s="21">
        <f>IF(D647&gt;21,VLOOKUP(D647,Barem!$T$1:$U$141,2,1),0)</f>
        <v>1</v>
      </c>
      <c r="S647" s="152">
        <f>IF(D647&lt;1.609,0,IF(B647="F",VLOOKUP(I647,Barem!$X$2:$Z$13,2,1),VLOOKUP(I647,Barem!$X$14:$Z$25,2,1)))</f>
        <v>0</v>
      </c>
      <c r="T647" s="21">
        <f>VLOOKUP(A647,Participanti!A:C,3,0)</f>
        <v>0</v>
      </c>
      <c r="U647" s="18">
        <f t="shared" si="264"/>
        <v>3.875</v>
      </c>
      <c r="V647" s="58" t="s">
        <v>467</v>
      </c>
      <c r="W647" s="77">
        <f t="shared" si="267"/>
        <v>1</v>
      </c>
      <c r="X647" s="1" t="e">
        <f>VLOOKUP(A647,Data_Echipe!A:R,18,0)</f>
        <v>#N/A</v>
      </c>
      <c r="Z647" s="115">
        <f t="shared" si="265"/>
        <v>1</v>
      </c>
    </row>
    <row r="648" spans="1:26" x14ac:dyDescent="0.3">
      <c r="A648" s="49" t="s">
        <v>208</v>
      </c>
      <c r="B648" s="1" t="str">
        <f>VLOOKUP(A648,Participanti!A:B,2,0)</f>
        <v>M</v>
      </c>
      <c r="C648" s="74">
        <v>8</v>
      </c>
      <c r="D648" s="50">
        <v>6</v>
      </c>
      <c r="E648" s="51">
        <v>1.7685185185185182E-2</v>
      </c>
      <c r="F648" s="51">
        <v>1.7685185185185182E-2</v>
      </c>
      <c r="G648" s="69">
        <f t="shared" si="260"/>
        <v>1.7685185185185182E-2</v>
      </c>
      <c r="H648" s="52"/>
      <c r="I648" s="12">
        <f t="shared" si="261"/>
        <v>2.9475308641975302E-3</v>
      </c>
      <c r="J648" s="37">
        <f t="shared" si="262"/>
        <v>1.4285714285714286</v>
      </c>
      <c r="K648" s="37">
        <f>IF(J648=0,0,IF(B648="F",VLOOKUP(I648,Barem!$G$2:$H$16,2,1),VLOOKUP(I648,Barem!$G$17:$H$31,2,1)))</f>
        <v>4.5</v>
      </c>
      <c r="L648" s="50">
        <v>2.25</v>
      </c>
      <c r="M648" s="124" t="s">
        <v>107</v>
      </c>
      <c r="N648" s="10">
        <f t="shared" si="266"/>
        <v>0.25</v>
      </c>
      <c r="O648" s="10">
        <f t="shared" si="266"/>
        <v>0.5</v>
      </c>
      <c r="P648" s="10">
        <f t="shared" si="266"/>
        <v>0.25</v>
      </c>
      <c r="Q648" s="40">
        <f t="shared" si="263"/>
        <v>0</v>
      </c>
      <c r="R648" s="21">
        <f>IF(D648&gt;21,VLOOKUP(D648,Barem!$T$1:$U$141,2,1),0)</f>
        <v>0</v>
      </c>
      <c r="S648" s="152">
        <f>IF(D648&lt;1.609,0,IF(B648="F",VLOOKUP(I648,Barem!$X$2:$Z$13,2,1),VLOOKUP(I648,Barem!$X$14:$Z$25,2,1)))</f>
        <v>0</v>
      </c>
      <c r="T648" s="21">
        <f>VLOOKUP(A648,Participanti!A:C,3,0)</f>
        <v>0</v>
      </c>
      <c r="U648" s="18">
        <f t="shared" si="264"/>
        <v>3.1696428571428572</v>
      </c>
      <c r="V648" s="58" t="s">
        <v>467</v>
      </c>
      <c r="W648" s="77">
        <f t="shared" si="267"/>
        <v>1</v>
      </c>
      <c r="X648" s="1" t="e">
        <f>VLOOKUP(A648,Data_Echipe!A:R,18,0)</f>
        <v>#N/A</v>
      </c>
      <c r="Z648" s="115">
        <f t="shared" si="265"/>
        <v>1</v>
      </c>
    </row>
    <row r="649" spans="1:26" x14ac:dyDescent="0.3">
      <c r="A649" s="49" t="s">
        <v>356</v>
      </c>
      <c r="B649" s="1" t="str">
        <f>VLOOKUP(A649,Participanti!A:B,2,0)</f>
        <v>M</v>
      </c>
      <c r="C649" s="74">
        <v>8</v>
      </c>
      <c r="D649" s="50">
        <v>21.01</v>
      </c>
      <c r="E649" s="51">
        <v>8.4050925925925932E-2</v>
      </c>
      <c r="F649" s="51">
        <v>8.6840277777777766E-2</v>
      </c>
      <c r="G649" s="69">
        <f t="shared" si="260"/>
        <v>8.5445601851851849E-2</v>
      </c>
      <c r="H649" s="52">
        <v>145</v>
      </c>
      <c r="I649" s="12">
        <f t="shared" si="261"/>
        <v>4.066901563629312E-3</v>
      </c>
      <c r="J649" s="37">
        <f t="shared" si="262"/>
        <v>5</v>
      </c>
      <c r="K649" s="37">
        <f>IF(J649=0,0,IF(B649="F",VLOOKUP(I649,Barem!$G$2:$H$16,2,1),VLOOKUP(I649,Barem!$G$17:$H$31,2,1)))</f>
        <v>1.5</v>
      </c>
      <c r="L649" s="50">
        <v>3</v>
      </c>
      <c r="M649" s="124" t="s">
        <v>106</v>
      </c>
      <c r="N649" s="10">
        <f t="shared" si="266"/>
        <v>0.5</v>
      </c>
      <c r="O649" s="10">
        <f t="shared" si="266"/>
        <v>0.25</v>
      </c>
      <c r="P649" s="10">
        <f t="shared" si="266"/>
        <v>0.25</v>
      </c>
      <c r="Q649" s="40">
        <f t="shared" si="263"/>
        <v>9.6666666666666665E-2</v>
      </c>
      <c r="R649" s="21">
        <f>IF(D649&gt;21,VLOOKUP(D649,Barem!$T$1:$U$141,2,1),0)</f>
        <v>0</v>
      </c>
      <c r="S649" s="152">
        <f>IF(D649&lt;1.609,0,IF(B649="F",VLOOKUP(I649,Barem!$X$2:$Z$13,2,1),VLOOKUP(I649,Barem!$X$14:$Z$25,2,1)))</f>
        <v>0</v>
      </c>
      <c r="T649" s="21">
        <f>VLOOKUP(A649,Participanti!A:C,3,0)</f>
        <v>0</v>
      </c>
      <c r="U649" s="18">
        <f t="shared" si="264"/>
        <v>3.7216666666666667</v>
      </c>
      <c r="V649" s="58" t="s">
        <v>468</v>
      </c>
      <c r="W649" s="77">
        <f t="shared" si="267"/>
        <v>1</v>
      </c>
      <c r="X649" s="1" t="str">
        <f>VLOOKUP(A649,Data_Echipe!A:R,18,0)</f>
        <v>MedgidiaRunning</v>
      </c>
      <c r="Z649" s="115">
        <f t="shared" si="265"/>
        <v>1</v>
      </c>
    </row>
    <row r="650" spans="1:26" x14ac:dyDescent="0.3">
      <c r="A650" s="49" t="s">
        <v>283</v>
      </c>
      <c r="B650" s="1" t="str">
        <f>VLOOKUP(A650,Participanti!A:B,2,0)</f>
        <v>M</v>
      </c>
      <c r="C650" s="74">
        <v>8</v>
      </c>
      <c r="D650" s="50">
        <v>30.12</v>
      </c>
      <c r="E650" s="51">
        <v>0.13876157407407408</v>
      </c>
      <c r="F650" s="51">
        <v>0.14440972222222223</v>
      </c>
      <c r="G650" s="69">
        <f t="shared" si="260"/>
        <v>0.14158564814814817</v>
      </c>
      <c r="H650" s="52">
        <v>172</v>
      </c>
      <c r="I650" s="12">
        <f t="shared" si="261"/>
        <v>4.7007187300181991E-3</v>
      </c>
      <c r="J650" s="37">
        <f t="shared" si="262"/>
        <v>5</v>
      </c>
      <c r="K650" s="37">
        <f>IF(J650=0,0,IF(B650="F",VLOOKUP(I650,Barem!$G$2:$H$16,2,1),VLOOKUP(I650,Barem!$G$17:$H$31,2,1)))</f>
        <v>0.5</v>
      </c>
      <c r="L650" s="50">
        <v>5</v>
      </c>
      <c r="M650" s="124" t="s">
        <v>207</v>
      </c>
      <c r="N650" s="10">
        <f t="shared" si="266"/>
        <v>0.25</v>
      </c>
      <c r="O650" s="10">
        <f t="shared" si="266"/>
        <v>0.25</v>
      </c>
      <c r="P650" s="10">
        <f t="shared" si="266"/>
        <v>0.5</v>
      </c>
      <c r="Q650" s="40">
        <f t="shared" si="263"/>
        <v>0.11466666666666667</v>
      </c>
      <c r="R650" s="21">
        <f>IF(D650&gt;21,VLOOKUP(D650,Barem!$T$1:$U$141,2,1),0)</f>
        <v>0.4</v>
      </c>
      <c r="S650" s="152">
        <f>IF(D650&lt;1.609,0,IF(B650="F",VLOOKUP(I650,Barem!$X$2:$Z$13,2,1),VLOOKUP(I650,Barem!$X$14:$Z$25,2,1)))</f>
        <v>0</v>
      </c>
      <c r="T650" s="21">
        <f>VLOOKUP(A650,Participanti!A:C,3,0)</f>
        <v>0</v>
      </c>
      <c r="U650" s="18">
        <f t="shared" si="264"/>
        <v>4.3896666666666668</v>
      </c>
      <c r="V650" s="58" t="s">
        <v>468</v>
      </c>
      <c r="W650" s="77">
        <f t="shared" si="267"/>
        <v>1</v>
      </c>
      <c r="X650" s="1" t="str">
        <f>VLOOKUP(A650,Data_Echipe!A:R,18,0)</f>
        <v>The GOATs</v>
      </c>
      <c r="Z650" s="115">
        <f t="shared" si="265"/>
        <v>1</v>
      </c>
    </row>
    <row r="651" spans="1:26" x14ac:dyDescent="0.3">
      <c r="A651" s="49" t="s">
        <v>63</v>
      </c>
      <c r="B651" s="1" t="str">
        <f>VLOOKUP(A651,Participanti!A:B,2,0)</f>
        <v>M</v>
      </c>
      <c r="C651" s="74">
        <v>8</v>
      </c>
      <c r="D651" s="50">
        <v>11.03</v>
      </c>
      <c r="E651" s="51">
        <v>4.7847222222222228E-2</v>
      </c>
      <c r="F651" s="51">
        <v>4.7893518518518523E-2</v>
      </c>
      <c r="G651" s="69">
        <f t="shared" si="260"/>
        <v>4.7870370370370376E-2</v>
      </c>
      <c r="H651" s="52"/>
      <c r="I651" s="12">
        <f t="shared" si="261"/>
        <v>4.3400154460897893E-3</v>
      </c>
      <c r="J651" s="37">
        <f t="shared" si="262"/>
        <v>2.6261904761904757</v>
      </c>
      <c r="K651" s="37">
        <f>IF(J651=0,0,IF(B651="F",VLOOKUP(I651,Barem!$G$2:$H$16,2,1),VLOOKUP(I651,Barem!$G$17:$H$31,2,1)))</f>
        <v>1.25</v>
      </c>
      <c r="L651" s="50">
        <v>3</v>
      </c>
      <c r="M651" s="124" t="s">
        <v>106</v>
      </c>
      <c r="N651" s="10">
        <f t="shared" si="266"/>
        <v>0.5</v>
      </c>
      <c r="O651" s="10">
        <f t="shared" si="266"/>
        <v>0.25</v>
      </c>
      <c r="P651" s="10">
        <f t="shared" si="266"/>
        <v>0.25</v>
      </c>
      <c r="Q651" s="40">
        <f t="shared" si="263"/>
        <v>0</v>
      </c>
      <c r="R651" s="21">
        <f>IF(D651&gt;21,VLOOKUP(D651,Barem!$T$1:$U$141,2,1),0)</f>
        <v>0</v>
      </c>
      <c r="S651" s="152">
        <f>IF(D651&lt;1.609,0,IF(B651="F",VLOOKUP(I651,Barem!$X$2:$Z$13,2,1),VLOOKUP(I651,Barem!$X$14:$Z$25,2,1)))</f>
        <v>0</v>
      </c>
      <c r="T651" s="21">
        <f>VLOOKUP(A651,Participanti!A:C,3,0)</f>
        <v>0</v>
      </c>
      <c r="U651" s="18">
        <f t="shared" si="264"/>
        <v>2.3755952380952379</v>
      </c>
      <c r="V651" s="58" t="s">
        <v>468</v>
      </c>
      <c r="W651" s="77">
        <f t="shared" si="267"/>
        <v>1</v>
      </c>
      <c r="X651" s="1" t="str">
        <f>VLOOKUP(A651,Data_Echipe!A:R,18,0)</f>
        <v>#notSYRious</v>
      </c>
      <c r="Z651" s="115">
        <f t="shared" si="265"/>
        <v>1</v>
      </c>
    </row>
    <row r="652" spans="1:26" x14ac:dyDescent="0.3">
      <c r="A652" s="49" t="s">
        <v>128</v>
      </c>
      <c r="B652" s="1" t="str">
        <f>VLOOKUP(A652,Participanti!A:B,2,0)</f>
        <v>M</v>
      </c>
      <c r="C652" s="74">
        <v>8</v>
      </c>
      <c r="D652" s="50">
        <v>5.01</v>
      </c>
      <c r="E652" s="51">
        <v>1.4722222222222222E-2</v>
      </c>
      <c r="F652" s="51">
        <v>1.4722222222222222E-2</v>
      </c>
      <c r="G652" s="69">
        <f t="shared" si="260"/>
        <v>1.4722222222222222E-2</v>
      </c>
      <c r="H652" s="52"/>
      <c r="I652" s="12">
        <f t="shared" si="261"/>
        <v>2.9385673098247947E-3</v>
      </c>
      <c r="J652" s="37">
        <f t="shared" si="262"/>
        <v>1.1928571428571428</v>
      </c>
      <c r="K652" s="37">
        <f>IF(J652=0,0,IF(B652="F",VLOOKUP(I652,Barem!$G$2:$H$16,2,1),VLOOKUP(I652,Barem!$G$17:$H$31,2,1)))</f>
        <v>4.5</v>
      </c>
      <c r="L652" s="50">
        <v>2</v>
      </c>
      <c r="M652" s="124" t="s">
        <v>107</v>
      </c>
      <c r="N652" s="10">
        <f t="shared" si="266"/>
        <v>0.25</v>
      </c>
      <c r="O652" s="10">
        <f t="shared" si="266"/>
        <v>0.5</v>
      </c>
      <c r="P652" s="10">
        <f t="shared" si="266"/>
        <v>0.25</v>
      </c>
      <c r="Q652" s="40">
        <f t="shared" si="263"/>
        <v>0</v>
      </c>
      <c r="R652" s="21">
        <f>IF(D652&gt;21,VLOOKUP(D652,Barem!$T$1:$U$141,2,1),0)</f>
        <v>0</v>
      </c>
      <c r="S652" s="152">
        <f>IF(D652&lt;1.609,0,IF(B652="F",VLOOKUP(I652,Barem!$X$2:$Z$13,2,1),VLOOKUP(I652,Barem!$X$14:$Z$25,2,1)))</f>
        <v>0</v>
      </c>
      <c r="T652" s="21">
        <f>VLOOKUP(A652,Participanti!A:C,3,0)</f>
        <v>0</v>
      </c>
      <c r="U652" s="18">
        <f t="shared" si="264"/>
        <v>3.0482142857142858</v>
      </c>
      <c r="V652" s="58" t="s">
        <v>468</v>
      </c>
      <c r="W652" s="77">
        <f t="shared" si="267"/>
        <v>1</v>
      </c>
      <c r="X652" s="1" t="str">
        <f>VLOOKUP(A652,Data_Echipe!A:R,18,0)</f>
        <v>Almost Kenyan Runners</v>
      </c>
      <c r="Z652" s="115">
        <f t="shared" si="265"/>
        <v>1</v>
      </c>
    </row>
    <row r="653" spans="1:26" x14ac:dyDescent="0.3">
      <c r="A653" s="49" t="s">
        <v>341</v>
      </c>
      <c r="B653" s="1" t="str">
        <f>VLOOKUP(A653,Participanti!A:B,2,0)</f>
        <v>M</v>
      </c>
      <c r="C653" s="74">
        <v>8</v>
      </c>
      <c r="D653" s="50">
        <v>30.62</v>
      </c>
      <c r="E653" s="51">
        <v>0.16282407407407407</v>
      </c>
      <c r="F653" s="51">
        <v>0.1849652777777778</v>
      </c>
      <c r="G653" s="69">
        <f t="shared" si="260"/>
        <v>0.17389467592592595</v>
      </c>
      <c r="H653" s="52">
        <v>1577</v>
      </c>
      <c r="I653" s="12">
        <f t="shared" si="261"/>
        <v>5.6791207030021532E-3</v>
      </c>
      <c r="J653" s="37">
        <f t="shared" si="262"/>
        <v>5</v>
      </c>
      <c r="K653" s="37">
        <f>IF(J653=0,0,IF(B653="F",VLOOKUP(I653,Barem!$G$2:$H$16,2,1),VLOOKUP(I653,Barem!$G$17:$H$31,2,1)))</f>
        <v>0</v>
      </c>
      <c r="L653" s="50">
        <v>2.5</v>
      </c>
      <c r="M653" s="124" t="s">
        <v>106</v>
      </c>
      <c r="N653" s="10">
        <f t="shared" si="266"/>
        <v>0.5</v>
      </c>
      <c r="O653" s="10">
        <f t="shared" si="266"/>
        <v>0.25</v>
      </c>
      <c r="P653" s="10">
        <f t="shared" si="266"/>
        <v>0.25</v>
      </c>
      <c r="Q653" s="40">
        <f t="shared" si="263"/>
        <v>1.0513333333333332</v>
      </c>
      <c r="R653" s="21">
        <f>IF(D653&gt;21,VLOOKUP(D653,Barem!$T$1:$U$141,2,1),0)</f>
        <v>0.4</v>
      </c>
      <c r="S653" s="152">
        <f>IF(D653&lt;1.609,0,IF(B653="F",VLOOKUP(I653,Barem!$X$2:$Z$13,2,1),VLOOKUP(I653,Barem!$X$14:$Z$25,2,1)))</f>
        <v>0</v>
      </c>
      <c r="T653" s="21">
        <f>VLOOKUP(A653,Participanti!A:C,3,0)</f>
        <v>0</v>
      </c>
      <c r="U653" s="18">
        <f t="shared" si="264"/>
        <v>4.5763333333333334</v>
      </c>
      <c r="V653" s="58" t="s">
        <v>468</v>
      </c>
      <c r="W653" s="77">
        <f t="shared" si="267"/>
        <v>1</v>
      </c>
      <c r="X653" s="1" t="str">
        <f>VLOOKUP(A653,Data_Echipe!A:R,18,0)</f>
        <v>The GOATs</v>
      </c>
      <c r="Z653" s="115">
        <f t="shared" si="265"/>
        <v>0</v>
      </c>
    </row>
    <row r="654" spans="1:26" x14ac:dyDescent="0.3">
      <c r="A654" s="49" t="s">
        <v>116</v>
      </c>
      <c r="B654" s="1" t="str">
        <f>VLOOKUP(A654,Participanti!A:B,2,0)</f>
        <v>F</v>
      </c>
      <c r="C654" s="74">
        <v>8</v>
      </c>
      <c r="D654" s="50">
        <v>15.02</v>
      </c>
      <c r="E654" s="51">
        <v>5.8819444444444445E-2</v>
      </c>
      <c r="F654" s="51">
        <v>6.2488425925925926E-2</v>
      </c>
      <c r="G654" s="69">
        <f t="shared" si="260"/>
        <v>6.0653935185185186E-2</v>
      </c>
      <c r="H654" s="52"/>
      <c r="I654" s="12">
        <f t="shared" si="261"/>
        <v>4.0382113971494799E-3</v>
      </c>
      <c r="J654" s="37">
        <f t="shared" si="262"/>
        <v>3.7549999999999999</v>
      </c>
      <c r="K654" s="37">
        <f>IF(J654=0,0,IF(B654="F",VLOOKUP(I654,Barem!$G$2:$H$16,2,1),VLOOKUP(I654,Barem!$G$17:$H$31,2,1)))</f>
        <v>2</v>
      </c>
      <c r="L654" s="50">
        <v>3.25</v>
      </c>
      <c r="M654" s="124" t="s">
        <v>106</v>
      </c>
      <c r="N654" s="10">
        <f t="shared" si="266"/>
        <v>0.5</v>
      </c>
      <c r="O654" s="10">
        <f t="shared" si="266"/>
        <v>0.25</v>
      </c>
      <c r="P654" s="10">
        <f t="shared" si="266"/>
        <v>0.25</v>
      </c>
      <c r="Q654" s="40">
        <f t="shared" si="263"/>
        <v>0</v>
      </c>
      <c r="R654" s="21">
        <f>IF(D654&gt;21,VLOOKUP(D654,Barem!$T$1:$U$141,2,1),0)</f>
        <v>0</v>
      </c>
      <c r="S654" s="152">
        <f>IF(D654&lt;1.609,0,IF(B654="F",VLOOKUP(I654,Barem!$X$2:$Z$13,2,1),VLOOKUP(I654,Barem!$X$14:$Z$25,2,1)))</f>
        <v>0</v>
      </c>
      <c r="T654" s="21">
        <f>VLOOKUP(A654,Participanti!A:C,3,0)</f>
        <v>0</v>
      </c>
      <c r="U654" s="18">
        <f t="shared" si="264"/>
        <v>3.19</v>
      </c>
      <c r="V654" s="58" t="s">
        <v>468</v>
      </c>
      <c r="W654" s="77">
        <f t="shared" si="267"/>
        <v>1</v>
      </c>
      <c r="X654" s="1" t="str">
        <f>VLOOKUP(A654,Data_Echipe!A:R,18,0)</f>
        <v>#notSYRious</v>
      </c>
      <c r="Z654" s="115">
        <f t="shared" si="265"/>
        <v>1</v>
      </c>
    </row>
    <row r="655" spans="1:26" x14ac:dyDescent="0.3">
      <c r="A655" s="49" t="s">
        <v>120</v>
      </c>
      <c r="B655" s="1" t="str">
        <f>VLOOKUP(A655,Participanti!A:B,2,0)</f>
        <v>M</v>
      </c>
      <c r="C655" s="74">
        <v>8</v>
      </c>
      <c r="D655" s="50">
        <v>22</v>
      </c>
      <c r="E655" s="51">
        <v>7.228009259259259E-2</v>
      </c>
      <c r="F655" s="51">
        <v>7.228009259259259E-2</v>
      </c>
      <c r="G655" s="69">
        <f t="shared" si="260"/>
        <v>7.228009259259259E-2</v>
      </c>
      <c r="H655" s="52"/>
      <c r="I655" s="12">
        <f t="shared" si="261"/>
        <v>3.2854587542087543E-3</v>
      </c>
      <c r="J655" s="37">
        <f t="shared" si="262"/>
        <v>5</v>
      </c>
      <c r="K655" s="37">
        <f>IF(J655=0,0,IF(B655="F",VLOOKUP(I655,Barem!$G$2:$H$16,2,1),VLOOKUP(I655,Barem!$G$17:$H$31,2,1)))</f>
        <v>3.5</v>
      </c>
      <c r="L655" s="50">
        <v>2</v>
      </c>
      <c r="M655" s="124" t="s">
        <v>107</v>
      </c>
      <c r="N655" s="10">
        <f t="shared" si="266"/>
        <v>0.25</v>
      </c>
      <c r="O655" s="10">
        <f t="shared" si="266"/>
        <v>0.5</v>
      </c>
      <c r="P655" s="10">
        <f t="shared" si="266"/>
        <v>0.25</v>
      </c>
      <c r="Q655" s="40">
        <f t="shared" si="263"/>
        <v>0</v>
      </c>
      <c r="R655" s="21">
        <f>IF(D655&gt;21,VLOOKUP(D655,Barem!$T$1:$U$141,2,1),0)</f>
        <v>0</v>
      </c>
      <c r="S655" s="152">
        <f>IF(D655&lt;1.609,0,IF(B655="F",VLOOKUP(I655,Barem!$X$2:$Z$13,2,1),VLOOKUP(I655,Barem!$X$14:$Z$25,2,1)))</f>
        <v>0</v>
      </c>
      <c r="T655" s="21">
        <f>VLOOKUP(A655,Participanti!A:C,3,0)</f>
        <v>0</v>
      </c>
      <c r="U655" s="18">
        <f t="shared" si="264"/>
        <v>3.5</v>
      </c>
      <c r="V655" s="58" t="s">
        <v>468</v>
      </c>
      <c r="W655" s="77">
        <f t="shared" si="267"/>
        <v>1</v>
      </c>
      <c r="X655" s="1" t="str">
        <f>VLOOKUP(A655,Data_Echipe!A:R,18,0)</f>
        <v>Almost Kenyan Runners</v>
      </c>
      <c r="Z655" s="115">
        <f t="shared" si="265"/>
        <v>1</v>
      </c>
    </row>
    <row r="656" spans="1:26" x14ac:dyDescent="0.3">
      <c r="A656" s="49" t="s">
        <v>177</v>
      </c>
      <c r="B656" s="1" t="str">
        <f>VLOOKUP(A656,Participanti!A:B,2,0)</f>
        <v>F</v>
      </c>
      <c r="C656" s="74">
        <v>8</v>
      </c>
      <c r="D656" s="50">
        <v>10.039999999999999</v>
      </c>
      <c r="E656" s="51">
        <v>4.4525462962962968E-2</v>
      </c>
      <c r="F656" s="51">
        <v>5.4050925925925926E-2</v>
      </c>
      <c r="G656" s="69">
        <f t="shared" si="260"/>
        <v>4.9288194444444447E-2</v>
      </c>
      <c r="H656" s="52"/>
      <c r="I656" s="12">
        <f t="shared" si="261"/>
        <v>4.9091827135900844E-3</v>
      </c>
      <c r="J656" s="37">
        <f t="shared" si="262"/>
        <v>2.5099999999999998</v>
      </c>
      <c r="K656" s="37">
        <f>IF(J656=0,0,IF(B656="F",VLOOKUP(I656,Barem!$G$2:$H$16,2,1),VLOOKUP(I656,Barem!$G$17:$H$31,2,1)))</f>
        <v>0.75</v>
      </c>
      <c r="L656" s="50">
        <v>3</v>
      </c>
      <c r="M656" s="124" t="s">
        <v>207</v>
      </c>
      <c r="N656" s="10">
        <f t="shared" si="266"/>
        <v>0.25</v>
      </c>
      <c r="O656" s="10">
        <f t="shared" si="266"/>
        <v>0.25</v>
      </c>
      <c r="P656" s="10">
        <f t="shared" si="266"/>
        <v>0.5</v>
      </c>
      <c r="Q656" s="40">
        <f t="shared" si="263"/>
        <v>0</v>
      </c>
      <c r="R656" s="21">
        <f>IF(D656&gt;21,VLOOKUP(D656,Barem!$T$1:$U$141,2,1),0)</f>
        <v>0</v>
      </c>
      <c r="S656" s="152">
        <f>IF(D656&lt;1.609,0,IF(B656="F",VLOOKUP(I656,Barem!$X$2:$Z$13,2,1),VLOOKUP(I656,Barem!$X$14:$Z$25,2,1)))</f>
        <v>0</v>
      </c>
      <c r="T656" s="21">
        <f>VLOOKUP(A656,Participanti!A:C,3,0)</f>
        <v>0</v>
      </c>
      <c r="U656" s="18">
        <f t="shared" si="264"/>
        <v>2.3149999999999999</v>
      </c>
      <c r="V656" s="58" t="s">
        <v>468</v>
      </c>
      <c r="W656" s="77">
        <f t="shared" si="267"/>
        <v>1</v>
      </c>
      <c r="X656" s="1" t="str">
        <f>VLOOKUP(A656,Data_Echipe!A:R,18,0)</f>
        <v>UltraHaita lu' Borcan</v>
      </c>
      <c r="Z656" s="115">
        <f t="shared" si="265"/>
        <v>1</v>
      </c>
    </row>
    <row r="657" spans="1:26" x14ac:dyDescent="0.3">
      <c r="A657" s="49" t="s">
        <v>355</v>
      </c>
      <c r="B657" s="1" t="str">
        <f>VLOOKUP(A657,Participanti!A:B,2,0)</f>
        <v>F</v>
      </c>
      <c r="C657" s="74">
        <v>8</v>
      </c>
      <c r="D657" s="50">
        <v>6.01</v>
      </c>
      <c r="E657" s="51">
        <v>2.7013888888888889E-2</v>
      </c>
      <c r="F657" s="51">
        <v>2.8611111111111115E-2</v>
      </c>
      <c r="G657" s="69">
        <f t="shared" si="260"/>
        <v>2.7812500000000004E-2</v>
      </c>
      <c r="H657" s="52"/>
      <c r="I657" s="12">
        <f t="shared" si="261"/>
        <v>4.627703826955076E-3</v>
      </c>
      <c r="J657" s="37">
        <f t="shared" si="262"/>
        <v>1.5024999999999999</v>
      </c>
      <c r="K657" s="37">
        <f>IF(J657=0,0,IF(B657="F",VLOOKUP(I657,Barem!$G$2:$H$16,2,1),VLOOKUP(I657,Barem!$G$17:$H$31,2,1)))</f>
        <v>1.25</v>
      </c>
      <c r="L657" s="50">
        <v>3.75</v>
      </c>
      <c r="M657" s="124" t="s">
        <v>107</v>
      </c>
      <c r="N657" s="10">
        <f t="shared" si="266"/>
        <v>0.25</v>
      </c>
      <c r="O657" s="10">
        <f t="shared" si="266"/>
        <v>0.5</v>
      </c>
      <c r="P657" s="10">
        <f t="shared" si="266"/>
        <v>0.25</v>
      </c>
      <c r="Q657" s="40">
        <f t="shared" si="263"/>
        <v>0</v>
      </c>
      <c r="R657" s="21">
        <f>IF(D657&gt;21,VLOOKUP(D657,Barem!$T$1:$U$141,2,1),0)</f>
        <v>0</v>
      </c>
      <c r="S657" s="152">
        <f>IF(D657&lt;1.609,0,IF(B657="F",VLOOKUP(I657,Barem!$X$2:$Z$13,2,1),VLOOKUP(I657,Barem!$X$14:$Z$25,2,1)))</f>
        <v>0</v>
      </c>
      <c r="T657" s="21">
        <f>VLOOKUP(A657,Participanti!A:C,3,0)</f>
        <v>0</v>
      </c>
      <c r="U657" s="18">
        <f t="shared" si="264"/>
        <v>1.9381249999999999</v>
      </c>
      <c r="V657" s="58" t="s">
        <v>468</v>
      </c>
      <c r="W657" s="77">
        <f t="shared" si="267"/>
        <v>1</v>
      </c>
      <c r="X657" s="1" t="str">
        <f>VLOOKUP(A657,Data_Echipe!A:R,18,0)</f>
        <v>#notSYRious</v>
      </c>
      <c r="Z657" s="115">
        <f t="shared" si="265"/>
        <v>1</v>
      </c>
    </row>
    <row r="658" spans="1:26" x14ac:dyDescent="0.3">
      <c r="A658" s="49" t="s">
        <v>369</v>
      </c>
      <c r="B658" s="1" t="str">
        <f>VLOOKUP(A658,Participanti!A:B,2,0)</f>
        <v>M</v>
      </c>
      <c r="C658" s="74">
        <v>8</v>
      </c>
      <c r="D658" s="50">
        <v>15.59</v>
      </c>
      <c r="E658" s="51">
        <v>0.3276736111111111</v>
      </c>
      <c r="F658" s="51">
        <v>0.34445601851851854</v>
      </c>
      <c r="G658" s="69">
        <f t="shared" ref="G658:G670" si="268">AVERAGE(E658:F658)</f>
        <v>0.33606481481481482</v>
      </c>
      <c r="H658" s="52">
        <v>819</v>
      </c>
      <c r="I658" s="12">
        <f t="shared" ref="I658:I670" si="269">G658/D658</f>
        <v>2.1556434561566057E-2</v>
      </c>
      <c r="J658" s="37">
        <f t="shared" ref="J658:J670" si="270">IF(B658="F",IF(D658&lt;2.5,0,IF(D658&gt;19.99,5,D658/4)),IF(D658&lt;3,0, IF(D658&gt;20.99,5,D658/4.2)))</f>
        <v>3.7119047619047616</v>
      </c>
      <c r="K658" s="37">
        <f>IF(J658=0,0,IF(B658="F",VLOOKUP(I658,Barem!$G$2:$H$16,2,1),VLOOKUP(I658,Barem!$G$17:$H$31,2,1)))</f>
        <v>0</v>
      </c>
      <c r="L658" s="50">
        <v>3</v>
      </c>
      <c r="M658" s="124" t="s">
        <v>207</v>
      </c>
      <c r="N658" s="10">
        <f t="shared" si="266"/>
        <v>0.25</v>
      </c>
      <c r="O658" s="10">
        <f t="shared" si="266"/>
        <v>0.25</v>
      </c>
      <c r="P658" s="10">
        <f t="shared" si="266"/>
        <v>0.5</v>
      </c>
      <c r="Q658" s="40">
        <f t="shared" ref="Q658:Q670" si="271">IF(H658&gt;49,H658/1500,0)</f>
        <v>0.54600000000000004</v>
      </c>
      <c r="R658" s="21">
        <f>IF(D658&gt;21,VLOOKUP(D658,Barem!$T$1:$U$141,2,1),0)</f>
        <v>0</v>
      </c>
      <c r="S658" s="152">
        <f>IF(D658&lt;1.609,0,IF(B658="F",VLOOKUP(I658,Barem!$X$2:$Z$13,2,1),VLOOKUP(I658,Barem!$X$14:$Z$25,2,1)))</f>
        <v>0</v>
      </c>
      <c r="T658" s="21">
        <f>VLOOKUP(A658,Participanti!A:C,3,0)</f>
        <v>0</v>
      </c>
      <c r="U658" s="18">
        <f t="shared" ref="U658:U670" si="272">IF(H658&lt;0,0,J658*N658+K658*O658+L658*P658+Q658+R658+S658+T658)</f>
        <v>2.9739761904761908</v>
      </c>
      <c r="V658" s="58" t="s">
        <v>468</v>
      </c>
      <c r="W658" s="77">
        <f t="shared" si="267"/>
        <v>1</v>
      </c>
      <c r="X658" s="1" t="str">
        <f>VLOOKUP(A658,Data_Echipe!A:R,18,0)</f>
        <v>MedgidiaRunning</v>
      </c>
      <c r="Z658" s="115">
        <f t="shared" ref="Z658:Z670" si="273">IF(K658&gt;0,1,0)</f>
        <v>0</v>
      </c>
    </row>
    <row r="659" spans="1:26" x14ac:dyDescent="0.3">
      <c r="A659" s="49" t="s">
        <v>361</v>
      </c>
      <c r="B659" s="1" t="str">
        <f>VLOOKUP(A659,Participanti!A:B,2,0)</f>
        <v>M</v>
      </c>
      <c r="C659" s="74">
        <v>8</v>
      </c>
      <c r="D659" s="50">
        <v>50.01</v>
      </c>
      <c r="E659" s="51">
        <v>0.16489583333333332</v>
      </c>
      <c r="F659" s="51">
        <v>0.16644675925925925</v>
      </c>
      <c r="G659" s="69">
        <f t="shared" si="268"/>
        <v>0.16567129629629629</v>
      </c>
      <c r="H659" s="52">
        <v>52</v>
      </c>
      <c r="I659" s="12">
        <f t="shared" si="269"/>
        <v>3.3127633732512756E-3</v>
      </c>
      <c r="J659" s="37">
        <f t="shared" si="270"/>
        <v>5</v>
      </c>
      <c r="K659" s="37">
        <f>IF(J659=0,0,IF(B659="F",VLOOKUP(I659,Barem!$G$2:$H$16,2,1),VLOOKUP(I659,Barem!$G$17:$H$31,2,1)))</f>
        <v>3</v>
      </c>
      <c r="L659" s="50">
        <v>1.5</v>
      </c>
      <c r="M659" s="124" t="s">
        <v>106</v>
      </c>
      <c r="N659" s="10">
        <f t="shared" ref="N659:P674" si="274">IF($M659=N$1,50%,25%)</f>
        <v>0.5</v>
      </c>
      <c r="O659" s="10">
        <f t="shared" si="274"/>
        <v>0.25</v>
      </c>
      <c r="P659" s="10">
        <f t="shared" si="274"/>
        <v>0.25</v>
      </c>
      <c r="Q659" s="40">
        <f t="shared" si="271"/>
        <v>3.4666666666666665E-2</v>
      </c>
      <c r="R659" s="21">
        <f>IF(D659&gt;21,VLOOKUP(D659,Barem!$T$1:$U$141,2,1),0)</f>
        <v>1.4</v>
      </c>
      <c r="S659" s="152">
        <f>IF(D659&lt;1.609,0,IF(B659="F",VLOOKUP(I659,Barem!$X$2:$Z$13,2,1),VLOOKUP(I659,Barem!$X$14:$Z$25,2,1)))</f>
        <v>0</v>
      </c>
      <c r="T659" s="21">
        <f>VLOOKUP(A659,Participanti!A:C,3,0)</f>
        <v>0</v>
      </c>
      <c r="U659" s="18">
        <f t="shared" si="272"/>
        <v>5.0596666666666668</v>
      </c>
      <c r="V659" s="58" t="s">
        <v>468</v>
      </c>
      <c r="W659" s="77">
        <f t="shared" si="267"/>
        <v>1</v>
      </c>
      <c r="X659" s="1" t="str">
        <f>VLOOKUP(A659,Data_Echipe!A:R,18,0)</f>
        <v>UltraHaita lu' Borcan</v>
      </c>
      <c r="Z659" s="115">
        <f t="shared" si="273"/>
        <v>1</v>
      </c>
    </row>
    <row r="660" spans="1:26" x14ac:dyDescent="0.3">
      <c r="A660" s="49" t="s">
        <v>345</v>
      </c>
      <c r="B660" s="1" t="str">
        <f>VLOOKUP(A660,Participanti!A:B,2,0)</f>
        <v>F</v>
      </c>
      <c r="C660" s="74">
        <v>8</v>
      </c>
      <c r="D660" s="50">
        <v>3.01</v>
      </c>
      <c r="E660" s="51">
        <v>9.6527777777777775E-3</v>
      </c>
      <c r="F660" s="51">
        <v>9.6527777777777775E-3</v>
      </c>
      <c r="G660" s="69">
        <f t="shared" si="268"/>
        <v>9.6527777777777775E-3</v>
      </c>
      <c r="H660" s="52"/>
      <c r="I660" s="12">
        <f t="shared" si="269"/>
        <v>3.2069029162052421E-3</v>
      </c>
      <c r="J660" s="37">
        <f t="shared" si="270"/>
        <v>0.75249999999999995</v>
      </c>
      <c r="K660" s="37">
        <f>IF(J660=0,0,IF(B660="F",VLOOKUP(I660,Barem!$G$2:$H$16,2,1),VLOOKUP(I660,Barem!$G$17:$H$31,2,1)))</f>
        <v>4.5</v>
      </c>
      <c r="L660" s="50">
        <v>2</v>
      </c>
      <c r="M660" s="124" t="s">
        <v>107</v>
      </c>
      <c r="N660" s="10">
        <f t="shared" si="274"/>
        <v>0.25</v>
      </c>
      <c r="O660" s="10">
        <f t="shared" si="274"/>
        <v>0.5</v>
      </c>
      <c r="P660" s="10">
        <f t="shared" si="274"/>
        <v>0.25</v>
      </c>
      <c r="Q660" s="40">
        <f t="shared" si="271"/>
        <v>0</v>
      </c>
      <c r="R660" s="21">
        <f>IF(D660&gt;21,VLOOKUP(D660,Barem!$T$1:$U$141,2,1),0)</f>
        <v>0</v>
      </c>
      <c r="S660" s="152">
        <f>IF(D660&lt;1.609,0,IF(B660="F",VLOOKUP(I660,Barem!$X$2:$Z$13,2,1),VLOOKUP(I660,Barem!$X$14:$Z$25,2,1)))</f>
        <v>0</v>
      </c>
      <c r="T660" s="21">
        <f>VLOOKUP(A660,Participanti!A:C,3,0)</f>
        <v>0</v>
      </c>
      <c r="U660" s="18">
        <f t="shared" si="272"/>
        <v>2.9381249999999999</v>
      </c>
      <c r="V660" s="58" t="s">
        <v>468</v>
      </c>
      <c r="W660" s="77">
        <f t="shared" si="267"/>
        <v>1</v>
      </c>
      <c r="X660" s="1" t="str">
        <f>VLOOKUP(A660,Data_Echipe!A:R,18,0)</f>
        <v>MedgidiaRunning</v>
      </c>
      <c r="Z660" s="115">
        <f t="shared" si="273"/>
        <v>1</v>
      </c>
    </row>
    <row r="661" spans="1:26" x14ac:dyDescent="0.3">
      <c r="A661" s="132" t="s">
        <v>370</v>
      </c>
      <c r="B661" s="133" t="str">
        <f>VLOOKUP(A661,Participanti!A:B,2,0)</f>
        <v>F</v>
      </c>
      <c r="C661" s="134">
        <v>8</v>
      </c>
      <c r="D661" s="135">
        <v>0</v>
      </c>
      <c r="E661" s="136">
        <v>0</v>
      </c>
      <c r="F661" s="136">
        <v>0</v>
      </c>
      <c r="G661" s="137">
        <f t="shared" si="268"/>
        <v>0</v>
      </c>
      <c r="H661" s="138"/>
      <c r="I661" s="139">
        <v>0</v>
      </c>
      <c r="J661" s="140">
        <f t="shared" si="270"/>
        <v>0</v>
      </c>
      <c r="K661" s="140">
        <f>IF(J661=0,0,IF(B661="F",VLOOKUP(I661,Barem!$G$2:$H$16,2,1),VLOOKUP(I661,Barem!$G$17:$H$31,2,1)))</f>
        <v>0</v>
      </c>
      <c r="L661" s="135">
        <v>0</v>
      </c>
      <c r="M661" s="141" t="s">
        <v>459</v>
      </c>
      <c r="N661" s="142">
        <f t="shared" si="274"/>
        <v>0.25</v>
      </c>
      <c r="O661" s="142">
        <f t="shared" si="274"/>
        <v>0.25</v>
      </c>
      <c r="P661" s="142">
        <f t="shared" si="274"/>
        <v>0.25</v>
      </c>
      <c r="Q661" s="143">
        <f t="shared" si="271"/>
        <v>0</v>
      </c>
      <c r="R661" s="144">
        <f>IF(D661&gt;21,VLOOKUP(D661,Barem!$T$1:$U$141,2,1),0)</f>
        <v>0</v>
      </c>
      <c r="S661" s="156">
        <f>IF(D661&lt;1.609,0,IF(B661="F",VLOOKUP(I661,Barem!$X$2:$Z$13,2,1),VLOOKUP(I661,Barem!$X$14:$Z$25,2,1)))</f>
        <v>0</v>
      </c>
      <c r="T661" s="144">
        <f>VLOOKUP(A661,Participanti!A:C,3,0)</f>
        <v>0</v>
      </c>
      <c r="U661" s="143">
        <v>1.5</v>
      </c>
      <c r="V661" s="145" t="s">
        <v>468</v>
      </c>
      <c r="W661" s="146">
        <f t="shared" si="267"/>
        <v>1</v>
      </c>
      <c r="X661" s="133" t="e">
        <f>VLOOKUP(A661,Data_Echipe!A:R,18,0)</f>
        <v>#N/A</v>
      </c>
      <c r="Y661" s="133"/>
      <c r="Z661" s="147">
        <f t="shared" si="273"/>
        <v>0</v>
      </c>
    </row>
    <row r="662" spans="1:26" x14ac:dyDescent="0.3">
      <c r="A662" s="49" t="s">
        <v>364</v>
      </c>
      <c r="B662" s="1" t="str">
        <f>VLOOKUP(A662,Participanti!A:B,2,0)</f>
        <v>M</v>
      </c>
      <c r="C662" s="74">
        <v>8</v>
      </c>
      <c r="D662" s="50">
        <v>12.06</v>
      </c>
      <c r="E662" s="51">
        <v>5.3460648148148153E-2</v>
      </c>
      <c r="F662" s="51">
        <v>5.3506944444444447E-2</v>
      </c>
      <c r="G662" s="69">
        <f t="shared" si="268"/>
        <v>5.34837962962963E-2</v>
      </c>
      <c r="H662" s="52"/>
      <c r="I662" s="12">
        <f t="shared" si="269"/>
        <v>4.4348089797923958E-3</v>
      </c>
      <c r="J662" s="37">
        <f t="shared" si="270"/>
        <v>2.8714285714285714</v>
      </c>
      <c r="K662" s="37">
        <f>IF(J662=0,0,IF(B662="F",VLOOKUP(I662,Barem!$G$2:$H$16,2,1),VLOOKUP(I662,Barem!$G$17:$H$31,2,1)))</f>
        <v>1</v>
      </c>
      <c r="L662" s="50">
        <v>2</v>
      </c>
      <c r="M662" s="124" t="s">
        <v>106</v>
      </c>
      <c r="N662" s="10">
        <f t="shared" si="274"/>
        <v>0.5</v>
      </c>
      <c r="O662" s="10">
        <f t="shared" si="274"/>
        <v>0.25</v>
      </c>
      <c r="P662" s="10">
        <f t="shared" si="274"/>
        <v>0.25</v>
      </c>
      <c r="Q662" s="40">
        <f t="shared" si="271"/>
        <v>0</v>
      </c>
      <c r="R662" s="21">
        <f>IF(D662&gt;21,VLOOKUP(D662,Barem!$T$1:$U$141,2,1),0)</f>
        <v>0</v>
      </c>
      <c r="S662" s="152">
        <f>IF(D662&lt;1.609,0,IF(B662="F",VLOOKUP(I662,Barem!$X$2:$Z$13,2,1),VLOOKUP(I662,Barem!$X$14:$Z$25,2,1)))</f>
        <v>0</v>
      </c>
      <c r="T662" s="21">
        <f>VLOOKUP(A662,Participanti!A:C,3,0)</f>
        <v>0</v>
      </c>
      <c r="U662" s="18">
        <f t="shared" si="272"/>
        <v>2.1857142857142859</v>
      </c>
      <c r="V662" s="58" t="s">
        <v>468</v>
      </c>
      <c r="W662" s="77">
        <f t="shared" si="267"/>
        <v>1</v>
      </c>
      <c r="X662" s="1" t="e">
        <f>VLOOKUP(A662,Data_Echipe!A:R,18,0)</f>
        <v>#N/A</v>
      </c>
      <c r="Z662" s="115">
        <f t="shared" si="273"/>
        <v>1</v>
      </c>
    </row>
    <row r="663" spans="1:26" x14ac:dyDescent="0.3">
      <c r="A663" s="49" t="s">
        <v>378</v>
      </c>
      <c r="B663" s="1" t="str">
        <f>VLOOKUP(A663,Participanti!A:B,2,0)</f>
        <v>F</v>
      </c>
      <c r="C663" s="74">
        <v>8</v>
      </c>
      <c r="D663" s="50">
        <v>16.03</v>
      </c>
      <c r="E663" s="51">
        <v>5.9965277777777777E-2</v>
      </c>
      <c r="F663" s="51">
        <v>6.2488425925925926E-2</v>
      </c>
      <c r="G663" s="69">
        <f t="shared" si="268"/>
        <v>6.1226851851851852E-2</v>
      </c>
      <c r="H663" s="52"/>
      <c r="I663" s="12">
        <f t="shared" si="269"/>
        <v>3.8195166470275637E-3</v>
      </c>
      <c r="J663" s="37">
        <f t="shared" si="270"/>
        <v>4.0075000000000003</v>
      </c>
      <c r="K663" s="37">
        <f>IF(J663=0,0,IF(B663="F",VLOOKUP(I663,Barem!$G$2:$H$16,2,1),VLOOKUP(I663,Barem!$G$17:$H$31,2,1)))</f>
        <v>3</v>
      </c>
      <c r="L663" s="50">
        <v>2.25</v>
      </c>
      <c r="M663" s="124" t="s">
        <v>106</v>
      </c>
      <c r="N663" s="10">
        <f t="shared" si="274"/>
        <v>0.5</v>
      </c>
      <c r="O663" s="10">
        <f t="shared" si="274"/>
        <v>0.25</v>
      </c>
      <c r="P663" s="10">
        <f t="shared" si="274"/>
        <v>0.25</v>
      </c>
      <c r="Q663" s="40">
        <f t="shared" si="271"/>
        <v>0</v>
      </c>
      <c r="R663" s="21">
        <f>IF(D663&gt;21,VLOOKUP(D663,Barem!$T$1:$U$141,2,1),0)</f>
        <v>0</v>
      </c>
      <c r="S663" s="152">
        <f>IF(D663&lt;1.609,0,IF(B663="F",VLOOKUP(I663,Barem!$X$2:$Z$13,2,1),VLOOKUP(I663,Barem!$X$14:$Z$25,2,1)))</f>
        <v>0</v>
      </c>
      <c r="T663" s="21">
        <f>VLOOKUP(A663,Participanti!A:C,3,0)</f>
        <v>0</v>
      </c>
      <c r="U663" s="18">
        <f t="shared" si="272"/>
        <v>3.3162500000000001</v>
      </c>
      <c r="V663" s="58" t="s">
        <v>468</v>
      </c>
      <c r="W663" s="77">
        <f t="shared" si="267"/>
        <v>1</v>
      </c>
      <c r="X663" s="1" t="str">
        <f>VLOOKUP(A663,Data_Echipe!A:R,18,0)</f>
        <v>MedgidiaRunning</v>
      </c>
      <c r="Z663" s="115">
        <f t="shared" si="273"/>
        <v>1</v>
      </c>
    </row>
    <row r="664" spans="1:26" x14ac:dyDescent="0.3">
      <c r="A664" s="49" t="s">
        <v>396</v>
      </c>
      <c r="B664" s="1" t="str">
        <f>VLOOKUP(A664,Participanti!A:B,2,0)</f>
        <v>F</v>
      </c>
      <c r="C664" s="74">
        <v>8</v>
      </c>
      <c r="D664" s="50">
        <v>5.12</v>
      </c>
      <c r="E664" s="51">
        <v>2.2743055555555555E-2</v>
      </c>
      <c r="F664" s="51">
        <v>2.2905092592592591E-2</v>
      </c>
      <c r="G664" s="69">
        <f t="shared" si="268"/>
        <v>2.2824074074074073E-2</v>
      </c>
      <c r="H664" s="52"/>
      <c r="I664" s="12">
        <f t="shared" si="269"/>
        <v>4.4578269675925927E-3</v>
      </c>
      <c r="J664" s="37">
        <f t="shared" si="270"/>
        <v>1.28</v>
      </c>
      <c r="K664" s="37">
        <f>IF(J664=0,0,IF(B664="F",VLOOKUP(I664,Barem!$G$2:$H$16,2,1),VLOOKUP(I664,Barem!$G$17:$H$31,2,1)))</f>
        <v>1.5</v>
      </c>
      <c r="L664" s="50">
        <v>1.75</v>
      </c>
      <c r="M664" s="124" t="s">
        <v>107</v>
      </c>
      <c r="N664" s="10">
        <f t="shared" si="274"/>
        <v>0.25</v>
      </c>
      <c r="O664" s="10">
        <f t="shared" si="274"/>
        <v>0.5</v>
      </c>
      <c r="P664" s="10">
        <f t="shared" si="274"/>
        <v>0.25</v>
      </c>
      <c r="Q664" s="40">
        <f t="shared" si="271"/>
        <v>0</v>
      </c>
      <c r="R664" s="21">
        <f>IF(D664&gt;21,VLOOKUP(D664,Barem!$T$1:$U$141,2,1),0)</f>
        <v>0</v>
      </c>
      <c r="S664" s="152">
        <f>IF(D664&lt;1.609,0,IF(B664="F",VLOOKUP(I664,Barem!$X$2:$Z$13,2,1),VLOOKUP(I664,Barem!$X$14:$Z$25,2,1)))</f>
        <v>0</v>
      </c>
      <c r="T664" s="21">
        <f>VLOOKUP(A664,Participanti!A:C,3,0)</f>
        <v>0</v>
      </c>
      <c r="U664" s="18">
        <f t="shared" si="272"/>
        <v>1.5075000000000001</v>
      </c>
      <c r="V664" s="58" t="s">
        <v>468</v>
      </c>
      <c r="W664" s="77">
        <f t="shared" si="267"/>
        <v>1</v>
      </c>
      <c r="X664" s="1" t="str">
        <f>VLOOKUP(A664,Data_Echipe!A:R,18,0)</f>
        <v>MedgidiaRunning</v>
      </c>
      <c r="Z664" s="115">
        <f t="shared" si="273"/>
        <v>1</v>
      </c>
    </row>
    <row r="665" spans="1:26" x14ac:dyDescent="0.3">
      <c r="A665" s="49" t="s">
        <v>357</v>
      </c>
      <c r="B665" s="1" t="str">
        <f>VLOOKUP(A665,Participanti!A:B,2,0)</f>
        <v>M</v>
      </c>
      <c r="C665" s="74">
        <v>8</v>
      </c>
      <c r="D665" s="50">
        <v>30</v>
      </c>
      <c r="E665" s="51">
        <v>0.10611111111111111</v>
      </c>
      <c r="F665" s="51">
        <v>0.10618055555555556</v>
      </c>
      <c r="G665" s="69">
        <f t="shared" si="268"/>
        <v>0.10614583333333333</v>
      </c>
      <c r="H665" s="52"/>
      <c r="I665" s="12">
        <f t="shared" si="269"/>
        <v>3.5381944444444441E-3</v>
      </c>
      <c r="J665" s="37">
        <f t="shared" si="270"/>
        <v>5</v>
      </c>
      <c r="K665" s="37">
        <f>IF(J665=0,0,IF(B665="F",VLOOKUP(I665,Barem!$G$2:$H$16,2,1),VLOOKUP(I665,Barem!$G$17:$H$31,2,1)))</f>
        <v>2.5</v>
      </c>
      <c r="L665" s="50">
        <v>1.5</v>
      </c>
      <c r="M665" s="124" t="s">
        <v>106</v>
      </c>
      <c r="N665" s="10">
        <f t="shared" si="274"/>
        <v>0.5</v>
      </c>
      <c r="O665" s="10">
        <f t="shared" si="274"/>
        <v>0.25</v>
      </c>
      <c r="P665" s="10">
        <f t="shared" si="274"/>
        <v>0.25</v>
      </c>
      <c r="Q665" s="40">
        <f t="shared" si="271"/>
        <v>0</v>
      </c>
      <c r="R665" s="21">
        <f>IF(D665&gt;21,VLOOKUP(D665,Barem!$T$1:$U$141,2,1),0)</f>
        <v>0.4</v>
      </c>
      <c r="S665" s="152">
        <f>IF(D665&lt;1.609,0,IF(B665="F",VLOOKUP(I665,Barem!$X$2:$Z$13,2,1),VLOOKUP(I665,Barem!$X$14:$Z$25,2,1)))</f>
        <v>0</v>
      </c>
      <c r="T665" s="21">
        <f>VLOOKUP(A665,Participanti!A:C,3,0)</f>
        <v>0</v>
      </c>
      <c r="U665" s="18">
        <f t="shared" si="272"/>
        <v>3.9</v>
      </c>
      <c r="V665" s="58" t="s">
        <v>468</v>
      </c>
      <c r="W665" s="77">
        <f t="shared" si="267"/>
        <v>1</v>
      </c>
      <c r="X665" s="1" t="e">
        <f>VLOOKUP(A665,Data_Echipe!A:R,18,0)</f>
        <v>#N/A</v>
      </c>
      <c r="Z665" s="115">
        <f t="shared" si="273"/>
        <v>1</v>
      </c>
    </row>
    <row r="666" spans="1:26" x14ac:dyDescent="0.3">
      <c r="A666" s="49" t="s">
        <v>387</v>
      </c>
      <c r="B666" s="1" t="str">
        <f>VLOOKUP(A666,Participanti!A:B,2,0)</f>
        <v>F</v>
      </c>
      <c r="C666" s="74">
        <v>8</v>
      </c>
      <c r="D666" s="50">
        <v>9.01</v>
      </c>
      <c r="E666" s="51">
        <v>3.3252314814814811E-2</v>
      </c>
      <c r="F666" s="51">
        <v>3.3993055555555561E-2</v>
      </c>
      <c r="G666" s="69">
        <f t="shared" si="268"/>
        <v>3.3622685185185186E-2</v>
      </c>
      <c r="H666" s="52"/>
      <c r="I666" s="12">
        <f t="shared" si="269"/>
        <v>3.7317075677231063E-3</v>
      </c>
      <c r="J666" s="37">
        <f t="shared" si="270"/>
        <v>2.2524999999999999</v>
      </c>
      <c r="K666" s="37">
        <f>IF(J666=0,0,IF(B666="F",VLOOKUP(I666,Barem!$G$2:$H$16,2,1),VLOOKUP(I666,Barem!$G$17:$H$31,2,1)))</f>
        <v>3</v>
      </c>
      <c r="L666" s="50">
        <v>1.5</v>
      </c>
      <c r="M666" s="124" t="s">
        <v>107</v>
      </c>
      <c r="N666" s="10">
        <f t="shared" si="274"/>
        <v>0.25</v>
      </c>
      <c r="O666" s="10">
        <f t="shared" si="274"/>
        <v>0.5</v>
      </c>
      <c r="P666" s="10">
        <f t="shared" si="274"/>
        <v>0.25</v>
      </c>
      <c r="Q666" s="40">
        <f t="shared" si="271"/>
        <v>0</v>
      </c>
      <c r="R666" s="21">
        <f>IF(D666&gt;21,VLOOKUP(D666,Barem!$T$1:$U$141,2,1),0)</f>
        <v>0</v>
      </c>
      <c r="S666" s="152">
        <f>IF(D666&lt;1.609,0,IF(B666="F",VLOOKUP(I666,Barem!$X$2:$Z$13,2,1),VLOOKUP(I666,Barem!$X$14:$Z$25,2,1)))</f>
        <v>0</v>
      </c>
      <c r="T666" s="21">
        <f>VLOOKUP(A666,Participanti!A:C,3,0)</f>
        <v>0</v>
      </c>
      <c r="U666" s="18">
        <f t="shared" si="272"/>
        <v>2.4381249999999999</v>
      </c>
      <c r="V666" s="58" t="s">
        <v>468</v>
      </c>
      <c r="W666" s="77">
        <f t="shared" si="267"/>
        <v>1</v>
      </c>
      <c r="X666" s="1" t="str">
        <f>VLOOKUP(A666,Data_Echipe!A:R,18,0)</f>
        <v>#notSYRious</v>
      </c>
      <c r="Z666" s="115">
        <f t="shared" si="273"/>
        <v>1</v>
      </c>
    </row>
    <row r="667" spans="1:26" x14ac:dyDescent="0.3">
      <c r="A667" s="49" t="s">
        <v>398</v>
      </c>
      <c r="B667" s="1" t="str">
        <f>VLOOKUP(A667,Participanti!A:B,2,0)</f>
        <v>F</v>
      </c>
      <c r="C667" s="74">
        <v>8</v>
      </c>
      <c r="D667" s="50">
        <v>3.01</v>
      </c>
      <c r="E667" s="51">
        <v>1.7152777777777777E-2</v>
      </c>
      <c r="F667" s="51">
        <v>1.8506944444444444E-2</v>
      </c>
      <c r="G667" s="69">
        <f t="shared" si="268"/>
        <v>1.7829861111111109E-2</v>
      </c>
      <c r="H667" s="52"/>
      <c r="I667" s="12">
        <f t="shared" si="269"/>
        <v>5.923541897379106E-3</v>
      </c>
      <c r="J667" s="37">
        <f t="shared" si="270"/>
        <v>0.75249999999999995</v>
      </c>
      <c r="K667" s="37">
        <f>IF(J667=0,0,IF(B667="F",VLOOKUP(I667,Barem!$G$2:$H$16,2,1),VLOOKUP(I667,Barem!$G$17:$H$31,2,1)))</f>
        <v>0.25</v>
      </c>
      <c r="L667" s="50">
        <v>2</v>
      </c>
      <c r="M667" s="124" t="s">
        <v>107</v>
      </c>
      <c r="N667" s="10">
        <f t="shared" si="274"/>
        <v>0.25</v>
      </c>
      <c r="O667" s="10">
        <f t="shared" si="274"/>
        <v>0.5</v>
      </c>
      <c r="P667" s="10">
        <f t="shared" si="274"/>
        <v>0.25</v>
      </c>
      <c r="Q667" s="40">
        <f t="shared" si="271"/>
        <v>0</v>
      </c>
      <c r="R667" s="21">
        <f>IF(D667&gt;21,VLOOKUP(D667,Barem!$T$1:$U$141,2,1),0)</f>
        <v>0</v>
      </c>
      <c r="S667" s="152">
        <f>IF(D667&lt;1.609,0,IF(B667="F",VLOOKUP(I667,Barem!$X$2:$Z$13,2,1),VLOOKUP(I667,Barem!$X$14:$Z$25,2,1)))</f>
        <v>0</v>
      </c>
      <c r="T667" s="21">
        <f>VLOOKUP(A667,Participanti!A:C,3,0)</f>
        <v>0.7</v>
      </c>
      <c r="U667" s="18">
        <f t="shared" si="272"/>
        <v>1.5131250000000001</v>
      </c>
      <c r="V667" s="58" t="s">
        <v>468</v>
      </c>
      <c r="W667" s="77">
        <f t="shared" si="267"/>
        <v>1</v>
      </c>
      <c r="X667" s="1" t="e">
        <f>VLOOKUP(A667,Data_Echipe!A:R,18,0)</f>
        <v>#N/A</v>
      </c>
      <c r="Z667" s="115">
        <f t="shared" si="273"/>
        <v>1</v>
      </c>
    </row>
    <row r="668" spans="1:26" x14ac:dyDescent="0.3">
      <c r="A668" s="49" t="s">
        <v>335</v>
      </c>
      <c r="B668" s="1" t="str">
        <f>VLOOKUP(A668,Participanti!A:B,2,0)</f>
        <v>M</v>
      </c>
      <c r="C668" s="74">
        <v>8</v>
      </c>
      <c r="D668" s="50">
        <v>21.11</v>
      </c>
      <c r="E668" s="51">
        <v>7.3657407407407408E-2</v>
      </c>
      <c r="F668" s="51">
        <v>7.3692129629629635E-2</v>
      </c>
      <c r="G668" s="69">
        <f t="shared" si="268"/>
        <v>7.3674768518518521E-2</v>
      </c>
      <c r="H668" s="52"/>
      <c r="I668" s="12">
        <f t="shared" si="269"/>
        <v>3.4900411425162728E-3</v>
      </c>
      <c r="J668" s="37">
        <f t="shared" si="270"/>
        <v>5</v>
      </c>
      <c r="K668" s="37">
        <f>IF(J668=0,0,IF(B668="F",VLOOKUP(I668,Barem!$G$2:$H$16,2,1),VLOOKUP(I668,Barem!$G$17:$H$31,2,1)))</f>
        <v>2.5</v>
      </c>
      <c r="L668" s="50">
        <v>3</v>
      </c>
      <c r="M668" s="124" t="s">
        <v>107</v>
      </c>
      <c r="N668" s="10">
        <f t="shared" si="274"/>
        <v>0.25</v>
      </c>
      <c r="O668" s="10">
        <f t="shared" si="274"/>
        <v>0.5</v>
      </c>
      <c r="P668" s="10">
        <f t="shared" si="274"/>
        <v>0.25</v>
      </c>
      <c r="Q668" s="40">
        <f t="shared" si="271"/>
        <v>0</v>
      </c>
      <c r="R668" s="21">
        <f>IF(D668&gt;21,VLOOKUP(D668,Barem!$T$1:$U$141,2,1),0)</f>
        <v>0</v>
      </c>
      <c r="S668" s="152">
        <f>IF(D668&lt;1.609,0,IF(B668="F",VLOOKUP(I668,Barem!$X$2:$Z$13,2,1),VLOOKUP(I668,Barem!$X$14:$Z$25,2,1)))</f>
        <v>0</v>
      </c>
      <c r="T668" s="21">
        <f>VLOOKUP(A668,Participanti!A:C,3,0)</f>
        <v>0.4</v>
      </c>
      <c r="U668" s="18">
        <f t="shared" si="272"/>
        <v>3.65</v>
      </c>
      <c r="V668" s="58" t="s">
        <v>468</v>
      </c>
      <c r="W668" s="77">
        <f t="shared" si="267"/>
        <v>1</v>
      </c>
      <c r="X668" s="1" t="e">
        <f>VLOOKUP(A668,Data_Echipe!A:R,18,0)</f>
        <v>#N/A</v>
      </c>
      <c r="Z668" s="115">
        <f t="shared" si="273"/>
        <v>1</v>
      </c>
    </row>
    <row r="669" spans="1:26" x14ac:dyDescent="0.3">
      <c r="A669" s="49" t="s">
        <v>375</v>
      </c>
      <c r="B669" s="1" t="str">
        <f>VLOOKUP(A669,Participanti!A:B,2,0)</f>
        <v>M</v>
      </c>
      <c r="C669" s="74">
        <v>8</v>
      </c>
      <c r="D669" s="50">
        <v>20.81</v>
      </c>
      <c r="E669" s="51">
        <v>0.10711805555555555</v>
      </c>
      <c r="F669" s="51">
        <v>0.11408564814814814</v>
      </c>
      <c r="G669" s="69">
        <f t="shared" si="268"/>
        <v>0.11060185185185184</v>
      </c>
      <c r="H669" s="52">
        <v>866</v>
      </c>
      <c r="I669" s="12">
        <f t="shared" si="269"/>
        <v>5.3148415113816357E-3</v>
      </c>
      <c r="J669" s="37">
        <f t="shared" si="270"/>
        <v>4.954761904761904</v>
      </c>
      <c r="K669" s="37">
        <f>IF(J669=0,0,IF(B669="F",VLOOKUP(I669,Barem!$G$2:$H$16,2,1),VLOOKUP(I669,Barem!$G$17:$H$31,2,1)))</f>
        <v>0.25</v>
      </c>
      <c r="L669" s="50">
        <v>2</v>
      </c>
      <c r="M669" s="124" t="s">
        <v>106</v>
      </c>
      <c r="N669" s="10">
        <f t="shared" si="274"/>
        <v>0.5</v>
      </c>
      <c r="O669" s="10">
        <f t="shared" si="274"/>
        <v>0.25</v>
      </c>
      <c r="P669" s="10">
        <f t="shared" si="274"/>
        <v>0.25</v>
      </c>
      <c r="Q669" s="40">
        <f t="shared" si="271"/>
        <v>0.57733333333333337</v>
      </c>
      <c r="R669" s="21">
        <f>IF(D669&gt;21,VLOOKUP(D669,Barem!$T$1:$U$141,2,1),0)</f>
        <v>0</v>
      </c>
      <c r="S669" s="152">
        <f>IF(D669&lt;1.609,0,IF(B669="F",VLOOKUP(I669,Barem!$X$2:$Z$13,2,1),VLOOKUP(I669,Barem!$X$14:$Z$25,2,1)))</f>
        <v>0</v>
      </c>
      <c r="T669" s="21">
        <f>VLOOKUP(A669,Participanti!A:C,3,0)</f>
        <v>0</v>
      </c>
      <c r="U669" s="18">
        <f t="shared" si="272"/>
        <v>3.6172142857142853</v>
      </c>
      <c r="V669" s="58" t="s">
        <v>468</v>
      </c>
      <c r="W669" s="77">
        <f t="shared" si="267"/>
        <v>1</v>
      </c>
      <c r="X669" s="1" t="e">
        <f>VLOOKUP(A669,Data_Echipe!A:R,18,0)</f>
        <v>#N/A</v>
      </c>
      <c r="Z669" s="115">
        <f t="shared" si="273"/>
        <v>1</v>
      </c>
    </row>
    <row r="670" spans="1:26" x14ac:dyDescent="0.3">
      <c r="A670" s="49" t="s">
        <v>64</v>
      </c>
      <c r="B670" s="1" t="str">
        <f>VLOOKUP(A670,Participanti!A:B,2,0)</f>
        <v>F</v>
      </c>
      <c r="C670" s="74">
        <v>8</v>
      </c>
      <c r="D670" s="50">
        <v>8.19</v>
      </c>
      <c r="E670" s="51">
        <v>4.2557870370370371E-2</v>
      </c>
      <c r="F670" s="51">
        <v>6.9687499999999999E-2</v>
      </c>
      <c r="G670" s="69">
        <f t="shared" si="268"/>
        <v>5.6122685185185185E-2</v>
      </c>
      <c r="H670" s="52"/>
      <c r="I670" s="12">
        <f t="shared" si="269"/>
        <v>6.8525867136978256E-3</v>
      </c>
      <c r="J670" s="37">
        <f t="shared" si="270"/>
        <v>2.0474999999999999</v>
      </c>
      <c r="K670" s="37">
        <f>IF(J670=0,0,IF(B670="F",VLOOKUP(I670,Barem!$G$2:$H$16,2,1),VLOOKUP(I670,Barem!$G$17:$H$31,2,1)))</f>
        <v>0</v>
      </c>
      <c r="L670" s="50">
        <v>3</v>
      </c>
      <c r="M670" s="124" t="s">
        <v>107</v>
      </c>
      <c r="N670" s="10">
        <f t="shared" si="274"/>
        <v>0.25</v>
      </c>
      <c r="O670" s="10">
        <f t="shared" si="274"/>
        <v>0.5</v>
      </c>
      <c r="P670" s="10">
        <f t="shared" si="274"/>
        <v>0.25</v>
      </c>
      <c r="Q670" s="40">
        <f t="shared" si="271"/>
        <v>0</v>
      </c>
      <c r="R670" s="21">
        <f>IF(D670&gt;21,VLOOKUP(D670,Barem!$T$1:$U$141,2,1),0)</f>
        <v>0</v>
      </c>
      <c r="S670" s="152">
        <f>IF(D670&lt;1.609,0,IF(B670="F",VLOOKUP(I670,Barem!$X$2:$Z$13,2,1),VLOOKUP(I670,Barem!$X$14:$Z$25,2,1)))</f>
        <v>0</v>
      </c>
      <c r="T670" s="21">
        <f>VLOOKUP(A670,Participanti!A:C,3,0)</f>
        <v>0.7</v>
      </c>
      <c r="U670" s="18">
        <f t="shared" si="272"/>
        <v>1.9618749999999998</v>
      </c>
      <c r="V670" s="58" t="s">
        <v>468</v>
      </c>
      <c r="W670" s="77">
        <f t="shared" si="267"/>
        <v>1</v>
      </c>
      <c r="X670" s="1" t="str">
        <f>VLOOKUP(A670,Data_Echipe!A:R,18,0)</f>
        <v>UltraHaita lu' Borcan</v>
      </c>
      <c r="Z670" s="115">
        <f t="shared" si="273"/>
        <v>0</v>
      </c>
    </row>
    <row r="671" spans="1:26" x14ac:dyDescent="0.3">
      <c r="A671" s="49" t="s">
        <v>279</v>
      </c>
      <c r="B671" s="1" t="str">
        <f>VLOOKUP(A671,Participanti!A:B,2,0)</f>
        <v>M</v>
      </c>
      <c r="C671" s="74">
        <v>8</v>
      </c>
      <c r="D671" s="50">
        <v>20.010000000000002</v>
      </c>
      <c r="E671" s="51">
        <v>5.5069444444444449E-2</v>
      </c>
      <c r="F671" s="51">
        <v>5.7476851851851855E-2</v>
      </c>
      <c r="G671" s="69">
        <f t="shared" ref="G671:G689" si="275">AVERAGE(E671:F671)</f>
        <v>5.6273148148148155E-2</v>
      </c>
      <c r="H671" s="52">
        <v>118</v>
      </c>
      <c r="I671" s="12">
        <f t="shared" ref="I671:I689" si="276">G671/D671</f>
        <v>2.8122512817665242E-3</v>
      </c>
      <c r="J671" s="37">
        <f t="shared" ref="J671:J689" si="277">IF(B671="F",IF(D671&lt;2.5,0,IF(D671&gt;19.99,5,D671/4)),IF(D671&lt;3,0, IF(D671&gt;20.99,5,D671/4.2)))</f>
        <v>4.7642857142857142</v>
      </c>
      <c r="K671" s="37">
        <f>IF(J671=0,0,IF(B671="F",VLOOKUP(I671,Barem!$G$2:$H$16,2,1),VLOOKUP(I671,Barem!$G$17:$H$31,2,1)))</f>
        <v>4.5</v>
      </c>
      <c r="L671" s="50">
        <v>1.75</v>
      </c>
      <c r="M671" s="124" t="s">
        <v>106</v>
      </c>
      <c r="N671" s="10">
        <f t="shared" si="274"/>
        <v>0.5</v>
      </c>
      <c r="O671" s="10">
        <f t="shared" si="274"/>
        <v>0.25</v>
      </c>
      <c r="P671" s="10">
        <f t="shared" si="274"/>
        <v>0.25</v>
      </c>
      <c r="Q671" s="40">
        <f t="shared" ref="Q671:Q689" si="278">IF(H671&gt;49,H671/1500,0)</f>
        <v>7.8666666666666663E-2</v>
      </c>
      <c r="R671" s="21">
        <f>IF(D671&gt;21,VLOOKUP(D671,Barem!$T$1:$U$141,2,1),0)</f>
        <v>0</v>
      </c>
      <c r="S671" s="152">
        <f>IF(D671&lt;1.609,0,IF(B671="F",VLOOKUP(I671,Barem!$X$2:$Z$13,2,1),VLOOKUP(I671,Barem!$X$14:$Z$25,2,1)))</f>
        <v>0</v>
      </c>
      <c r="T671" s="21">
        <f>VLOOKUP(A671,Participanti!A:C,3,0)</f>
        <v>0</v>
      </c>
      <c r="U671" s="18">
        <f t="shared" ref="U671:U689" si="279">IF(H671&lt;0,0,J671*N671+K671*O671+L671*P671+Q671+R671+S671+T671)</f>
        <v>4.023309523809524</v>
      </c>
      <c r="V671" s="58" t="s">
        <v>468</v>
      </c>
      <c r="W671" s="77">
        <f t="shared" si="267"/>
        <v>1</v>
      </c>
      <c r="X671" s="1" t="str">
        <f>VLOOKUP(A671,Data_Echipe!A:R,18,0)</f>
        <v>Almost Kenyan Runners</v>
      </c>
      <c r="Z671" s="115">
        <f t="shared" ref="Z671:Z689" si="280">IF(K671&gt;0,1,0)</f>
        <v>1</v>
      </c>
    </row>
    <row r="672" spans="1:26" x14ac:dyDescent="0.3">
      <c r="A672" s="49" t="s">
        <v>247</v>
      </c>
      <c r="B672" s="1" t="str">
        <f>VLOOKUP(A672,Participanti!A:B,2,0)</f>
        <v>M</v>
      </c>
      <c r="C672" s="74">
        <v>8</v>
      </c>
      <c r="D672" s="50">
        <v>21.51</v>
      </c>
      <c r="E672" s="51">
        <v>0.13765046296296296</v>
      </c>
      <c r="F672" s="51">
        <v>0.14859953703703704</v>
      </c>
      <c r="G672" s="69">
        <f t="shared" si="275"/>
        <v>0.143125</v>
      </c>
      <c r="H672" s="52">
        <v>807</v>
      </c>
      <c r="I672" s="12">
        <f t="shared" si="276"/>
        <v>6.653881915388191E-3</v>
      </c>
      <c r="J672" s="37">
        <f t="shared" si="277"/>
        <v>5</v>
      </c>
      <c r="K672" s="37">
        <f>IF(J672=0,0,IF(B672="F",VLOOKUP(I672,Barem!$G$2:$H$16,2,1),VLOOKUP(I672,Barem!$G$17:$H$31,2,1)))</f>
        <v>0</v>
      </c>
      <c r="L672" s="50">
        <v>2</v>
      </c>
      <c r="M672" s="124" t="s">
        <v>106</v>
      </c>
      <c r="N672" s="10">
        <f t="shared" si="274"/>
        <v>0.5</v>
      </c>
      <c r="O672" s="10">
        <f t="shared" si="274"/>
        <v>0.25</v>
      </c>
      <c r="P672" s="10">
        <f t="shared" si="274"/>
        <v>0.25</v>
      </c>
      <c r="Q672" s="40">
        <f t="shared" si="278"/>
        <v>0.53800000000000003</v>
      </c>
      <c r="R672" s="21">
        <f>IF(D672&gt;21,VLOOKUP(D672,Barem!$T$1:$U$141,2,1),0)</f>
        <v>0</v>
      </c>
      <c r="S672" s="152">
        <f>IF(D672&lt;1.609,0,IF(B672="F",VLOOKUP(I672,Barem!$X$2:$Z$13,2,1),VLOOKUP(I672,Barem!$X$14:$Z$25,2,1)))</f>
        <v>0</v>
      </c>
      <c r="T672" s="21">
        <f>VLOOKUP(A672,Participanti!A:C,3,0)</f>
        <v>0</v>
      </c>
      <c r="U672" s="18">
        <f t="shared" si="279"/>
        <v>3.5380000000000003</v>
      </c>
      <c r="V672" s="58" t="s">
        <v>468</v>
      </c>
      <c r="W672" s="77">
        <f t="shared" si="267"/>
        <v>1</v>
      </c>
      <c r="X672" s="1" t="str">
        <f>VLOOKUP(A672,Data_Echipe!A:R,18,0)</f>
        <v>UltraHaita lu' Borcan</v>
      </c>
      <c r="Z672" s="115">
        <f t="shared" si="280"/>
        <v>0</v>
      </c>
    </row>
    <row r="673" spans="1:26" x14ac:dyDescent="0.3">
      <c r="A673" s="49" t="s">
        <v>300</v>
      </c>
      <c r="B673" s="1" t="str">
        <f>VLOOKUP(A673,Participanti!A:B,2,0)</f>
        <v>M</v>
      </c>
      <c r="C673" s="74">
        <v>8</v>
      </c>
      <c r="D673" s="50">
        <v>22.38</v>
      </c>
      <c r="E673" s="51">
        <v>0.11127314814814815</v>
      </c>
      <c r="F673" s="51">
        <v>0.1284837962962963</v>
      </c>
      <c r="G673" s="69">
        <f t="shared" si="275"/>
        <v>0.11987847222222223</v>
      </c>
      <c r="H673" s="52">
        <v>1050</v>
      </c>
      <c r="I673" s="12">
        <f t="shared" si="276"/>
        <v>5.3565000992950055E-3</v>
      </c>
      <c r="J673" s="37">
        <f t="shared" si="277"/>
        <v>5</v>
      </c>
      <c r="K673" s="37">
        <f>IF(J673=0,0,IF(B673="F",VLOOKUP(I673,Barem!$G$2:$H$16,2,1),VLOOKUP(I673,Barem!$G$17:$H$31,2,1)))</f>
        <v>0.25</v>
      </c>
      <c r="L673" s="50">
        <v>1.5</v>
      </c>
      <c r="M673" s="124" t="s">
        <v>107</v>
      </c>
      <c r="N673" s="10">
        <f t="shared" si="274"/>
        <v>0.25</v>
      </c>
      <c r="O673" s="10">
        <f t="shared" si="274"/>
        <v>0.5</v>
      </c>
      <c r="P673" s="10">
        <f t="shared" si="274"/>
        <v>0.25</v>
      </c>
      <c r="Q673" s="40">
        <f t="shared" si="278"/>
        <v>0.7</v>
      </c>
      <c r="R673" s="21">
        <f>IF(D673&gt;21,VLOOKUP(D673,Barem!$T$1:$U$141,2,1),0)</f>
        <v>0</v>
      </c>
      <c r="S673" s="152">
        <f>IF(D673&lt;1.609,0,IF(B673="F",VLOOKUP(I673,Barem!$X$2:$Z$13,2,1),VLOOKUP(I673,Barem!$X$14:$Z$25,2,1)))</f>
        <v>0</v>
      </c>
      <c r="T673" s="21">
        <f>VLOOKUP(A673,Participanti!A:C,3,0)</f>
        <v>0</v>
      </c>
      <c r="U673" s="18">
        <f t="shared" si="279"/>
        <v>2.4500000000000002</v>
      </c>
      <c r="V673" s="58" t="s">
        <v>468</v>
      </c>
      <c r="W673" s="77">
        <f t="shared" si="267"/>
        <v>1</v>
      </c>
      <c r="X673" s="1" t="str">
        <f>VLOOKUP(A673,Data_Echipe!A:R,18,0)</f>
        <v>#notSYRious</v>
      </c>
      <c r="Z673" s="115">
        <f t="shared" si="280"/>
        <v>1</v>
      </c>
    </row>
    <row r="674" spans="1:26" x14ac:dyDescent="0.3">
      <c r="A674" s="49" t="s">
        <v>346</v>
      </c>
      <c r="B674" s="1" t="str">
        <f>VLOOKUP(A674,Participanti!A:B,2,0)</f>
        <v>M</v>
      </c>
      <c r="C674" s="74">
        <v>8</v>
      </c>
      <c r="D674" s="50">
        <v>84.65</v>
      </c>
      <c r="E674" s="51">
        <v>0.37679398148148152</v>
      </c>
      <c r="F674" s="51">
        <v>0.42649305555555556</v>
      </c>
      <c r="G674" s="69">
        <f t="shared" si="275"/>
        <v>0.40164351851851854</v>
      </c>
      <c r="H674" s="52">
        <v>271</v>
      </c>
      <c r="I674" s="12">
        <f t="shared" si="276"/>
        <v>4.7447550917722207E-3</v>
      </c>
      <c r="J674" s="37">
        <f t="shared" si="277"/>
        <v>5</v>
      </c>
      <c r="K674" s="37">
        <f>IF(J674=0,0,IF(B674="F",VLOOKUP(I674,Barem!$G$2:$H$16,2,1),VLOOKUP(I674,Barem!$G$17:$H$31,2,1)))</f>
        <v>0.5</v>
      </c>
      <c r="L674" s="50">
        <v>2</v>
      </c>
      <c r="M674" s="124" t="s">
        <v>207</v>
      </c>
      <c r="N674" s="10">
        <f t="shared" si="274"/>
        <v>0.25</v>
      </c>
      <c r="O674" s="10">
        <f t="shared" si="274"/>
        <v>0.25</v>
      </c>
      <c r="P674" s="10">
        <f t="shared" si="274"/>
        <v>0.5</v>
      </c>
      <c r="Q674" s="40">
        <f t="shared" si="278"/>
        <v>0.18066666666666667</v>
      </c>
      <c r="R674" s="21">
        <f>IF(D674&gt;21,VLOOKUP(D674,Barem!$T$1:$U$141,2,1),0)</f>
        <v>3.1</v>
      </c>
      <c r="S674" s="152">
        <f>IF(D674&lt;1.609,0,IF(B674="F",VLOOKUP(I674,Barem!$X$2:$Z$13,2,1),VLOOKUP(I674,Barem!$X$14:$Z$25,2,1)))</f>
        <v>0</v>
      </c>
      <c r="T674" s="21">
        <f>VLOOKUP(A674,Participanti!A:C,3,0)</f>
        <v>0</v>
      </c>
      <c r="U674" s="18">
        <f t="shared" si="279"/>
        <v>5.6556666666666668</v>
      </c>
      <c r="V674" s="58" t="s">
        <v>468</v>
      </c>
      <c r="W674" s="77">
        <f t="shared" si="267"/>
        <v>1</v>
      </c>
      <c r="X674" s="1" t="str">
        <f>VLOOKUP(A674,Data_Echipe!A:R,18,0)</f>
        <v>UltraHaita lu' Borcan</v>
      </c>
      <c r="Z674" s="115">
        <f t="shared" si="280"/>
        <v>1</v>
      </c>
    </row>
    <row r="675" spans="1:26" x14ac:dyDescent="0.3">
      <c r="A675" s="49" t="s">
        <v>100</v>
      </c>
      <c r="B675" s="1" t="str">
        <f>VLOOKUP(A675,Participanti!A:B,2,0)</f>
        <v>F</v>
      </c>
      <c r="C675" s="74">
        <v>8</v>
      </c>
      <c r="D675" s="50">
        <v>12.1</v>
      </c>
      <c r="E675" s="51">
        <v>5.0289351851851849E-2</v>
      </c>
      <c r="F675" s="51">
        <v>5.4016203703703712E-2</v>
      </c>
      <c r="G675" s="69">
        <f t="shared" si="275"/>
        <v>5.2152777777777784E-2</v>
      </c>
      <c r="H675" s="52"/>
      <c r="I675" s="12">
        <f t="shared" si="276"/>
        <v>4.3101469237832877E-3</v>
      </c>
      <c r="J675" s="37">
        <f t="shared" si="277"/>
        <v>3.0249999999999999</v>
      </c>
      <c r="K675" s="37">
        <f>IF(J675=0,0,IF(B675="F",VLOOKUP(I675,Barem!$G$2:$H$16,2,1),VLOOKUP(I675,Barem!$G$17:$H$31,2,1)))</f>
        <v>1.75</v>
      </c>
      <c r="L675" s="50">
        <v>2.5</v>
      </c>
      <c r="M675" s="124" t="s">
        <v>107</v>
      </c>
      <c r="N675" s="10">
        <f t="shared" ref="N675:P690" si="281">IF($M675=N$1,50%,25%)</f>
        <v>0.25</v>
      </c>
      <c r="O675" s="10">
        <f t="shared" si="281"/>
        <v>0.5</v>
      </c>
      <c r="P675" s="10">
        <f t="shared" si="281"/>
        <v>0.25</v>
      </c>
      <c r="Q675" s="40">
        <f t="shared" si="278"/>
        <v>0</v>
      </c>
      <c r="R675" s="21">
        <f>IF(D675&gt;21,VLOOKUP(D675,Barem!$T$1:$U$141,2,1),0)</f>
        <v>0</v>
      </c>
      <c r="S675" s="152">
        <f>IF(D675&lt;1.609,0,IF(B675="F",VLOOKUP(I675,Barem!$X$2:$Z$13,2,1),VLOOKUP(I675,Barem!$X$14:$Z$25,2,1)))</f>
        <v>0</v>
      </c>
      <c r="T675" s="21">
        <f>VLOOKUP(A675,Participanti!A:C,3,0)</f>
        <v>0</v>
      </c>
      <c r="U675" s="18">
        <f t="shared" si="279"/>
        <v>2.2562500000000001</v>
      </c>
      <c r="V675" s="58" t="s">
        <v>468</v>
      </c>
      <c r="W675" s="77">
        <f t="shared" si="267"/>
        <v>1</v>
      </c>
      <c r="X675" s="1" t="e">
        <f>VLOOKUP(A675,Data_Echipe!A:R,18,0)</f>
        <v>#N/A</v>
      </c>
      <c r="Z675" s="115">
        <f t="shared" si="280"/>
        <v>1</v>
      </c>
    </row>
    <row r="676" spans="1:26" x14ac:dyDescent="0.3">
      <c r="A676" s="49" t="s">
        <v>225</v>
      </c>
      <c r="B676" s="1" t="str">
        <f>VLOOKUP(A676,Participanti!A:B,2,0)</f>
        <v>F</v>
      </c>
      <c r="C676" s="74">
        <v>8</v>
      </c>
      <c r="D676" s="50">
        <v>24.12</v>
      </c>
      <c r="E676" s="51">
        <v>0.12293981481481481</v>
      </c>
      <c r="F676" s="51">
        <v>0.12974537037037037</v>
      </c>
      <c r="G676" s="69">
        <f t="shared" si="275"/>
        <v>0.12634259259259259</v>
      </c>
      <c r="H676" s="52">
        <v>1037</v>
      </c>
      <c r="I676" s="12">
        <f t="shared" si="276"/>
        <v>5.2380842700079843E-3</v>
      </c>
      <c r="J676" s="37">
        <f t="shared" si="277"/>
        <v>5</v>
      </c>
      <c r="K676" s="37">
        <f>IF(J676=0,0,IF(B676="F",VLOOKUP(I676,Barem!$G$2:$H$16,2,1),VLOOKUP(I676,Barem!$G$17:$H$31,2,1)))</f>
        <v>0.25</v>
      </c>
      <c r="L676" s="50">
        <v>4</v>
      </c>
      <c r="M676" s="124" t="s">
        <v>106</v>
      </c>
      <c r="N676" s="10">
        <f t="shared" si="281"/>
        <v>0.5</v>
      </c>
      <c r="O676" s="10">
        <f t="shared" si="281"/>
        <v>0.25</v>
      </c>
      <c r="P676" s="10">
        <f t="shared" si="281"/>
        <v>0.25</v>
      </c>
      <c r="Q676" s="40">
        <f t="shared" si="278"/>
        <v>0.69133333333333336</v>
      </c>
      <c r="R676" s="21">
        <f>IF(D676&gt;21,VLOOKUP(D676,Barem!$T$1:$U$141,2,1),0)</f>
        <v>0.1</v>
      </c>
      <c r="S676" s="152">
        <f>IF(D676&lt;1.609,0,IF(B676="F",VLOOKUP(I676,Barem!$X$2:$Z$13,2,1),VLOOKUP(I676,Barem!$X$14:$Z$25,2,1)))</f>
        <v>0</v>
      </c>
      <c r="T676" s="21">
        <f>VLOOKUP(A676,Participanti!A:C,3,0)</f>
        <v>0</v>
      </c>
      <c r="U676" s="18">
        <f t="shared" si="279"/>
        <v>4.3538333333333332</v>
      </c>
      <c r="V676" s="58" t="s">
        <v>468</v>
      </c>
      <c r="W676" s="77">
        <f t="shared" si="267"/>
        <v>1</v>
      </c>
      <c r="X676" s="1" t="str">
        <f>VLOOKUP(A676,Data_Echipe!A:R,18,0)</f>
        <v>The GOATs</v>
      </c>
      <c r="Z676" s="115">
        <f t="shared" si="280"/>
        <v>1</v>
      </c>
    </row>
    <row r="677" spans="1:26" x14ac:dyDescent="0.3">
      <c r="A677" s="49" t="s">
        <v>380</v>
      </c>
      <c r="B677" s="1" t="str">
        <f>VLOOKUP(A677,Participanti!A:B,2,0)</f>
        <v>M</v>
      </c>
      <c r="C677" s="74">
        <v>8</v>
      </c>
      <c r="D677" s="50">
        <v>12.39</v>
      </c>
      <c r="E677" s="51">
        <v>4.4143518518518519E-2</v>
      </c>
      <c r="F677" s="51">
        <v>4.4861111111111109E-2</v>
      </c>
      <c r="G677" s="69">
        <f t="shared" si="275"/>
        <v>4.4502314814814814E-2</v>
      </c>
      <c r="H677" s="52"/>
      <c r="I677" s="12">
        <f t="shared" si="276"/>
        <v>3.5917929632618894E-3</v>
      </c>
      <c r="J677" s="37">
        <f t="shared" si="277"/>
        <v>2.95</v>
      </c>
      <c r="K677" s="37">
        <f>IF(J677=0,0,IF(B677="F",VLOOKUP(I677,Barem!$G$2:$H$16,2,1),VLOOKUP(I677,Barem!$G$17:$H$31,2,1)))</f>
        <v>2.5</v>
      </c>
      <c r="L677" s="50">
        <v>2.5</v>
      </c>
      <c r="M677" s="124" t="s">
        <v>106</v>
      </c>
      <c r="N677" s="10">
        <f t="shared" si="281"/>
        <v>0.5</v>
      </c>
      <c r="O677" s="10">
        <f t="shared" si="281"/>
        <v>0.25</v>
      </c>
      <c r="P677" s="10">
        <f t="shared" si="281"/>
        <v>0.25</v>
      </c>
      <c r="Q677" s="40">
        <f t="shared" si="278"/>
        <v>0</v>
      </c>
      <c r="R677" s="21">
        <f>IF(D677&gt;21,VLOOKUP(D677,Barem!$T$1:$U$141,2,1),0)</f>
        <v>0</v>
      </c>
      <c r="S677" s="152">
        <f>IF(D677&lt;1.609,0,IF(B677="F",VLOOKUP(I677,Barem!$X$2:$Z$13,2,1),VLOOKUP(I677,Barem!$X$14:$Z$25,2,1)))</f>
        <v>0</v>
      </c>
      <c r="T677" s="21">
        <f>VLOOKUP(A677,Participanti!A:C,3,0)</f>
        <v>0</v>
      </c>
      <c r="U677" s="18">
        <f t="shared" si="279"/>
        <v>2.7250000000000001</v>
      </c>
      <c r="V677" s="58" t="s">
        <v>468</v>
      </c>
      <c r="W677" s="77">
        <f t="shared" si="267"/>
        <v>1</v>
      </c>
      <c r="X677" s="1" t="e">
        <f>VLOOKUP(A677,Data_Echipe!A:R,18,0)</f>
        <v>#N/A</v>
      </c>
      <c r="Z677" s="115">
        <f t="shared" si="280"/>
        <v>1</v>
      </c>
    </row>
    <row r="678" spans="1:26" x14ac:dyDescent="0.3">
      <c r="A678" s="49" t="s">
        <v>59</v>
      </c>
      <c r="B678" s="1" t="str">
        <f>VLOOKUP(A678,Participanti!A:B,2,0)</f>
        <v>M</v>
      </c>
      <c r="C678" s="74">
        <v>8</v>
      </c>
      <c r="D678" s="50">
        <v>12.15</v>
      </c>
      <c r="E678" s="51">
        <v>4.1550925925925929E-2</v>
      </c>
      <c r="F678" s="51">
        <v>4.1655092592592598E-2</v>
      </c>
      <c r="G678" s="69">
        <f t="shared" si="275"/>
        <v>4.1603009259259263E-2</v>
      </c>
      <c r="H678" s="52"/>
      <c r="I678" s="12">
        <f t="shared" si="276"/>
        <v>3.4241159884164001E-3</v>
      </c>
      <c r="J678" s="37">
        <f t="shared" si="277"/>
        <v>2.8928571428571428</v>
      </c>
      <c r="K678" s="37">
        <f>IF(J678=0,0,IF(B678="F",VLOOKUP(I678,Barem!$G$2:$H$16,2,1),VLOOKUP(I678,Barem!$G$17:$H$31,2,1)))</f>
        <v>3</v>
      </c>
      <c r="L678" s="50">
        <v>3.75</v>
      </c>
      <c r="M678" s="124" t="s">
        <v>207</v>
      </c>
      <c r="N678" s="10">
        <f t="shared" si="281"/>
        <v>0.25</v>
      </c>
      <c r="O678" s="10">
        <f t="shared" si="281"/>
        <v>0.25</v>
      </c>
      <c r="P678" s="10">
        <f t="shared" si="281"/>
        <v>0.5</v>
      </c>
      <c r="Q678" s="40">
        <f t="shared" si="278"/>
        <v>0</v>
      </c>
      <c r="R678" s="21">
        <f>IF(D678&gt;21,VLOOKUP(D678,Barem!$T$1:$U$141,2,1),0)</f>
        <v>0</v>
      </c>
      <c r="S678" s="152">
        <f>IF(D678&lt;1.609,0,IF(B678="F",VLOOKUP(I678,Barem!$X$2:$Z$13,2,1),VLOOKUP(I678,Barem!$X$14:$Z$25,2,1)))</f>
        <v>0</v>
      </c>
      <c r="T678" s="21">
        <f>VLOOKUP(A678,Participanti!A:C,3,0)</f>
        <v>0</v>
      </c>
      <c r="U678" s="18">
        <f t="shared" si="279"/>
        <v>3.3482142857142856</v>
      </c>
      <c r="V678" s="58" t="s">
        <v>468</v>
      </c>
      <c r="W678" s="77">
        <f t="shared" si="267"/>
        <v>1</v>
      </c>
      <c r="X678" s="1" t="str">
        <f>VLOOKUP(A678,Data_Echipe!A:R,18,0)</f>
        <v>Almost Kenyan Runners</v>
      </c>
      <c r="Z678" s="115">
        <f t="shared" si="280"/>
        <v>1</v>
      </c>
    </row>
    <row r="679" spans="1:26" x14ac:dyDescent="0.3">
      <c r="A679" s="49" t="s">
        <v>303</v>
      </c>
      <c r="B679" s="1" t="str">
        <f>VLOOKUP(A679,Participanti!A:B,2,0)</f>
        <v>F</v>
      </c>
      <c r="C679" s="74">
        <v>8</v>
      </c>
      <c r="D679" s="50">
        <v>12.6</v>
      </c>
      <c r="E679" s="51">
        <v>6.09837962962963E-2</v>
      </c>
      <c r="F679" s="51">
        <v>8.4050925925925932E-2</v>
      </c>
      <c r="G679" s="69">
        <f t="shared" si="275"/>
        <v>7.2517361111111123E-2</v>
      </c>
      <c r="H679" s="52">
        <v>406</v>
      </c>
      <c r="I679" s="12">
        <f t="shared" si="276"/>
        <v>5.7553461199294541E-3</v>
      </c>
      <c r="J679" s="37">
        <f t="shared" si="277"/>
        <v>3.15</v>
      </c>
      <c r="K679" s="37">
        <f>IF(J679=0,0,IF(B679="F",VLOOKUP(I679,Barem!$G$2:$H$16,2,1),VLOOKUP(I679,Barem!$G$17:$H$31,2,1)))</f>
        <v>0.25</v>
      </c>
      <c r="L679" s="50">
        <v>2</v>
      </c>
      <c r="M679" s="124" t="s">
        <v>107</v>
      </c>
      <c r="N679" s="10">
        <f t="shared" si="281"/>
        <v>0.25</v>
      </c>
      <c r="O679" s="10">
        <f t="shared" si="281"/>
        <v>0.5</v>
      </c>
      <c r="P679" s="10">
        <f t="shared" si="281"/>
        <v>0.25</v>
      </c>
      <c r="Q679" s="40">
        <f t="shared" si="278"/>
        <v>0.27066666666666667</v>
      </c>
      <c r="R679" s="21">
        <f>IF(D679&gt;21,VLOOKUP(D679,Barem!$T$1:$U$141,2,1),0)</f>
        <v>0</v>
      </c>
      <c r="S679" s="152">
        <f>IF(D679&lt;1.609,0,IF(B679="F",VLOOKUP(I679,Barem!$X$2:$Z$13,2,1),VLOOKUP(I679,Barem!$X$14:$Z$25,2,1)))</f>
        <v>0</v>
      </c>
      <c r="T679" s="21">
        <f>VLOOKUP(A679,Participanti!A:C,3,0)</f>
        <v>0</v>
      </c>
      <c r="U679" s="18">
        <f t="shared" si="279"/>
        <v>1.6831666666666667</v>
      </c>
      <c r="V679" s="58" t="s">
        <v>468</v>
      </c>
      <c r="W679" s="77">
        <f t="shared" si="267"/>
        <v>1</v>
      </c>
      <c r="X679" s="1" t="e">
        <f>VLOOKUP(A679,Data_Echipe!A:R,18,0)</f>
        <v>#N/A</v>
      </c>
      <c r="Z679" s="115">
        <f t="shared" si="280"/>
        <v>1</v>
      </c>
    </row>
    <row r="680" spans="1:26" x14ac:dyDescent="0.3">
      <c r="A680" s="49" t="s">
        <v>383</v>
      </c>
      <c r="B680" s="1" t="str">
        <f>VLOOKUP(A680,Participanti!A:B,2,0)</f>
        <v>F</v>
      </c>
      <c r="C680" s="74">
        <v>8</v>
      </c>
      <c r="D680" s="50">
        <v>14.16</v>
      </c>
      <c r="E680" s="51">
        <v>5.859953703703704E-2</v>
      </c>
      <c r="F680" s="51">
        <v>6.6412037037037033E-2</v>
      </c>
      <c r="G680" s="69">
        <f t="shared" si="275"/>
        <v>6.2505787037037033E-2</v>
      </c>
      <c r="H680" s="52"/>
      <c r="I680" s="12">
        <f t="shared" si="276"/>
        <v>4.4142504969658918E-3</v>
      </c>
      <c r="J680" s="37">
        <f t="shared" si="277"/>
        <v>3.54</v>
      </c>
      <c r="K680" s="37">
        <f>IF(J680=0,0,IF(B680="F",VLOOKUP(I680,Barem!$G$2:$H$16,2,1),VLOOKUP(I680,Barem!$G$17:$H$31,2,1)))</f>
        <v>1.5</v>
      </c>
      <c r="L680" s="50">
        <v>1.75</v>
      </c>
      <c r="M680" s="124" t="s">
        <v>106</v>
      </c>
      <c r="N680" s="10">
        <f t="shared" si="281"/>
        <v>0.5</v>
      </c>
      <c r="O680" s="10">
        <f t="shared" si="281"/>
        <v>0.25</v>
      </c>
      <c r="P680" s="10">
        <f t="shared" si="281"/>
        <v>0.25</v>
      </c>
      <c r="Q680" s="40">
        <f t="shared" si="278"/>
        <v>0</v>
      </c>
      <c r="R680" s="21">
        <f>IF(D680&gt;21,VLOOKUP(D680,Barem!$T$1:$U$141,2,1),0)</f>
        <v>0</v>
      </c>
      <c r="S680" s="152">
        <f>IF(D680&lt;1.609,0,IF(B680="F",VLOOKUP(I680,Barem!$X$2:$Z$13,2,1),VLOOKUP(I680,Barem!$X$14:$Z$25,2,1)))</f>
        <v>0</v>
      </c>
      <c r="T680" s="21">
        <f>VLOOKUP(A680,Participanti!A:C,3,0)</f>
        <v>0</v>
      </c>
      <c r="U680" s="18">
        <f t="shared" si="279"/>
        <v>2.5825</v>
      </c>
      <c r="V680" s="58" t="s">
        <v>468</v>
      </c>
      <c r="W680" s="77">
        <f t="shared" si="267"/>
        <v>1</v>
      </c>
      <c r="X680" s="1" t="str">
        <f>VLOOKUP(A680,Data_Echipe!A:R,18,0)</f>
        <v>The GOATs</v>
      </c>
      <c r="Z680" s="115">
        <f t="shared" si="280"/>
        <v>1</v>
      </c>
    </row>
    <row r="681" spans="1:26" x14ac:dyDescent="0.3">
      <c r="A681" s="49" t="s">
        <v>226</v>
      </c>
      <c r="B681" s="1" t="str">
        <f>VLOOKUP(A681,Participanti!A:B,2,0)</f>
        <v>M</v>
      </c>
      <c r="C681" s="74">
        <v>8</v>
      </c>
      <c r="D681" s="50">
        <v>7.23</v>
      </c>
      <c r="E681" s="51">
        <v>2.2314814814814815E-2</v>
      </c>
      <c r="F681" s="51">
        <v>2.2743055555555555E-2</v>
      </c>
      <c r="G681" s="69">
        <f t="shared" si="275"/>
        <v>2.2528935185185187E-2</v>
      </c>
      <c r="H681" s="52"/>
      <c r="I681" s="12">
        <f t="shared" si="276"/>
        <v>3.1160352953229853E-3</v>
      </c>
      <c r="J681" s="37">
        <f t="shared" si="277"/>
        <v>1.7214285714285715</v>
      </c>
      <c r="K681" s="37">
        <f>IF(J681=0,0,IF(B681="F",VLOOKUP(I681,Barem!$G$2:$H$16,2,1),VLOOKUP(I681,Barem!$G$17:$H$31,2,1)))</f>
        <v>4</v>
      </c>
      <c r="L681" s="50">
        <v>1.5</v>
      </c>
      <c r="M681" s="124" t="s">
        <v>107</v>
      </c>
      <c r="N681" s="10">
        <f t="shared" si="281"/>
        <v>0.25</v>
      </c>
      <c r="O681" s="10">
        <f t="shared" si="281"/>
        <v>0.5</v>
      </c>
      <c r="P681" s="10">
        <f t="shared" si="281"/>
        <v>0.25</v>
      </c>
      <c r="Q681" s="40">
        <f t="shared" si="278"/>
        <v>0</v>
      </c>
      <c r="R681" s="21">
        <f>IF(D681&gt;21,VLOOKUP(D681,Barem!$T$1:$U$141,2,1),0)</f>
        <v>0</v>
      </c>
      <c r="S681" s="152">
        <f>IF(D681&lt;1.609,0,IF(B681="F",VLOOKUP(I681,Barem!$X$2:$Z$13,2,1),VLOOKUP(I681,Barem!$X$14:$Z$25,2,1)))</f>
        <v>0</v>
      </c>
      <c r="T681" s="21">
        <f>VLOOKUP(A681,Participanti!A:C,3,0)</f>
        <v>0</v>
      </c>
      <c r="U681" s="18">
        <f t="shared" si="279"/>
        <v>2.8053571428571429</v>
      </c>
      <c r="V681" s="58" t="s">
        <v>468</v>
      </c>
      <c r="W681" s="77">
        <f t="shared" si="267"/>
        <v>1</v>
      </c>
      <c r="X681" s="1" t="e">
        <f>VLOOKUP(A681,Data_Echipe!A:R,18,0)</f>
        <v>#N/A</v>
      </c>
      <c r="Z681" s="115">
        <f t="shared" si="280"/>
        <v>1</v>
      </c>
    </row>
    <row r="682" spans="1:26" x14ac:dyDescent="0.3">
      <c r="A682" s="49" t="s">
        <v>359</v>
      </c>
      <c r="B682" s="1" t="str">
        <f>VLOOKUP(A682,Participanti!A:B,2,0)</f>
        <v>M</v>
      </c>
      <c r="C682" s="74">
        <v>8</v>
      </c>
      <c r="D682" s="50">
        <v>24.01</v>
      </c>
      <c r="E682" s="51">
        <v>0.15715277777777778</v>
      </c>
      <c r="F682" s="51">
        <v>0.15966435185185185</v>
      </c>
      <c r="G682" s="69">
        <f t="shared" si="275"/>
        <v>0.1584085648148148</v>
      </c>
      <c r="H682" s="52">
        <v>1106</v>
      </c>
      <c r="I682" s="12">
        <f t="shared" si="276"/>
        <v>6.5976078640072799E-3</v>
      </c>
      <c r="J682" s="37">
        <f t="shared" si="277"/>
        <v>5</v>
      </c>
      <c r="K682" s="37">
        <f>IF(J682=0,0,IF(B682="F",VLOOKUP(I682,Barem!$G$2:$H$16,2,1),VLOOKUP(I682,Barem!$G$17:$H$31,2,1)))</f>
        <v>0</v>
      </c>
      <c r="L682" s="50">
        <v>1</v>
      </c>
      <c r="M682" s="124" t="s">
        <v>106</v>
      </c>
      <c r="N682" s="10">
        <f t="shared" si="281"/>
        <v>0.5</v>
      </c>
      <c r="O682" s="10">
        <f t="shared" si="281"/>
        <v>0.25</v>
      </c>
      <c r="P682" s="10">
        <f t="shared" si="281"/>
        <v>0.25</v>
      </c>
      <c r="Q682" s="40">
        <f t="shared" si="278"/>
        <v>0.73733333333333329</v>
      </c>
      <c r="R682" s="21">
        <f>IF(D682&gt;21,VLOOKUP(D682,Barem!$T$1:$U$141,2,1),0)</f>
        <v>0.1</v>
      </c>
      <c r="S682" s="152">
        <f>IF(D682&lt;1.609,0,IF(B682="F",VLOOKUP(I682,Barem!$X$2:$Z$13,2,1),VLOOKUP(I682,Barem!$X$14:$Z$25,2,1)))</f>
        <v>0</v>
      </c>
      <c r="T682" s="21">
        <f>VLOOKUP(A682,Participanti!A:C,3,0)</f>
        <v>0</v>
      </c>
      <c r="U682" s="18">
        <f t="shared" si="279"/>
        <v>3.5873333333333335</v>
      </c>
      <c r="V682" s="58" t="s">
        <v>468</v>
      </c>
      <c r="W682" s="77">
        <f t="shared" si="267"/>
        <v>1</v>
      </c>
      <c r="X682" s="1" t="str">
        <f>VLOOKUP(A682,Data_Echipe!A:R,18,0)</f>
        <v>Almost Kenyan Runners</v>
      </c>
      <c r="Z682" s="115">
        <f t="shared" si="280"/>
        <v>0</v>
      </c>
    </row>
    <row r="683" spans="1:26" x14ac:dyDescent="0.3">
      <c r="A683" s="49" t="s">
        <v>133</v>
      </c>
      <c r="B683" s="1" t="str">
        <f>VLOOKUP(A683,Participanti!A:B,2,0)</f>
        <v>M</v>
      </c>
      <c r="C683" s="74">
        <v>8</v>
      </c>
      <c r="D683" s="50">
        <v>3</v>
      </c>
      <c r="E683" s="51">
        <v>8.3101851851851861E-3</v>
      </c>
      <c r="F683" s="51">
        <v>8.3101851851851861E-3</v>
      </c>
      <c r="G683" s="69">
        <f t="shared" si="275"/>
        <v>8.3101851851851861E-3</v>
      </c>
      <c r="H683" s="52"/>
      <c r="I683" s="12">
        <f t="shared" si="276"/>
        <v>2.770061728395062E-3</v>
      </c>
      <c r="J683" s="37">
        <f t="shared" si="277"/>
        <v>0.7142857142857143</v>
      </c>
      <c r="K683" s="37">
        <f>IF(J683=0,0,IF(B683="F",VLOOKUP(I683,Barem!$G$2:$H$16,2,1),VLOOKUP(I683,Barem!$G$17:$H$31,2,1)))</f>
        <v>5</v>
      </c>
      <c r="L683" s="50">
        <v>0.75</v>
      </c>
      <c r="M683" s="124" t="s">
        <v>107</v>
      </c>
      <c r="N683" s="10">
        <f t="shared" si="281"/>
        <v>0.25</v>
      </c>
      <c r="O683" s="10">
        <f t="shared" si="281"/>
        <v>0.5</v>
      </c>
      <c r="P683" s="10">
        <f t="shared" si="281"/>
        <v>0.25</v>
      </c>
      <c r="Q683" s="40">
        <f t="shared" si="278"/>
        <v>0</v>
      </c>
      <c r="R683" s="21">
        <f>IF(D683&gt;21,VLOOKUP(D683,Barem!$T$1:$U$141,2,1),0)</f>
        <v>0</v>
      </c>
      <c r="S683" s="152">
        <f>IF(D683&lt;1.609,0,IF(B683="F",VLOOKUP(I683,Barem!$X$2:$Z$13,2,1),VLOOKUP(I683,Barem!$X$14:$Z$25,2,1)))</f>
        <v>0.15000000000000002</v>
      </c>
      <c r="T683" s="21">
        <f>VLOOKUP(A683,Participanti!A:C,3,0)</f>
        <v>0.4</v>
      </c>
      <c r="U683" s="18">
        <f t="shared" si="279"/>
        <v>3.4160714285714282</v>
      </c>
      <c r="V683" s="58" t="s">
        <v>468</v>
      </c>
      <c r="W683" s="77">
        <f t="shared" si="267"/>
        <v>1</v>
      </c>
      <c r="X683" s="1" t="str">
        <f>VLOOKUP(A683,Data_Echipe!A:R,18,0)</f>
        <v>UltraHaita lu' Borcan</v>
      </c>
      <c r="Z683" s="115">
        <f t="shared" si="280"/>
        <v>1</v>
      </c>
    </row>
    <row r="684" spans="1:26" x14ac:dyDescent="0.3">
      <c r="A684" s="49" t="s">
        <v>292</v>
      </c>
      <c r="B684" s="1" t="str">
        <f>VLOOKUP(A684,Participanti!A:B,2,0)</f>
        <v>F</v>
      </c>
      <c r="C684" s="74">
        <v>8</v>
      </c>
      <c r="D684" s="50">
        <v>12.7</v>
      </c>
      <c r="E684" s="51">
        <v>6.5034722222222216E-2</v>
      </c>
      <c r="F684" s="51">
        <v>8.4363425925925925E-2</v>
      </c>
      <c r="G684" s="69">
        <f t="shared" si="275"/>
        <v>7.4699074074074071E-2</v>
      </c>
      <c r="H684" s="52">
        <v>455</v>
      </c>
      <c r="I684" s="12">
        <f t="shared" si="276"/>
        <v>5.8818168562263049E-3</v>
      </c>
      <c r="J684" s="37">
        <f t="shared" si="277"/>
        <v>3.1749999999999998</v>
      </c>
      <c r="K684" s="37">
        <f>IF(J684=0,0,IF(B684="F",VLOOKUP(I684,Barem!$G$2:$H$16,2,1),VLOOKUP(I684,Barem!$G$17:$H$31,2,1)))</f>
        <v>0.25</v>
      </c>
      <c r="L684" s="50">
        <v>1</v>
      </c>
      <c r="M684" s="124" t="s">
        <v>107</v>
      </c>
      <c r="N684" s="10">
        <f t="shared" si="281"/>
        <v>0.25</v>
      </c>
      <c r="O684" s="10">
        <f t="shared" si="281"/>
        <v>0.5</v>
      </c>
      <c r="P684" s="10">
        <f t="shared" si="281"/>
        <v>0.25</v>
      </c>
      <c r="Q684" s="40">
        <f t="shared" si="278"/>
        <v>0.30333333333333334</v>
      </c>
      <c r="R684" s="21">
        <f>IF(D684&gt;21,VLOOKUP(D684,Barem!$T$1:$U$141,2,1),0)</f>
        <v>0</v>
      </c>
      <c r="S684" s="152">
        <f>IF(D684&lt;1.609,0,IF(B684="F",VLOOKUP(I684,Barem!$X$2:$Z$13,2,1),VLOOKUP(I684,Barem!$X$14:$Z$25,2,1)))</f>
        <v>0</v>
      </c>
      <c r="T684" s="21">
        <f>VLOOKUP(A684,Participanti!A:C,3,0)</f>
        <v>0</v>
      </c>
      <c r="U684" s="18">
        <f t="shared" si="279"/>
        <v>1.4720833333333334</v>
      </c>
      <c r="V684" s="58" t="s">
        <v>468</v>
      </c>
      <c r="W684" s="77">
        <f t="shared" si="267"/>
        <v>1</v>
      </c>
      <c r="X684" s="1" t="e">
        <f>VLOOKUP(A684,Data_Echipe!A:R,18,0)</f>
        <v>#N/A</v>
      </c>
      <c r="Z684" s="115">
        <f t="shared" si="280"/>
        <v>1</v>
      </c>
    </row>
    <row r="685" spans="1:26" x14ac:dyDescent="0.3">
      <c r="A685" s="49" t="s">
        <v>353</v>
      </c>
      <c r="B685" s="1" t="str">
        <f>VLOOKUP(A685,Participanti!A:B,2,0)</f>
        <v>M</v>
      </c>
      <c r="C685" s="74">
        <v>8</v>
      </c>
      <c r="D685" s="50">
        <v>28.36</v>
      </c>
      <c r="E685" s="51">
        <v>0.11428240740740742</v>
      </c>
      <c r="F685" s="51">
        <v>0.1158101851851852</v>
      </c>
      <c r="G685" s="69">
        <f t="shared" si="275"/>
        <v>0.11504629629629631</v>
      </c>
      <c r="H685" s="52"/>
      <c r="I685" s="12">
        <f t="shared" si="276"/>
        <v>4.0566395026902791E-3</v>
      </c>
      <c r="J685" s="37">
        <f t="shared" si="277"/>
        <v>5</v>
      </c>
      <c r="K685" s="37">
        <f>IF(J685=0,0,IF(B685="F",VLOOKUP(I685,Barem!$G$2:$H$16,2,1),VLOOKUP(I685,Barem!$G$17:$H$31,2,1)))</f>
        <v>1.5</v>
      </c>
      <c r="L685" s="50">
        <v>2</v>
      </c>
      <c r="M685" s="124" t="s">
        <v>207</v>
      </c>
      <c r="N685" s="10">
        <f t="shared" si="281"/>
        <v>0.25</v>
      </c>
      <c r="O685" s="10">
        <f t="shared" si="281"/>
        <v>0.25</v>
      </c>
      <c r="P685" s="10">
        <f t="shared" si="281"/>
        <v>0.5</v>
      </c>
      <c r="Q685" s="40">
        <f t="shared" si="278"/>
        <v>0</v>
      </c>
      <c r="R685" s="21">
        <f>IF(D685&gt;21,VLOOKUP(D685,Barem!$T$1:$U$141,2,1),0)</f>
        <v>0.3</v>
      </c>
      <c r="S685" s="152">
        <f>IF(D685&lt;1.609,0,IF(B685="F",VLOOKUP(I685,Barem!$X$2:$Z$13,2,1),VLOOKUP(I685,Barem!$X$14:$Z$25,2,1)))</f>
        <v>0</v>
      </c>
      <c r="T685" s="21">
        <f>VLOOKUP(A685,Participanti!A:C,3,0)</f>
        <v>0</v>
      </c>
      <c r="U685" s="18">
        <f t="shared" si="279"/>
        <v>2.9249999999999998</v>
      </c>
      <c r="V685" s="58" t="s">
        <v>468</v>
      </c>
      <c r="W685" s="77">
        <f t="shared" si="267"/>
        <v>1</v>
      </c>
      <c r="X685" s="1" t="e">
        <f>VLOOKUP(A685,Data_Echipe!A:R,18,0)</f>
        <v>#N/A</v>
      </c>
      <c r="Z685" s="115">
        <f t="shared" si="280"/>
        <v>1</v>
      </c>
    </row>
    <row r="686" spans="1:26" x14ac:dyDescent="0.3">
      <c r="A686" s="49" t="s">
        <v>354</v>
      </c>
      <c r="B686" s="1" t="str">
        <f>VLOOKUP(A686,Participanti!A:B,2,0)</f>
        <v>M</v>
      </c>
      <c r="C686" s="74">
        <v>8</v>
      </c>
      <c r="D686" s="50">
        <v>7.73</v>
      </c>
      <c r="E686" s="51">
        <v>2.7893518518518515E-2</v>
      </c>
      <c r="F686" s="51">
        <v>2.9212962962962965E-2</v>
      </c>
      <c r="G686" s="69">
        <f t="shared" si="275"/>
        <v>2.855324074074074E-2</v>
      </c>
      <c r="H686" s="52"/>
      <c r="I686" s="12">
        <f t="shared" si="276"/>
        <v>3.6938215706003542E-3</v>
      </c>
      <c r="J686" s="37">
        <f t="shared" si="277"/>
        <v>1.8404761904761906</v>
      </c>
      <c r="K686" s="37">
        <f>IF(J686=0,0,IF(B686="F",VLOOKUP(I686,Barem!$G$2:$H$16,2,1),VLOOKUP(I686,Barem!$G$17:$H$31,2,1)))</f>
        <v>2</v>
      </c>
      <c r="L686" s="50">
        <v>1.75</v>
      </c>
      <c r="M686" s="124" t="s">
        <v>107</v>
      </c>
      <c r="N686" s="10">
        <f t="shared" si="281"/>
        <v>0.25</v>
      </c>
      <c r="O686" s="10">
        <f t="shared" si="281"/>
        <v>0.5</v>
      </c>
      <c r="P686" s="10">
        <f t="shared" si="281"/>
        <v>0.25</v>
      </c>
      <c r="Q686" s="40">
        <f t="shared" si="278"/>
        <v>0</v>
      </c>
      <c r="R686" s="21">
        <f>IF(D686&gt;21,VLOOKUP(D686,Barem!$T$1:$U$141,2,1),0)</f>
        <v>0</v>
      </c>
      <c r="S686" s="152">
        <f>IF(D686&lt;1.609,0,IF(B686="F",VLOOKUP(I686,Barem!$X$2:$Z$13,2,1),VLOOKUP(I686,Barem!$X$14:$Z$25,2,1)))</f>
        <v>0</v>
      </c>
      <c r="T686" s="21">
        <f>VLOOKUP(A686,Participanti!A:C,3,0)</f>
        <v>0</v>
      </c>
      <c r="U686" s="18">
        <f t="shared" si="279"/>
        <v>1.8976190476190475</v>
      </c>
      <c r="V686" s="58" t="s">
        <v>468</v>
      </c>
      <c r="W686" s="77">
        <f t="shared" si="267"/>
        <v>1</v>
      </c>
      <c r="X686" s="1" t="e">
        <f>VLOOKUP(A686,Data_Echipe!A:R,18,0)</f>
        <v>#N/A</v>
      </c>
      <c r="Z686" s="115">
        <f t="shared" si="280"/>
        <v>1</v>
      </c>
    </row>
    <row r="687" spans="1:26" x14ac:dyDescent="0.3">
      <c r="A687" s="49" t="s">
        <v>469</v>
      </c>
      <c r="B687" s="1" t="str">
        <f>VLOOKUP(A687,Participanti!A:B,2,0)</f>
        <v>M</v>
      </c>
      <c r="C687" s="74">
        <v>8</v>
      </c>
      <c r="D687" s="50">
        <v>21.17</v>
      </c>
      <c r="E687" s="51">
        <v>7.3333333333333334E-2</v>
      </c>
      <c r="F687" s="51">
        <v>8.3275462962962968E-2</v>
      </c>
      <c r="G687" s="69">
        <f t="shared" si="275"/>
        <v>7.8304398148148158E-2</v>
      </c>
      <c r="H687" s="52">
        <v>115</v>
      </c>
      <c r="I687" s="12">
        <f t="shared" si="276"/>
        <v>3.6988378907958502E-3</v>
      </c>
      <c r="J687" s="37">
        <f t="shared" si="277"/>
        <v>5</v>
      </c>
      <c r="K687" s="37">
        <f>IF(J687=0,0,IF(B687="F",VLOOKUP(I687,Barem!$G$2:$H$16,2,1),VLOOKUP(I687,Barem!$G$17:$H$31,2,1)))</f>
        <v>2</v>
      </c>
      <c r="L687" s="50">
        <v>2.5</v>
      </c>
      <c r="M687" s="124" t="s">
        <v>106</v>
      </c>
      <c r="N687" s="10">
        <f t="shared" si="281"/>
        <v>0.5</v>
      </c>
      <c r="O687" s="10">
        <f t="shared" si="281"/>
        <v>0.25</v>
      </c>
      <c r="P687" s="10">
        <f t="shared" si="281"/>
        <v>0.25</v>
      </c>
      <c r="Q687" s="40">
        <f t="shared" si="278"/>
        <v>7.6666666666666661E-2</v>
      </c>
      <c r="R687" s="21">
        <f>IF(D687&gt;21,VLOOKUP(D687,Barem!$T$1:$U$141,2,1),0)</f>
        <v>0</v>
      </c>
      <c r="S687" s="152">
        <f>IF(D687&lt;1.609,0,IF(B687="F",VLOOKUP(I687,Barem!$X$2:$Z$13,2,1),VLOOKUP(I687,Barem!$X$14:$Z$25,2,1)))</f>
        <v>0</v>
      </c>
      <c r="T687" s="21">
        <f>VLOOKUP(A687,Participanti!A:C,3,0)</f>
        <v>0</v>
      </c>
      <c r="U687" s="18">
        <f t="shared" si="279"/>
        <v>3.7016666666666667</v>
      </c>
      <c r="V687" s="58" t="s">
        <v>468</v>
      </c>
      <c r="W687" s="77">
        <f t="shared" si="267"/>
        <v>1</v>
      </c>
      <c r="X687" s="1" t="e">
        <f>VLOOKUP(A687,Data_Echipe!A:R,18,0)</f>
        <v>#N/A</v>
      </c>
      <c r="Z687" s="115">
        <f t="shared" si="280"/>
        <v>1</v>
      </c>
    </row>
    <row r="688" spans="1:26" x14ac:dyDescent="0.3">
      <c r="A688" s="49" t="s">
        <v>332</v>
      </c>
      <c r="B688" s="1" t="str">
        <f>VLOOKUP(A688,Participanti!A:B,2,0)</f>
        <v>M</v>
      </c>
      <c r="C688" s="74">
        <v>8</v>
      </c>
      <c r="D688" s="50">
        <v>21.22</v>
      </c>
      <c r="E688" s="51">
        <v>0.10637731481481481</v>
      </c>
      <c r="F688" s="51">
        <v>0.10791666666666666</v>
      </c>
      <c r="G688" s="69">
        <f t="shared" si="275"/>
        <v>0.10714699074074074</v>
      </c>
      <c r="H688" s="52">
        <v>272</v>
      </c>
      <c r="I688" s="12">
        <f t="shared" si="276"/>
        <v>5.0493398087059728E-3</v>
      </c>
      <c r="J688" s="37">
        <f t="shared" si="277"/>
        <v>5</v>
      </c>
      <c r="K688" s="37">
        <f>IF(J688=0,0,IF(B688="F",VLOOKUP(I688,Barem!$G$2:$H$16,2,1),VLOOKUP(I688,Barem!$G$17:$H$31,2,1)))</f>
        <v>0.25</v>
      </c>
      <c r="L688" s="50">
        <v>2.75</v>
      </c>
      <c r="M688" s="124" t="s">
        <v>207</v>
      </c>
      <c r="N688" s="10">
        <f t="shared" si="281"/>
        <v>0.25</v>
      </c>
      <c r="O688" s="10">
        <f t="shared" si="281"/>
        <v>0.25</v>
      </c>
      <c r="P688" s="10">
        <f t="shared" si="281"/>
        <v>0.5</v>
      </c>
      <c r="Q688" s="40">
        <f t="shared" si="278"/>
        <v>0.18133333333333335</v>
      </c>
      <c r="R688" s="21">
        <f>IF(D688&gt;21,VLOOKUP(D688,Barem!$T$1:$U$141,2,1),0)</f>
        <v>0</v>
      </c>
      <c r="S688" s="152">
        <f>IF(D688&lt;1.609,0,IF(B688="F",VLOOKUP(I688,Barem!$X$2:$Z$13,2,1),VLOOKUP(I688,Barem!$X$14:$Z$25,2,1)))</f>
        <v>0</v>
      </c>
      <c r="T688" s="21">
        <f>VLOOKUP(A688,Participanti!A:C,3,0)</f>
        <v>0.4</v>
      </c>
      <c r="U688" s="18">
        <f t="shared" si="279"/>
        <v>3.2688333333333333</v>
      </c>
      <c r="V688" s="58" t="s">
        <v>468</v>
      </c>
      <c r="W688" s="77">
        <f t="shared" si="267"/>
        <v>1</v>
      </c>
      <c r="X688" s="1" t="str">
        <f>VLOOKUP(A688,Data_Echipe!A:R,18,0)</f>
        <v>MedgidiaRunning</v>
      </c>
      <c r="Z688" s="115">
        <f t="shared" si="280"/>
        <v>1</v>
      </c>
    </row>
    <row r="689" spans="1:26" x14ac:dyDescent="0.3">
      <c r="A689" s="49" t="s">
        <v>291</v>
      </c>
      <c r="B689" s="1" t="str">
        <f>VLOOKUP(A689,Participanti!A:B,2,0)</f>
        <v>F</v>
      </c>
      <c r="C689" s="74">
        <v>8</v>
      </c>
      <c r="D689" s="50">
        <v>10.88</v>
      </c>
      <c r="E689" s="51">
        <v>4.8449074074074082E-2</v>
      </c>
      <c r="F689" s="51">
        <v>4.9004629629629627E-2</v>
      </c>
      <c r="G689" s="69">
        <f t="shared" si="275"/>
        <v>4.8726851851851855E-2</v>
      </c>
      <c r="H689" s="52"/>
      <c r="I689" s="12">
        <f t="shared" si="276"/>
        <v>4.4785709422657952E-3</v>
      </c>
      <c r="J689" s="37">
        <f t="shared" si="277"/>
        <v>2.72</v>
      </c>
      <c r="K689" s="37">
        <f>IF(J689=0,0,IF(B689="F",VLOOKUP(I689,Barem!$G$2:$H$16,2,1),VLOOKUP(I689,Barem!$G$17:$H$31,2,1)))</f>
        <v>1.5</v>
      </c>
      <c r="L689" s="50">
        <v>2.5</v>
      </c>
      <c r="M689" s="124" t="s">
        <v>207</v>
      </c>
      <c r="N689" s="10">
        <f t="shared" si="281"/>
        <v>0.25</v>
      </c>
      <c r="O689" s="10">
        <f t="shared" si="281"/>
        <v>0.25</v>
      </c>
      <c r="P689" s="10">
        <f t="shared" si="281"/>
        <v>0.5</v>
      </c>
      <c r="Q689" s="40">
        <f t="shared" si="278"/>
        <v>0</v>
      </c>
      <c r="R689" s="21">
        <f>IF(D689&gt;21,VLOOKUP(D689,Barem!$T$1:$U$141,2,1),0)</f>
        <v>0</v>
      </c>
      <c r="S689" s="152">
        <f>IF(D689&lt;1.609,0,IF(B689="F",VLOOKUP(I689,Barem!$X$2:$Z$13,2,1),VLOOKUP(I689,Barem!$X$14:$Z$25,2,1)))</f>
        <v>0</v>
      </c>
      <c r="T689" s="21">
        <f>VLOOKUP(A689,Participanti!A:C,3,0)</f>
        <v>0</v>
      </c>
      <c r="U689" s="18">
        <f t="shared" si="279"/>
        <v>2.3050000000000002</v>
      </c>
      <c r="V689" s="58" t="s">
        <v>468</v>
      </c>
      <c r="W689" s="77">
        <f t="shared" si="267"/>
        <v>1</v>
      </c>
      <c r="X689" s="1" t="str">
        <f>VLOOKUP(A689,Data_Echipe!A:R,18,0)</f>
        <v>#notSYRious</v>
      </c>
      <c r="Z689" s="115">
        <f t="shared" si="280"/>
        <v>1</v>
      </c>
    </row>
    <row r="690" spans="1:26" x14ac:dyDescent="0.3">
      <c r="A690" s="49" t="s">
        <v>366</v>
      </c>
      <c r="B690" s="1" t="str">
        <f>VLOOKUP(A690,Participanti!A:B,2,0)</f>
        <v>M</v>
      </c>
      <c r="C690" s="74">
        <v>8</v>
      </c>
      <c r="D690" s="50">
        <v>20.010000000000002</v>
      </c>
      <c r="E690" s="51">
        <v>6.4409722222222229E-2</v>
      </c>
      <c r="F690" s="51">
        <v>6.9259259259259257E-2</v>
      </c>
      <c r="G690" s="69">
        <f t="shared" ref="G690:G702" si="282">AVERAGE(E690:F690)</f>
        <v>6.6834490740740743E-2</v>
      </c>
      <c r="H690" s="52"/>
      <c r="I690" s="12">
        <f t="shared" ref="I690:I702" si="283">G690/D690</f>
        <v>3.3400545097821456E-3</v>
      </c>
      <c r="J690" s="37">
        <f t="shared" ref="J690:J702" si="284">IF(B690="F",IF(D690&lt;2.5,0,IF(D690&gt;19.99,5,D690/4)),IF(D690&lt;3,0, IF(D690&gt;20.99,5,D690/4.2)))</f>
        <v>4.7642857142857142</v>
      </c>
      <c r="K690" s="37">
        <f>IF(J690=0,0,IF(B690="F",VLOOKUP(I690,Barem!$G$2:$H$16,2,1),VLOOKUP(I690,Barem!$G$17:$H$31,2,1)))</f>
        <v>3</v>
      </c>
      <c r="L690" s="50">
        <v>4</v>
      </c>
      <c r="M690" s="124" t="s">
        <v>207</v>
      </c>
      <c r="N690" s="10">
        <f t="shared" si="281"/>
        <v>0.25</v>
      </c>
      <c r="O690" s="10">
        <f t="shared" si="281"/>
        <v>0.25</v>
      </c>
      <c r="P690" s="10">
        <f t="shared" si="281"/>
        <v>0.5</v>
      </c>
      <c r="Q690" s="40">
        <f t="shared" ref="Q690:Q702" si="285">IF(H690&gt;49,H690/1500,0)</f>
        <v>0</v>
      </c>
      <c r="R690" s="21">
        <f>IF(D690&gt;21,VLOOKUP(D690,Barem!$T$1:$U$141,2,1),0)</f>
        <v>0</v>
      </c>
      <c r="S690" s="152">
        <f>IF(D690&lt;1.609,0,IF(B690="F",VLOOKUP(I690,Barem!$X$2:$Z$13,2,1),VLOOKUP(I690,Barem!$X$14:$Z$25,2,1)))</f>
        <v>0</v>
      </c>
      <c r="T690" s="21">
        <f>VLOOKUP(A690,Participanti!A:C,3,0)</f>
        <v>0</v>
      </c>
      <c r="U690" s="18">
        <f t="shared" ref="U690:U702" si="286">IF(H690&lt;0,0,J690*N690+K690*O690+L690*P690+Q690+R690+S690+T690)</f>
        <v>3.9410714285714286</v>
      </c>
      <c r="V690" s="58" t="s">
        <v>468</v>
      </c>
      <c r="W690" s="77">
        <f t="shared" si="267"/>
        <v>1</v>
      </c>
      <c r="X690" s="1" t="str">
        <f>VLOOKUP(A690,Data_Echipe!A:R,18,0)</f>
        <v>The GOATs</v>
      </c>
      <c r="Z690" s="115">
        <f t="shared" ref="Z690:Z702" si="287">IF(K690&gt;0,1,0)</f>
        <v>1</v>
      </c>
    </row>
    <row r="691" spans="1:26" x14ac:dyDescent="0.3">
      <c r="A691" s="49" t="s">
        <v>431</v>
      </c>
      <c r="B691" s="1" t="str">
        <f>VLOOKUP(A691,Participanti!A:B,2,0)</f>
        <v>F</v>
      </c>
      <c r="C691" s="74">
        <v>8</v>
      </c>
      <c r="D691" s="50">
        <v>10.25</v>
      </c>
      <c r="E691" s="51">
        <v>5.2060185185185182E-2</v>
      </c>
      <c r="F691" s="51">
        <v>5.2743055555555557E-2</v>
      </c>
      <c r="G691" s="69">
        <f t="shared" si="282"/>
        <v>5.2401620370370369E-2</v>
      </c>
      <c r="H691" s="52">
        <v>52</v>
      </c>
      <c r="I691" s="12">
        <f t="shared" si="283"/>
        <v>5.1123532068654016E-3</v>
      </c>
      <c r="J691" s="37">
        <f t="shared" si="284"/>
        <v>2.5625</v>
      </c>
      <c r="K691" s="37">
        <f>IF(J691=0,0,IF(B691="F",VLOOKUP(I691,Barem!$G$2:$H$16,2,1),VLOOKUP(I691,Barem!$G$17:$H$31,2,1)))</f>
        <v>0.5</v>
      </c>
      <c r="L691" s="50">
        <v>2.5</v>
      </c>
      <c r="M691" s="124" t="s">
        <v>106</v>
      </c>
      <c r="N691" s="10">
        <f t="shared" ref="N691:P707" si="288">IF($M691=N$1,50%,25%)</f>
        <v>0.5</v>
      </c>
      <c r="O691" s="10">
        <f t="shared" si="288"/>
        <v>0.25</v>
      </c>
      <c r="P691" s="10">
        <f t="shared" si="288"/>
        <v>0.25</v>
      </c>
      <c r="Q691" s="40">
        <f t="shared" si="285"/>
        <v>3.4666666666666665E-2</v>
      </c>
      <c r="R691" s="21">
        <f>IF(D691&gt;21,VLOOKUP(D691,Barem!$T$1:$U$141,2,1),0)</f>
        <v>0</v>
      </c>
      <c r="S691" s="152">
        <f>IF(D691&lt;1.609,0,IF(B691="F",VLOOKUP(I691,Barem!$X$2:$Z$13,2,1),VLOOKUP(I691,Barem!$X$14:$Z$25,2,1)))</f>
        <v>0</v>
      </c>
      <c r="T691" s="21">
        <f>VLOOKUP(A691,Participanti!A:C,3,0)</f>
        <v>0.4</v>
      </c>
      <c r="U691" s="18">
        <f t="shared" si="286"/>
        <v>2.4659166666666668</v>
      </c>
      <c r="V691" s="58" t="s">
        <v>468</v>
      </c>
      <c r="W691" s="77">
        <f t="shared" si="267"/>
        <v>1</v>
      </c>
      <c r="X691" s="1" t="e">
        <f>VLOOKUP(A691,Data_Echipe!A:R,18,0)</f>
        <v>#N/A</v>
      </c>
      <c r="Z691" s="115">
        <f t="shared" si="287"/>
        <v>1</v>
      </c>
    </row>
    <row r="692" spans="1:26" x14ac:dyDescent="0.3">
      <c r="A692" s="49" t="s">
        <v>206</v>
      </c>
      <c r="B692" s="1" t="str">
        <f>VLOOKUP(A692,Participanti!A:B,2,0)</f>
        <v>M</v>
      </c>
      <c r="C692" s="74">
        <v>8</v>
      </c>
      <c r="D692" s="50">
        <v>19.13</v>
      </c>
      <c r="E692" s="51">
        <v>6.5578703703703708E-2</v>
      </c>
      <c r="F692" s="51">
        <v>9.418981481481481E-2</v>
      </c>
      <c r="G692" s="69">
        <f t="shared" si="282"/>
        <v>7.9884259259259266E-2</v>
      </c>
      <c r="H692" s="52"/>
      <c r="I692" s="12">
        <f t="shared" si="283"/>
        <v>4.175863003620453E-3</v>
      </c>
      <c r="J692" s="37">
        <f t="shared" si="284"/>
        <v>4.5547619047619046</v>
      </c>
      <c r="K692" s="37">
        <f>IF(J692=0,0,IF(B692="F",VLOOKUP(I692,Barem!$G$2:$H$16,2,1),VLOOKUP(I692,Barem!$G$17:$H$31,2,1)))</f>
        <v>1.5</v>
      </c>
      <c r="L692" s="50">
        <v>2</v>
      </c>
      <c r="M692" s="124" t="s">
        <v>106</v>
      </c>
      <c r="N692" s="10">
        <f t="shared" si="288"/>
        <v>0.5</v>
      </c>
      <c r="O692" s="10">
        <f t="shared" si="288"/>
        <v>0.25</v>
      </c>
      <c r="P692" s="10">
        <f t="shared" si="288"/>
        <v>0.25</v>
      </c>
      <c r="Q692" s="40">
        <f t="shared" si="285"/>
        <v>0</v>
      </c>
      <c r="R692" s="21">
        <f>IF(D692&gt;21,VLOOKUP(D692,Barem!$T$1:$U$141,2,1),0)</f>
        <v>0</v>
      </c>
      <c r="S692" s="152">
        <f>IF(D692&lt;1.609,0,IF(B692="F",VLOOKUP(I692,Barem!$X$2:$Z$13,2,1),VLOOKUP(I692,Barem!$X$14:$Z$25,2,1)))</f>
        <v>0</v>
      </c>
      <c r="T692" s="21">
        <f>VLOOKUP(A692,Participanti!A:C,3,0)</f>
        <v>0</v>
      </c>
      <c r="U692" s="18">
        <f t="shared" si="286"/>
        <v>3.1523809523809523</v>
      </c>
      <c r="V692" s="58" t="s">
        <v>468</v>
      </c>
      <c r="W692" s="77">
        <f t="shared" si="267"/>
        <v>1</v>
      </c>
      <c r="X692" s="1" t="e">
        <f>VLOOKUP(A692,Data_Echipe!A:R,18,0)</f>
        <v>#N/A</v>
      </c>
      <c r="Z692" s="115">
        <f t="shared" si="287"/>
        <v>1</v>
      </c>
    </row>
    <row r="693" spans="1:26" x14ac:dyDescent="0.3">
      <c r="A693" s="49" t="s">
        <v>376</v>
      </c>
      <c r="B693" s="1" t="str">
        <f>VLOOKUP(A693,Participanti!A:B,2,0)</f>
        <v>M</v>
      </c>
      <c r="C693" s="74">
        <v>8</v>
      </c>
      <c r="D693" s="50">
        <v>89.6</v>
      </c>
      <c r="E693" s="51">
        <v>0.24766203703703704</v>
      </c>
      <c r="F693" s="51">
        <v>0.25031249999999999</v>
      </c>
      <c r="G693" s="69">
        <f t="shared" si="282"/>
        <v>0.24898726851851852</v>
      </c>
      <c r="H693" s="52"/>
      <c r="I693" s="12">
        <f t="shared" si="283"/>
        <v>2.7788757647156086E-3</v>
      </c>
      <c r="J693" s="37">
        <f t="shared" si="284"/>
        <v>5</v>
      </c>
      <c r="K693" s="37">
        <f>IF(J693=0,0,IF(B693="F",VLOOKUP(I693,Barem!$G$2:$H$16,2,1),VLOOKUP(I693,Barem!$G$17:$H$31,2,1)))</f>
        <v>5</v>
      </c>
      <c r="L693" s="50">
        <v>4</v>
      </c>
      <c r="M693" s="124" t="s">
        <v>107</v>
      </c>
      <c r="N693" s="10">
        <f t="shared" si="288"/>
        <v>0.25</v>
      </c>
      <c r="O693" s="10">
        <f t="shared" si="288"/>
        <v>0.5</v>
      </c>
      <c r="P693" s="10">
        <f t="shared" si="288"/>
        <v>0.25</v>
      </c>
      <c r="Q693" s="40">
        <f t="shared" si="285"/>
        <v>0</v>
      </c>
      <c r="R693" s="21">
        <f>IF(D693&gt;21,VLOOKUP(D693,Barem!$T$1:$U$141,2,1),0)</f>
        <v>3.4</v>
      </c>
      <c r="S693" s="152">
        <f>IF(D693&lt;1.609,0,IF(B693="F",VLOOKUP(I693,Barem!$X$2:$Z$13,2,1),VLOOKUP(I693,Barem!$X$14:$Z$25,2,1)))</f>
        <v>0</v>
      </c>
      <c r="T693" s="21">
        <f>VLOOKUP(A693,Participanti!A:C,3,0)</f>
        <v>0</v>
      </c>
      <c r="U693" s="18">
        <f t="shared" si="286"/>
        <v>8.15</v>
      </c>
      <c r="V693" s="58" t="s">
        <v>468</v>
      </c>
      <c r="W693" s="77">
        <f t="shared" si="267"/>
        <v>1</v>
      </c>
      <c r="X693" s="1" t="e">
        <f>VLOOKUP(A693,Data_Echipe!A:R,18,0)</f>
        <v>#N/A</v>
      </c>
      <c r="Z693" s="115">
        <f t="shared" si="287"/>
        <v>1</v>
      </c>
    </row>
    <row r="694" spans="1:26" x14ac:dyDescent="0.3">
      <c r="A694" s="49" t="s">
        <v>331</v>
      </c>
      <c r="B694" s="1" t="str">
        <f>VLOOKUP(A694,Participanti!A:B,2,0)</f>
        <v>F</v>
      </c>
      <c r="C694" s="74">
        <v>8</v>
      </c>
      <c r="D694" s="50">
        <v>16.11</v>
      </c>
      <c r="E694" s="51">
        <v>6.822916666666666E-2</v>
      </c>
      <c r="F694" s="51">
        <v>7.0798611111111118E-2</v>
      </c>
      <c r="G694" s="69">
        <f t="shared" si="282"/>
        <v>6.9513888888888889E-2</v>
      </c>
      <c r="H694" s="52">
        <v>61</v>
      </c>
      <c r="I694" s="12">
        <f t="shared" si="283"/>
        <v>4.3149527553624388E-3</v>
      </c>
      <c r="J694" s="37">
        <f t="shared" si="284"/>
        <v>4.0274999999999999</v>
      </c>
      <c r="K694" s="37">
        <f>IF(J694=0,0,IF(B694="F",VLOOKUP(I694,Barem!$G$2:$H$16,2,1),VLOOKUP(I694,Barem!$G$17:$H$31,2,1)))</f>
        <v>1.75</v>
      </c>
      <c r="L694" s="50">
        <v>3.5</v>
      </c>
      <c r="M694" s="124" t="s">
        <v>106</v>
      </c>
      <c r="N694" s="10">
        <f t="shared" si="288"/>
        <v>0.5</v>
      </c>
      <c r="O694" s="10">
        <f t="shared" si="288"/>
        <v>0.25</v>
      </c>
      <c r="P694" s="10">
        <f t="shared" si="288"/>
        <v>0.25</v>
      </c>
      <c r="Q694" s="40">
        <f t="shared" si="285"/>
        <v>4.0666666666666663E-2</v>
      </c>
      <c r="R694" s="21">
        <f>IF(D694&gt;21,VLOOKUP(D694,Barem!$T$1:$U$141,2,1),0)</f>
        <v>0</v>
      </c>
      <c r="S694" s="152">
        <f>IF(D694&lt;1.609,0,IF(B694="F",VLOOKUP(I694,Barem!$X$2:$Z$13,2,1),VLOOKUP(I694,Barem!$X$14:$Z$25,2,1)))</f>
        <v>0</v>
      </c>
      <c r="T694" s="21">
        <f>VLOOKUP(A694,Participanti!A:C,3,0)</f>
        <v>0</v>
      </c>
      <c r="U694" s="18">
        <f t="shared" si="286"/>
        <v>3.3669166666666666</v>
      </c>
      <c r="V694" s="58" t="s">
        <v>468</v>
      </c>
      <c r="W694" s="77">
        <f t="shared" si="267"/>
        <v>1</v>
      </c>
      <c r="X694" s="1" t="str">
        <f>VLOOKUP(A694,Data_Echipe!A:R,18,0)</f>
        <v>MedgidiaRunning</v>
      </c>
      <c r="Z694" s="115">
        <f t="shared" si="287"/>
        <v>1</v>
      </c>
    </row>
    <row r="695" spans="1:26" x14ac:dyDescent="0.3">
      <c r="A695" s="49" t="s">
        <v>45</v>
      </c>
      <c r="B695" s="1" t="str">
        <f>VLOOKUP(A695,Participanti!A:B,2,0)</f>
        <v>F</v>
      </c>
      <c r="C695" s="74">
        <v>8</v>
      </c>
      <c r="D695" s="50">
        <v>8.19</v>
      </c>
      <c r="E695" s="51">
        <v>3.3703703703703701E-2</v>
      </c>
      <c r="F695" s="51">
        <v>4.7372685185185191E-2</v>
      </c>
      <c r="G695" s="69">
        <f t="shared" si="282"/>
        <v>4.0538194444444446E-2</v>
      </c>
      <c r="H695" s="52"/>
      <c r="I695" s="12">
        <f t="shared" si="283"/>
        <v>4.9497184913851588E-3</v>
      </c>
      <c r="J695" s="37">
        <f t="shared" si="284"/>
        <v>2.0474999999999999</v>
      </c>
      <c r="K695" s="37">
        <f>IF(J695=0,0,IF(B695="F",VLOOKUP(I695,Barem!$G$2:$H$16,2,1),VLOOKUP(I695,Barem!$G$17:$H$31,2,1)))</f>
        <v>0.75</v>
      </c>
      <c r="L695" s="50">
        <v>3.5</v>
      </c>
      <c r="M695" s="124" t="s">
        <v>207</v>
      </c>
      <c r="N695" s="10">
        <f t="shared" si="288"/>
        <v>0.25</v>
      </c>
      <c r="O695" s="10">
        <f t="shared" si="288"/>
        <v>0.25</v>
      </c>
      <c r="P695" s="10">
        <f t="shared" si="288"/>
        <v>0.5</v>
      </c>
      <c r="Q695" s="40">
        <f t="shared" si="285"/>
        <v>0</v>
      </c>
      <c r="R695" s="21">
        <f>IF(D695&gt;21,VLOOKUP(D695,Barem!$T$1:$U$141,2,1),0)</f>
        <v>0</v>
      </c>
      <c r="S695" s="152">
        <f>IF(D695&lt;1.609,0,IF(B695="F",VLOOKUP(I695,Barem!$X$2:$Z$13,2,1),VLOOKUP(I695,Barem!$X$14:$Z$25,2,1)))</f>
        <v>0</v>
      </c>
      <c r="T695" s="21">
        <f>VLOOKUP(A695,Participanti!A:C,3,0)</f>
        <v>0</v>
      </c>
      <c r="U695" s="18">
        <f t="shared" si="286"/>
        <v>2.4493749999999999</v>
      </c>
      <c r="V695" s="58" t="s">
        <v>468</v>
      </c>
      <c r="W695" s="77">
        <f t="shared" si="267"/>
        <v>1</v>
      </c>
      <c r="X695" s="1" t="e">
        <f>VLOOKUP(A695,Data_Echipe!A:R,18,0)</f>
        <v>#N/A</v>
      </c>
      <c r="Z695" s="115">
        <f t="shared" si="287"/>
        <v>1</v>
      </c>
    </row>
    <row r="696" spans="1:26" x14ac:dyDescent="0.3">
      <c r="A696" s="49" t="s">
        <v>51</v>
      </c>
      <c r="B696" s="1" t="str">
        <f>VLOOKUP(A696,Participanti!A:B,2,0)</f>
        <v>M</v>
      </c>
      <c r="C696" s="74">
        <v>8</v>
      </c>
      <c r="D696" s="50">
        <v>13</v>
      </c>
      <c r="E696" s="51">
        <v>4.2002314814814812E-2</v>
      </c>
      <c r="F696" s="51">
        <v>4.206018518518518E-2</v>
      </c>
      <c r="G696" s="69">
        <f t="shared" si="282"/>
        <v>4.2031249999999992E-2</v>
      </c>
      <c r="H696" s="52"/>
      <c r="I696" s="12">
        <f t="shared" si="283"/>
        <v>3.2331730769230762E-3</v>
      </c>
      <c r="J696" s="37">
        <f t="shared" si="284"/>
        <v>3.0952380952380949</v>
      </c>
      <c r="K696" s="37">
        <f>IF(J696=0,0,IF(B696="F",VLOOKUP(I696,Barem!$G$2:$H$16,2,1),VLOOKUP(I696,Barem!$G$17:$H$31,2,1)))</f>
        <v>3.5</v>
      </c>
      <c r="L696" s="50">
        <v>3.5</v>
      </c>
      <c r="M696" s="124" t="s">
        <v>107</v>
      </c>
      <c r="N696" s="10">
        <f t="shared" si="288"/>
        <v>0.25</v>
      </c>
      <c r="O696" s="10">
        <f t="shared" si="288"/>
        <v>0.5</v>
      </c>
      <c r="P696" s="10">
        <f t="shared" si="288"/>
        <v>0.25</v>
      </c>
      <c r="Q696" s="40">
        <f t="shared" si="285"/>
        <v>0</v>
      </c>
      <c r="R696" s="21">
        <f>IF(D696&gt;21,VLOOKUP(D696,Barem!$T$1:$U$141,2,1),0)</f>
        <v>0</v>
      </c>
      <c r="S696" s="152">
        <f>IF(D696&lt;1.609,0,IF(B696="F",VLOOKUP(I696,Barem!$X$2:$Z$13,2,1),VLOOKUP(I696,Barem!$X$14:$Z$25,2,1)))</f>
        <v>0</v>
      </c>
      <c r="T696" s="21">
        <f>VLOOKUP(A696,Participanti!A:C,3,0)</f>
        <v>0</v>
      </c>
      <c r="U696" s="18">
        <f t="shared" si="286"/>
        <v>3.3988095238095237</v>
      </c>
      <c r="V696" s="58" t="s">
        <v>468</v>
      </c>
      <c r="W696" s="77">
        <f t="shared" si="267"/>
        <v>1</v>
      </c>
      <c r="X696" s="1" t="str">
        <f>VLOOKUP(A696,Data_Echipe!A:R,18,0)</f>
        <v>The GOATs</v>
      </c>
      <c r="Z696" s="115">
        <f t="shared" si="287"/>
        <v>1</v>
      </c>
    </row>
    <row r="697" spans="1:26" x14ac:dyDescent="0.3">
      <c r="A697" s="49" t="s">
        <v>122</v>
      </c>
      <c r="B697" s="1" t="str">
        <f>VLOOKUP(A697,Participanti!A:B,2,0)</f>
        <v>M</v>
      </c>
      <c r="C697" s="74">
        <v>8</v>
      </c>
      <c r="D697" s="50">
        <v>21.21</v>
      </c>
      <c r="E697" s="51">
        <v>0.12556712962962963</v>
      </c>
      <c r="F697" s="51">
        <v>0.13694444444444445</v>
      </c>
      <c r="G697" s="69">
        <f t="shared" si="282"/>
        <v>0.13125578703703705</v>
      </c>
      <c r="H697" s="52">
        <v>723</v>
      </c>
      <c r="I697" s="12">
        <f t="shared" si="283"/>
        <v>6.1883916566259807E-3</v>
      </c>
      <c r="J697" s="37">
        <f t="shared" si="284"/>
        <v>5</v>
      </c>
      <c r="K697" s="37">
        <f>IF(J697=0,0,IF(B697="F",VLOOKUP(I697,Barem!$G$2:$H$16,2,1),VLOOKUP(I697,Barem!$G$17:$H$31,2,1)))</f>
        <v>0</v>
      </c>
      <c r="L697" s="50">
        <v>2.75</v>
      </c>
      <c r="M697" s="124" t="s">
        <v>106</v>
      </c>
      <c r="N697" s="10">
        <f t="shared" si="288"/>
        <v>0.5</v>
      </c>
      <c r="O697" s="10">
        <f t="shared" si="288"/>
        <v>0.25</v>
      </c>
      <c r="P697" s="10">
        <f t="shared" si="288"/>
        <v>0.25</v>
      </c>
      <c r="Q697" s="40">
        <f t="shared" si="285"/>
        <v>0.48199999999999998</v>
      </c>
      <c r="R697" s="21">
        <f>IF(D697&gt;21,VLOOKUP(D697,Barem!$T$1:$U$141,2,1),0)</f>
        <v>0</v>
      </c>
      <c r="S697" s="152">
        <f>IF(D697&lt;1.609,0,IF(B697="F",VLOOKUP(I697,Barem!$X$2:$Z$13,2,1),VLOOKUP(I697,Barem!$X$14:$Z$25,2,1)))</f>
        <v>0</v>
      </c>
      <c r="T697" s="21">
        <f>VLOOKUP(A697,Participanti!A:C,3,0)</f>
        <v>0</v>
      </c>
      <c r="U697" s="18">
        <f t="shared" si="286"/>
        <v>3.6695000000000002</v>
      </c>
      <c r="V697" s="58" t="s">
        <v>468</v>
      </c>
      <c r="W697" s="77">
        <f t="shared" si="267"/>
        <v>1</v>
      </c>
      <c r="X697" s="1" t="str">
        <f>VLOOKUP(A697,Data_Echipe!A:R,18,0)</f>
        <v>#notSYRious</v>
      </c>
      <c r="Z697" s="115">
        <f t="shared" si="287"/>
        <v>0</v>
      </c>
    </row>
    <row r="698" spans="1:26" x14ac:dyDescent="0.3">
      <c r="A698" s="49" t="s">
        <v>227</v>
      </c>
      <c r="B698" s="1" t="str">
        <f>VLOOKUP(A698,Participanti!A:B,2,0)</f>
        <v>M</v>
      </c>
      <c r="C698" s="74">
        <v>8</v>
      </c>
      <c r="D698" s="50">
        <v>61.01</v>
      </c>
      <c r="E698" s="51">
        <v>0.23283564814814817</v>
      </c>
      <c r="F698" s="51">
        <v>0.23813657407407407</v>
      </c>
      <c r="G698" s="69">
        <f t="shared" si="282"/>
        <v>0.23548611111111112</v>
      </c>
      <c r="H698" s="52">
        <v>606</v>
      </c>
      <c r="I698" s="12">
        <f t="shared" si="283"/>
        <v>3.859795297674334E-3</v>
      </c>
      <c r="J698" s="37">
        <f t="shared" si="284"/>
        <v>5</v>
      </c>
      <c r="K698" s="37">
        <f>IF(J698=0,0,IF(B698="F",VLOOKUP(I698,Barem!$G$2:$H$16,2,1),VLOOKUP(I698,Barem!$G$17:$H$31,2,1)))</f>
        <v>1.75</v>
      </c>
      <c r="L698" s="50">
        <v>4</v>
      </c>
      <c r="M698" s="124" t="s">
        <v>207</v>
      </c>
      <c r="N698" s="10">
        <f t="shared" si="288"/>
        <v>0.25</v>
      </c>
      <c r="O698" s="10">
        <f t="shared" si="288"/>
        <v>0.25</v>
      </c>
      <c r="P698" s="10">
        <f t="shared" si="288"/>
        <v>0.5</v>
      </c>
      <c r="Q698" s="40">
        <f t="shared" si="285"/>
        <v>0.40400000000000003</v>
      </c>
      <c r="R698" s="21">
        <f>IF(D698&gt;21,VLOOKUP(D698,Barem!$T$1:$U$141,2,1),0)</f>
        <v>2</v>
      </c>
      <c r="S698" s="152">
        <f>IF(D698&lt;1.609,0,IF(B698="F",VLOOKUP(I698,Barem!$X$2:$Z$13,2,1),VLOOKUP(I698,Barem!$X$14:$Z$25,2,1)))</f>
        <v>0</v>
      </c>
      <c r="T698" s="21">
        <f>VLOOKUP(A698,Participanti!A:C,3,0)</f>
        <v>0</v>
      </c>
      <c r="U698" s="18">
        <f t="shared" si="286"/>
        <v>6.0914999999999999</v>
      </c>
      <c r="V698" s="58" t="s">
        <v>468</v>
      </c>
      <c r="W698" s="77">
        <f t="shared" si="267"/>
        <v>1</v>
      </c>
      <c r="X698" s="1" t="str">
        <f>VLOOKUP(A698,Data_Echipe!A:R,18,0)</f>
        <v>UltraHaita lu' Borcan</v>
      </c>
      <c r="Z698" s="115">
        <f t="shared" si="287"/>
        <v>1</v>
      </c>
    </row>
    <row r="699" spans="1:26" x14ac:dyDescent="0.3">
      <c r="A699" s="49" t="s">
        <v>245</v>
      </c>
      <c r="B699" s="1" t="str">
        <f>VLOOKUP(A699,Participanti!A:B,2,0)</f>
        <v>M</v>
      </c>
      <c r="C699" s="74">
        <v>8</v>
      </c>
      <c r="D699" s="50">
        <v>10.19</v>
      </c>
      <c r="E699" s="51">
        <v>3.4108796296296297E-2</v>
      </c>
      <c r="F699" s="51">
        <v>3.4421296296296297E-2</v>
      </c>
      <c r="G699" s="69">
        <f t="shared" si="282"/>
        <v>3.42650462962963E-2</v>
      </c>
      <c r="H699" s="52"/>
      <c r="I699" s="12">
        <f t="shared" si="283"/>
        <v>3.3626149456620512E-3</v>
      </c>
      <c r="J699" s="37">
        <f t="shared" si="284"/>
        <v>2.426190476190476</v>
      </c>
      <c r="K699" s="37">
        <f>IF(J699=0,0,IF(B699="F",VLOOKUP(I699,Barem!$G$2:$H$16,2,1),VLOOKUP(I699,Barem!$G$17:$H$31,2,1)))</f>
        <v>3</v>
      </c>
      <c r="L699" s="50">
        <v>2.5</v>
      </c>
      <c r="M699" s="124" t="s">
        <v>107</v>
      </c>
      <c r="N699" s="10">
        <f t="shared" si="288"/>
        <v>0.25</v>
      </c>
      <c r="O699" s="10">
        <f t="shared" si="288"/>
        <v>0.5</v>
      </c>
      <c r="P699" s="10">
        <f t="shared" si="288"/>
        <v>0.25</v>
      </c>
      <c r="Q699" s="40">
        <f t="shared" si="285"/>
        <v>0</v>
      </c>
      <c r="R699" s="21">
        <f>IF(D699&gt;21,VLOOKUP(D699,Barem!$T$1:$U$141,2,1),0)</f>
        <v>0</v>
      </c>
      <c r="S699" s="152">
        <f>IF(D699&lt;1.609,0,IF(B699="F",VLOOKUP(I699,Barem!$X$2:$Z$13,2,1),VLOOKUP(I699,Barem!$X$14:$Z$25,2,1)))</f>
        <v>0</v>
      </c>
      <c r="T699" s="21">
        <f>VLOOKUP(A699,Participanti!A:C,3,0)</f>
        <v>0</v>
      </c>
      <c r="U699" s="18">
        <f t="shared" si="286"/>
        <v>2.7315476190476189</v>
      </c>
      <c r="V699" s="58" t="s">
        <v>468</v>
      </c>
      <c r="W699" s="77">
        <f t="shared" si="267"/>
        <v>1</v>
      </c>
      <c r="X699" s="1" t="str">
        <f>VLOOKUP(A699,Data_Echipe!A:R,18,0)</f>
        <v>#notSYRious</v>
      </c>
      <c r="Z699" s="115">
        <f t="shared" si="287"/>
        <v>1</v>
      </c>
    </row>
    <row r="700" spans="1:26" x14ac:dyDescent="0.3">
      <c r="A700" s="49" t="s">
        <v>248</v>
      </c>
      <c r="B700" s="1" t="str">
        <f>VLOOKUP(A700,Participanti!A:B,2,0)</f>
        <v>M</v>
      </c>
      <c r="C700" s="74">
        <v>8</v>
      </c>
      <c r="D700" s="50">
        <v>15</v>
      </c>
      <c r="E700" s="51">
        <v>4.9571759259259253E-2</v>
      </c>
      <c r="F700" s="51">
        <v>5.0671296296296298E-2</v>
      </c>
      <c r="G700" s="69">
        <f t="shared" si="282"/>
        <v>5.0121527777777772E-2</v>
      </c>
      <c r="H700" s="52"/>
      <c r="I700" s="12">
        <f t="shared" si="283"/>
        <v>3.3414351851851847E-3</v>
      </c>
      <c r="J700" s="37">
        <f t="shared" si="284"/>
        <v>3.5714285714285712</v>
      </c>
      <c r="K700" s="37">
        <f>IF(J700=0,0,IF(B700="F",VLOOKUP(I700,Barem!$G$2:$H$16,2,1),VLOOKUP(I700,Barem!$G$17:$H$31,2,1)))</f>
        <v>3</v>
      </c>
      <c r="L700" s="50">
        <v>0.5</v>
      </c>
      <c r="M700" s="124" t="s">
        <v>106</v>
      </c>
      <c r="N700" s="10">
        <f t="shared" si="288"/>
        <v>0.5</v>
      </c>
      <c r="O700" s="10">
        <f t="shared" si="288"/>
        <v>0.25</v>
      </c>
      <c r="P700" s="10">
        <f t="shared" si="288"/>
        <v>0.25</v>
      </c>
      <c r="Q700" s="40">
        <f t="shared" si="285"/>
        <v>0</v>
      </c>
      <c r="R700" s="21">
        <f>IF(D700&gt;21,VLOOKUP(D700,Barem!$T$1:$U$141,2,1),0)</f>
        <v>0</v>
      </c>
      <c r="S700" s="152">
        <f>IF(D700&lt;1.609,0,IF(B700="F",VLOOKUP(I700,Barem!$X$2:$Z$13,2,1),VLOOKUP(I700,Barem!$X$14:$Z$25,2,1)))</f>
        <v>0</v>
      </c>
      <c r="T700" s="21">
        <f>VLOOKUP(A700,Participanti!A:C,3,0)</f>
        <v>0</v>
      </c>
      <c r="U700" s="18">
        <f t="shared" si="286"/>
        <v>2.6607142857142856</v>
      </c>
      <c r="V700" s="58" t="s">
        <v>468</v>
      </c>
      <c r="W700" s="77">
        <f t="shared" si="267"/>
        <v>1</v>
      </c>
      <c r="X700" s="1" t="str">
        <f>VLOOKUP(A700,Data_Echipe!A:R,18,0)</f>
        <v>Almost Kenyan Runners</v>
      </c>
      <c r="Z700" s="115">
        <f t="shared" si="287"/>
        <v>1</v>
      </c>
    </row>
    <row r="701" spans="1:26" x14ac:dyDescent="0.3">
      <c r="A701" s="49" t="s">
        <v>170</v>
      </c>
      <c r="B701" s="1" t="str">
        <f>VLOOKUP(A701,Participanti!A:B,2,0)</f>
        <v>F</v>
      </c>
      <c r="C701" s="74">
        <v>8</v>
      </c>
      <c r="D701" s="50">
        <v>20.149999999999999</v>
      </c>
      <c r="E701" s="51">
        <v>9.5787037037037046E-2</v>
      </c>
      <c r="F701" s="51">
        <v>0.11535879629629631</v>
      </c>
      <c r="G701" s="69">
        <f t="shared" si="282"/>
        <v>0.10557291666666668</v>
      </c>
      <c r="H701" s="52">
        <v>92</v>
      </c>
      <c r="I701" s="12">
        <f t="shared" si="283"/>
        <v>5.2393507030603819E-3</v>
      </c>
      <c r="J701" s="37">
        <f t="shared" si="284"/>
        <v>5</v>
      </c>
      <c r="K701" s="37">
        <f>IF(J701=0,0,IF(B701="F",VLOOKUP(I701,Barem!$G$2:$H$16,2,1),VLOOKUP(I701,Barem!$G$17:$H$31,2,1)))</f>
        <v>0.25</v>
      </c>
      <c r="L701" s="50">
        <v>2</v>
      </c>
      <c r="M701" s="124" t="s">
        <v>106</v>
      </c>
      <c r="N701" s="10">
        <f t="shared" si="288"/>
        <v>0.5</v>
      </c>
      <c r="O701" s="10">
        <f t="shared" si="288"/>
        <v>0.25</v>
      </c>
      <c r="P701" s="10">
        <f t="shared" si="288"/>
        <v>0.25</v>
      </c>
      <c r="Q701" s="40">
        <f t="shared" si="285"/>
        <v>6.133333333333333E-2</v>
      </c>
      <c r="R701" s="21">
        <f>IF(D701&gt;21,VLOOKUP(D701,Barem!$T$1:$U$141,2,1),0)</f>
        <v>0</v>
      </c>
      <c r="S701" s="152">
        <f>IF(D701&lt;1.609,0,IF(B701="F",VLOOKUP(I701,Barem!$X$2:$Z$13,2,1),VLOOKUP(I701,Barem!$X$14:$Z$25,2,1)))</f>
        <v>0</v>
      </c>
      <c r="T701" s="21">
        <f>VLOOKUP(A701,Participanti!A:C,3,0)</f>
        <v>0</v>
      </c>
      <c r="U701" s="18">
        <f t="shared" si="286"/>
        <v>3.1238333333333332</v>
      </c>
      <c r="V701" s="58" t="s">
        <v>468</v>
      </c>
      <c r="W701" s="77">
        <f t="shared" si="267"/>
        <v>1</v>
      </c>
      <c r="X701" s="1" t="str">
        <f>VLOOKUP(A701,Data_Echipe!A:R,18,0)</f>
        <v>Almost Kenyan Runners</v>
      </c>
      <c r="Z701" s="115">
        <f t="shared" si="287"/>
        <v>1</v>
      </c>
    </row>
    <row r="702" spans="1:26" x14ac:dyDescent="0.3">
      <c r="A702" s="49" t="s">
        <v>374</v>
      </c>
      <c r="B702" s="1" t="str">
        <f>VLOOKUP(A702,Participanti!A:B,2,0)</f>
        <v>M</v>
      </c>
      <c r="C702" s="74">
        <v>8</v>
      </c>
      <c r="D702" s="50">
        <v>14.28</v>
      </c>
      <c r="E702" s="51">
        <v>4.0439814814814817E-2</v>
      </c>
      <c r="F702" s="51">
        <v>4.0439814814814817E-2</v>
      </c>
      <c r="G702" s="69">
        <f t="shared" si="282"/>
        <v>4.0439814814814817E-2</v>
      </c>
      <c r="H702" s="52">
        <v>120</v>
      </c>
      <c r="I702" s="12">
        <f t="shared" si="283"/>
        <v>2.8319198049590209E-3</v>
      </c>
      <c r="J702" s="37">
        <f t="shared" si="284"/>
        <v>3.4</v>
      </c>
      <c r="K702" s="37">
        <f>IF(J702=0,0,IF(B702="F",VLOOKUP(I702,Barem!$G$2:$H$16,2,1),VLOOKUP(I702,Barem!$G$17:$H$31,2,1)))</f>
        <v>4.5</v>
      </c>
      <c r="L702" s="50">
        <v>1.5</v>
      </c>
      <c r="M702" s="124" t="s">
        <v>107</v>
      </c>
      <c r="N702" s="10">
        <f t="shared" si="288"/>
        <v>0.25</v>
      </c>
      <c r="O702" s="10">
        <f t="shared" si="288"/>
        <v>0.5</v>
      </c>
      <c r="P702" s="10">
        <f t="shared" si="288"/>
        <v>0.25</v>
      </c>
      <c r="Q702" s="40">
        <f t="shared" si="285"/>
        <v>0.08</v>
      </c>
      <c r="R702" s="21">
        <f>IF(D702&gt;21,VLOOKUP(D702,Barem!$T$1:$U$141,2,1),0)</f>
        <v>0</v>
      </c>
      <c r="S702" s="152">
        <f>IF(D702&lt;1.609,0,IF(B702="F",VLOOKUP(I702,Barem!$X$2:$Z$13,2,1),VLOOKUP(I702,Barem!$X$14:$Z$25,2,1)))</f>
        <v>0</v>
      </c>
      <c r="T702" s="21">
        <f>VLOOKUP(A702,Participanti!A:C,3,0)</f>
        <v>0</v>
      </c>
      <c r="U702" s="18">
        <f t="shared" si="286"/>
        <v>3.5550000000000002</v>
      </c>
      <c r="V702" s="58" t="s">
        <v>468</v>
      </c>
      <c r="W702" s="77">
        <f t="shared" si="267"/>
        <v>1</v>
      </c>
      <c r="X702" s="1" t="e">
        <f>VLOOKUP(A702,Data_Echipe!A:R,18,0)</f>
        <v>#N/A</v>
      </c>
      <c r="Z702" s="115">
        <f t="shared" si="287"/>
        <v>1</v>
      </c>
    </row>
    <row r="703" spans="1:26" x14ac:dyDescent="0.3">
      <c r="A703" s="49" t="s">
        <v>114</v>
      </c>
      <c r="B703" s="1" t="str">
        <f>VLOOKUP(A703,Participanti!A:B,2,0)</f>
        <v>M</v>
      </c>
      <c r="C703" s="74">
        <v>8</v>
      </c>
      <c r="D703" s="50">
        <v>10.4</v>
      </c>
      <c r="E703" s="51">
        <v>5.9652777777777777E-2</v>
      </c>
      <c r="F703" s="51">
        <v>6.0972222222222226E-2</v>
      </c>
      <c r="G703" s="69">
        <f t="shared" ref="G703:G706" si="289">AVERAGE(E703:F703)</f>
        <v>6.0312500000000005E-2</v>
      </c>
      <c r="H703" s="52">
        <v>402</v>
      </c>
      <c r="I703" s="12">
        <f t="shared" ref="I703:I706" si="290">G703/D703</f>
        <v>5.7992788461538464E-3</v>
      </c>
      <c r="J703" s="37">
        <f t="shared" ref="J703:J706" si="291">IF(B703="F",IF(D703&lt;2.5,0,IF(D703&gt;19.99,5,D703/4)),IF(D703&lt;3,0, IF(D703&gt;20.99,5,D703/4.2)))</f>
        <v>2.4761904761904763</v>
      </c>
      <c r="K703" s="37">
        <f>IF(J703=0,0,IF(B703="F",VLOOKUP(I703,Barem!$G$2:$H$16,2,1),VLOOKUP(I703,Barem!$G$17:$H$31,2,1)))</f>
        <v>0</v>
      </c>
      <c r="L703" s="50">
        <v>2.5</v>
      </c>
      <c r="M703" s="124" t="s">
        <v>106</v>
      </c>
      <c r="N703" s="10">
        <f t="shared" si="288"/>
        <v>0.5</v>
      </c>
      <c r="O703" s="10">
        <f t="shared" si="288"/>
        <v>0.25</v>
      </c>
      <c r="P703" s="10">
        <f t="shared" si="288"/>
        <v>0.25</v>
      </c>
      <c r="Q703" s="40">
        <f t="shared" ref="Q703:Q706" si="292">IF(H703&gt;49,H703/1500,0)</f>
        <v>0.26800000000000002</v>
      </c>
      <c r="R703" s="21">
        <f>IF(D703&gt;21,VLOOKUP(D703,Barem!$T$1:$U$141,2,1),0)</f>
        <v>0</v>
      </c>
      <c r="S703" s="152">
        <f>IF(D703&lt;1.609,0,IF(B703="F",VLOOKUP(I703,Barem!$X$2:$Z$13,2,1),VLOOKUP(I703,Barem!$X$14:$Z$25,2,1)))</f>
        <v>0</v>
      </c>
      <c r="T703" s="21">
        <f>VLOOKUP(A703,Participanti!A:C,3,0)</f>
        <v>0</v>
      </c>
      <c r="U703" s="18">
        <f t="shared" ref="U703:U706" si="293">IF(H703&lt;0,0,J703*N703+K703*O703+L703*P703+Q703+R703+S703+T703)</f>
        <v>2.1310952380952379</v>
      </c>
      <c r="V703" s="58" t="s">
        <v>468</v>
      </c>
      <c r="W703" s="77">
        <f t="shared" si="267"/>
        <v>1</v>
      </c>
      <c r="X703" s="1" t="str">
        <f>VLOOKUP(A703,Data_Echipe!A:R,18,0)</f>
        <v>#notSYRious</v>
      </c>
      <c r="Z703" s="115">
        <f t="shared" ref="Z703:Z706" si="294">IF(K703&gt;0,1,0)</f>
        <v>0</v>
      </c>
    </row>
    <row r="704" spans="1:26" x14ac:dyDescent="0.3">
      <c r="A704" s="49" t="s">
        <v>49</v>
      </c>
      <c r="B704" s="1" t="str">
        <f>VLOOKUP(A704,Participanti!A:B,2,0)</f>
        <v>M</v>
      </c>
      <c r="C704" s="74">
        <v>8</v>
      </c>
      <c r="D704" s="50">
        <v>45</v>
      </c>
      <c r="E704" s="51">
        <v>0.27291666666666664</v>
      </c>
      <c r="F704" s="51">
        <v>0.28811342592592593</v>
      </c>
      <c r="G704" s="69">
        <f t="shared" si="289"/>
        <v>0.28051504629629631</v>
      </c>
      <c r="H704" s="52">
        <v>2102</v>
      </c>
      <c r="I704" s="12">
        <f t="shared" si="290"/>
        <v>6.2336676954732511E-3</v>
      </c>
      <c r="J704" s="37">
        <f t="shared" si="291"/>
        <v>5</v>
      </c>
      <c r="K704" s="37">
        <f>IF(J704=0,0,IF(B704="F",VLOOKUP(I704,Barem!$G$2:$H$16,2,1),VLOOKUP(I704,Barem!$G$17:$H$31,2,1)))</f>
        <v>0</v>
      </c>
      <c r="L704" s="50">
        <v>4.5</v>
      </c>
      <c r="M704" s="124" t="s">
        <v>106</v>
      </c>
      <c r="N704" s="10">
        <f t="shared" si="288"/>
        <v>0.5</v>
      </c>
      <c r="O704" s="10">
        <f t="shared" si="288"/>
        <v>0.25</v>
      </c>
      <c r="P704" s="10">
        <f t="shared" si="288"/>
        <v>0.25</v>
      </c>
      <c r="Q704" s="40">
        <f t="shared" si="292"/>
        <v>1.4013333333333333</v>
      </c>
      <c r="R704" s="21">
        <f>IF(D704&gt;21,VLOOKUP(D704,Barem!$T$1:$U$141,2,1),0)</f>
        <v>1.2</v>
      </c>
      <c r="S704" s="152">
        <f>IF(D704&lt;1.609,0,IF(B704="F",VLOOKUP(I704,Barem!$X$2:$Z$13,2,1),VLOOKUP(I704,Barem!$X$14:$Z$25,2,1)))</f>
        <v>0</v>
      </c>
      <c r="T704" s="21">
        <f>VLOOKUP(A704,Participanti!A:C,3,0)</f>
        <v>0</v>
      </c>
      <c r="U704" s="18">
        <f t="shared" si="293"/>
        <v>6.2263333333333337</v>
      </c>
      <c r="V704" s="58" t="s">
        <v>468</v>
      </c>
      <c r="W704" s="77">
        <f t="shared" si="267"/>
        <v>1</v>
      </c>
      <c r="X704" s="1" t="str">
        <f>VLOOKUP(A704,Data_Echipe!A:R,18,0)</f>
        <v>The GOATs</v>
      </c>
      <c r="Z704" s="115">
        <f t="shared" si="294"/>
        <v>0</v>
      </c>
    </row>
    <row r="705" spans="1:26" x14ac:dyDescent="0.3">
      <c r="A705" s="49" t="s">
        <v>78</v>
      </c>
      <c r="B705" s="1" t="str">
        <f>VLOOKUP(A705,Participanti!A:B,2,0)</f>
        <v>M</v>
      </c>
      <c r="C705" s="74">
        <v>8</v>
      </c>
      <c r="D705" s="50">
        <v>29.7</v>
      </c>
      <c r="E705" s="51">
        <v>0.23887731481481481</v>
      </c>
      <c r="F705" s="51">
        <v>0.25283564814814813</v>
      </c>
      <c r="G705" s="69">
        <f t="shared" si="289"/>
        <v>0.24585648148148148</v>
      </c>
      <c r="H705" s="52">
        <v>1152</v>
      </c>
      <c r="I705" s="12">
        <f t="shared" si="290"/>
        <v>8.277996009477491E-3</v>
      </c>
      <c r="J705" s="37">
        <f t="shared" si="291"/>
        <v>5</v>
      </c>
      <c r="K705" s="37">
        <f>IF(J705=0,0,IF(B705="F",VLOOKUP(I705,Barem!$G$2:$H$16,2,1),VLOOKUP(I705,Barem!$G$17:$H$31,2,1)))</f>
        <v>0</v>
      </c>
      <c r="L705" s="50">
        <v>2.75</v>
      </c>
      <c r="M705" s="124" t="s">
        <v>107</v>
      </c>
      <c r="N705" s="10">
        <f t="shared" si="288"/>
        <v>0.25</v>
      </c>
      <c r="O705" s="10">
        <f t="shared" si="288"/>
        <v>0.5</v>
      </c>
      <c r="P705" s="10">
        <f t="shared" si="288"/>
        <v>0.25</v>
      </c>
      <c r="Q705" s="40">
        <f t="shared" si="292"/>
        <v>0.76800000000000002</v>
      </c>
      <c r="R705" s="21">
        <f>IF(D705&gt;21,VLOOKUP(D705,Barem!$T$1:$U$141,2,1),0)</f>
        <v>0.4</v>
      </c>
      <c r="S705" s="152">
        <f>IF(D705&lt;1.609,0,IF(B705="F",VLOOKUP(I705,Barem!$X$2:$Z$13,2,1),VLOOKUP(I705,Barem!$X$14:$Z$25,2,1)))</f>
        <v>0</v>
      </c>
      <c r="T705" s="21">
        <f>VLOOKUP(A705,Participanti!A:C,3,0)</f>
        <v>0.4</v>
      </c>
      <c r="U705" s="18">
        <f t="shared" si="293"/>
        <v>3.5054999999999996</v>
      </c>
      <c r="V705" s="58" t="s">
        <v>468</v>
      </c>
      <c r="W705" s="77">
        <f t="shared" si="267"/>
        <v>1</v>
      </c>
      <c r="X705" s="1" t="str">
        <f>VLOOKUP(A705,Data_Echipe!A:R,18,0)</f>
        <v>Almost Kenyan Runners</v>
      </c>
      <c r="Z705" s="115">
        <f t="shared" si="294"/>
        <v>0</v>
      </c>
    </row>
    <row r="706" spans="1:26" x14ac:dyDescent="0.3">
      <c r="A706" s="49" t="s">
        <v>41</v>
      </c>
      <c r="B706" s="1" t="str">
        <f>VLOOKUP(A706,Participanti!A:B,2,0)</f>
        <v>M</v>
      </c>
      <c r="C706" s="74">
        <v>8</v>
      </c>
      <c r="D706" s="50">
        <v>12.96</v>
      </c>
      <c r="E706" s="51">
        <v>4.9618055555555561E-2</v>
      </c>
      <c r="F706" s="51">
        <v>4.9999999999999996E-2</v>
      </c>
      <c r="G706" s="69">
        <f t="shared" si="289"/>
        <v>4.9809027777777778E-2</v>
      </c>
      <c r="H706" s="52"/>
      <c r="I706" s="12">
        <f t="shared" si="290"/>
        <v>3.8432891803840876E-3</v>
      </c>
      <c r="J706" s="37">
        <f t="shared" si="291"/>
        <v>3.0857142857142859</v>
      </c>
      <c r="K706" s="37">
        <f>IF(J706=0,0,IF(B706="F",VLOOKUP(I706,Barem!$G$2:$H$16,2,1),VLOOKUP(I706,Barem!$G$17:$H$31,2,1)))</f>
        <v>1.75</v>
      </c>
      <c r="L706" s="50">
        <v>2.25</v>
      </c>
      <c r="M706" s="124" t="s">
        <v>107</v>
      </c>
      <c r="N706" s="10">
        <f t="shared" si="288"/>
        <v>0.25</v>
      </c>
      <c r="O706" s="10">
        <f t="shared" si="288"/>
        <v>0.5</v>
      </c>
      <c r="P706" s="10">
        <f t="shared" si="288"/>
        <v>0.25</v>
      </c>
      <c r="Q706" s="40">
        <f t="shared" si="292"/>
        <v>0</v>
      </c>
      <c r="R706" s="21">
        <f>IF(D706&gt;21,VLOOKUP(D706,Barem!$T$1:$U$141,2,1),0)</f>
        <v>0</v>
      </c>
      <c r="S706" s="152">
        <f>IF(D706&lt;1.609,0,IF(B706="F",VLOOKUP(I706,Barem!$X$2:$Z$13,2,1),VLOOKUP(I706,Barem!$X$14:$Z$25,2,1)))</f>
        <v>0</v>
      </c>
      <c r="T706" s="21">
        <f>VLOOKUP(A706,Participanti!A:C,3,0)</f>
        <v>0</v>
      </c>
      <c r="U706" s="18">
        <f t="shared" si="293"/>
        <v>2.2089285714285714</v>
      </c>
      <c r="V706" s="58" t="s">
        <v>468</v>
      </c>
      <c r="W706" s="77">
        <f t="shared" ref="W706:W769" si="295">COUNTIFS(A:A,A706,C:C,C706)</f>
        <v>1</v>
      </c>
      <c r="X706" s="1" t="str">
        <f>VLOOKUP(A706,Data_Echipe!A:R,18,0)</f>
        <v>Almost Kenyan Runners</v>
      </c>
      <c r="Z706" s="115">
        <f t="shared" si="294"/>
        <v>1</v>
      </c>
    </row>
    <row r="707" spans="1:26" x14ac:dyDescent="0.3">
      <c r="A707" s="49" t="s">
        <v>390</v>
      </c>
      <c r="B707" s="1" t="str">
        <f>VLOOKUP(A707,Participanti!A:B,2,0)</f>
        <v>F</v>
      </c>
      <c r="C707" s="74">
        <v>8</v>
      </c>
      <c r="D707" s="50">
        <v>9.5</v>
      </c>
      <c r="E707" s="51">
        <v>3.7696759259259256E-2</v>
      </c>
      <c r="F707" s="51">
        <v>3.7800925925925925E-2</v>
      </c>
      <c r="G707" s="69">
        <f t="shared" ref="G707:G710" si="296">AVERAGE(E707:F707)</f>
        <v>3.7748842592592591E-2</v>
      </c>
      <c r="H707" s="52"/>
      <c r="I707" s="12">
        <f t="shared" ref="I707:I710" si="297">G707/D707</f>
        <v>3.9735623781676412E-3</v>
      </c>
      <c r="J707" s="37">
        <f t="shared" ref="J707:J710" si="298">IF(B707="F",IF(D707&lt;2.5,0,IF(D707&gt;19.99,5,D707/4)),IF(D707&lt;3,0, IF(D707&gt;20.99,5,D707/4.2)))</f>
        <v>2.375</v>
      </c>
      <c r="K707" s="37">
        <f>IF(J707=0,0,IF(B707="F",VLOOKUP(I707,Barem!$G$2:$H$16,2,1),VLOOKUP(I707,Barem!$G$17:$H$31,2,1)))</f>
        <v>2.5</v>
      </c>
      <c r="L707" s="50">
        <v>2.75</v>
      </c>
      <c r="M707" s="124" t="s">
        <v>107</v>
      </c>
      <c r="N707" s="10">
        <f t="shared" si="288"/>
        <v>0.25</v>
      </c>
      <c r="O707" s="10">
        <f t="shared" si="288"/>
        <v>0.5</v>
      </c>
      <c r="P707" s="10">
        <f t="shared" si="288"/>
        <v>0.25</v>
      </c>
      <c r="Q707" s="40">
        <f t="shared" ref="Q707:Q710" si="299">IF(H707&gt;49,H707/1500,0)</f>
        <v>0</v>
      </c>
      <c r="R707" s="21">
        <f>IF(D707&gt;21,VLOOKUP(D707,Barem!$T$1:$U$141,2,1),0)</f>
        <v>0</v>
      </c>
      <c r="S707" s="152">
        <f>IF(D707&lt;1.609,0,IF(B707="F",VLOOKUP(I707,Barem!$X$2:$Z$13,2,1),VLOOKUP(I707,Barem!$X$14:$Z$25,2,1)))</f>
        <v>0</v>
      </c>
      <c r="T707" s="21">
        <f>VLOOKUP(A707,Participanti!A:C,3,0)</f>
        <v>0</v>
      </c>
      <c r="U707" s="18">
        <f t="shared" ref="U707:U710" si="300">IF(H707&lt;0,0,J707*N707+K707*O707+L707*P707+Q707+R707+S707+T707)</f>
        <v>2.53125</v>
      </c>
      <c r="V707" s="58" t="s">
        <v>468</v>
      </c>
      <c r="W707" s="77">
        <f t="shared" si="295"/>
        <v>1</v>
      </c>
      <c r="X707" s="1" t="str">
        <f>VLOOKUP(A707,Data_Echipe!A:R,18,0)</f>
        <v>#notSYRious</v>
      </c>
      <c r="Z707" s="115">
        <f t="shared" ref="Z707:Z710" si="301">IF(K707&gt;0,1,0)</f>
        <v>1</v>
      </c>
    </row>
    <row r="708" spans="1:26" x14ac:dyDescent="0.3">
      <c r="A708" s="49" t="s">
        <v>284</v>
      </c>
      <c r="B708" s="1" t="str">
        <f>VLOOKUP(A708,Participanti!A:B,2,0)</f>
        <v>M</v>
      </c>
      <c r="C708" s="74">
        <v>8</v>
      </c>
      <c r="D708" s="50">
        <v>17.68</v>
      </c>
      <c r="E708" s="51">
        <v>7.5486111111111115E-2</v>
      </c>
      <c r="F708" s="51">
        <v>8.3136574074074085E-2</v>
      </c>
      <c r="G708" s="69">
        <f t="shared" si="296"/>
        <v>7.9311342592592593E-2</v>
      </c>
      <c r="H708" s="52">
        <v>412</v>
      </c>
      <c r="I708" s="12">
        <f t="shared" si="297"/>
        <v>4.4859356670018434E-3</v>
      </c>
      <c r="J708" s="37">
        <f t="shared" si="298"/>
        <v>4.2095238095238097</v>
      </c>
      <c r="K708" s="37">
        <f>IF(J708=0,0,IF(B708="F",VLOOKUP(I708,Barem!$G$2:$H$16,2,1),VLOOKUP(I708,Barem!$G$17:$H$31,2,1)))</f>
        <v>1</v>
      </c>
      <c r="L708" s="50">
        <v>3.25</v>
      </c>
      <c r="M708" s="124" t="s">
        <v>106</v>
      </c>
      <c r="N708" s="10">
        <f t="shared" ref="N708:P723" si="302">IF($M708=N$1,50%,25%)</f>
        <v>0.5</v>
      </c>
      <c r="O708" s="10">
        <f t="shared" si="302"/>
        <v>0.25</v>
      </c>
      <c r="P708" s="10">
        <f t="shared" si="302"/>
        <v>0.25</v>
      </c>
      <c r="Q708" s="40">
        <f t="shared" si="299"/>
        <v>0.27466666666666667</v>
      </c>
      <c r="R708" s="21">
        <f>IF(D708&gt;21,VLOOKUP(D708,Barem!$T$1:$U$141,2,1),0)</f>
        <v>0</v>
      </c>
      <c r="S708" s="152">
        <f>IF(D708&lt;1.609,0,IF(B708="F",VLOOKUP(I708,Barem!$X$2:$Z$13,2,1),VLOOKUP(I708,Barem!$X$14:$Z$25,2,1)))</f>
        <v>0</v>
      </c>
      <c r="T708" s="21">
        <f>VLOOKUP(A708,Participanti!A:C,3,0)</f>
        <v>0</v>
      </c>
      <c r="U708" s="18">
        <f t="shared" si="300"/>
        <v>3.4419285714285714</v>
      </c>
      <c r="V708" s="58" t="s">
        <v>468</v>
      </c>
      <c r="W708" s="77">
        <f t="shared" si="295"/>
        <v>1</v>
      </c>
      <c r="X708" s="1" t="str">
        <f>VLOOKUP(A708,Data_Echipe!A:R,18,0)</f>
        <v>The GOATs</v>
      </c>
      <c r="Z708" s="115">
        <f t="shared" si="301"/>
        <v>1</v>
      </c>
    </row>
    <row r="709" spans="1:26" x14ac:dyDescent="0.3">
      <c r="A709" s="49" t="s">
        <v>333</v>
      </c>
      <c r="B709" s="1" t="str">
        <f>VLOOKUP(A709,Participanti!A:B,2,0)</f>
        <v>M</v>
      </c>
      <c r="C709" s="74">
        <v>9</v>
      </c>
      <c r="D709" s="50">
        <v>11.87</v>
      </c>
      <c r="E709" s="51">
        <v>4.912037037037037E-2</v>
      </c>
      <c r="F709" s="51">
        <v>4.9780092592592591E-2</v>
      </c>
      <c r="G709" s="69">
        <f t="shared" si="296"/>
        <v>4.9450231481481477E-2</v>
      </c>
      <c r="H709" s="52"/>
      <c r="I709" s="12">
        <f t="shared" si="297"/>
        <v>4.1659841180692065E-3</v>
      </c>
      <c r="J709" s="37">
        <f t="shared" si="298"/>
        <v>2.8261904761904759</v>
      </c>
      <c r="K709" s="37">
        <f>IF(J709=0,0,IF(B709="F",VLOOKUP(I709,Barem!$G$2:$H$16,2,1),VLOOKUP(I709,Barem!$G$17:$H$31,2,1)))</f>
        <v>1.5</v>
      </c>
      <c r="L709" s="50">
        <v>2.5</v>
      </c>
      <c r="M709" s="124" t="s">
        <v>207</v>
      </c>
      <c r="N709" s="10">
        <f t="shared" si="302"/>
        <v>0.25</v>
      </c>
      <c r="O709" s="10">
        <f t="shared" si="302"/>
        <v>0.25</v>
      </c>
      <c r="P709" s="10">
        <f t="shared" si="302"/>
        <v>0.5</v>
      </c>
      <c r="Q709" s="40">
        <f t="shared" si="299"/>
        <v>0</v>
      </c>
      <c r="R709" s="21">
        <f>IF(D709&gt;21,VLOOKUP(D709,Barem!$T$1:$U$141,2,1),0)</f>
        <v>0</v>
      </c>
      <c r="S709" s="152">
        <f>IF(D709&lt;1.609,0,IF(B709="F",VLOOKUP(I709,Barem!$X$2:$Z$13,2,1),VLOOKUP(I709,Barem!$X$14:$Z$25,2,1)))</f>
        <v>0</v>
      </c>
      <c r="T709" s="21">
        <f>VLOOKUP(A709,Participanti!A:C,3,0)</f>
        <v>0</v>
      </c>
      <c r="U709" s="18">
        <f t="shared" si="300"/>
        <v>2.331547619047619</v>
      </c>
      <c r="V709" s="58" t="s">
        <v>478</v>
      </c>
      <c r="W709" s="77">
        <f t="shared" si="295"/>
        <v>1</v>
      </c>
      <c r="X709" s="1" t="str">
        <f>VLOOKUP(A709,Data_Echipe!A:R,18,0)</f>
        <v>UltraHaita lu' Borcan</v>
      </c>
      <c r="Z709" s="115">
        <f t="shared" si="301"/>
        <v>1</v>
      </c>
    </row>
    <row r="710" spans="1:26" x14ac:dyDescent="0.3">
      <c r="A710" s="49" t="s">
        <v>47</v>
      </c>
      <c r="B710" s="1" t="str">
        <f>VLOOKUP(A710,Participanti!A:B,2,0)</f>
        <v>M</v>
      </c>
      <c r="C710" s="74">
        <v>9</v>
      </c>
      <c r="D710" s="50">
        <v>21.27</v>
      </c>
      <c r="E710" s="51">
        <v>6.9050925925925918E-2</v>
      </c>
      <c r="F710" s="51">
        <v>6.9189814814814815E-2</v>
      </c>
      <c r="G710" s="69">
        <f t="shared" si="296"/>
        <v>6.912037037037036E-2</v>
      </c>
      <c r="H710" s="52"/>
      <c r="I710" s="12">
        <f t="shared" si="297"/>
        <v>3.2496648034964909E-3</v>
      </c>
      <c r="J710" s="37">
        <f t="shared" si="298"/>
        <v>5</v>
      </c>
      <c r="K710" s="37">
        <f>IF(J710=0,0,IF(B710="F",VLOOKUP(I710,Barem!$G$2:$H$16,2,1),VLOOKUP(I710,Barem!$G$17:$H$31,2,1)))</f>
        <v>3.5</v>
      </c>
      <c r="L710" s="50">
        <v>2.75</v>
      </c>
      <c r="M710" s="124" t="s">
        <v>106</v>
      </c>
      <c r="N710" s="10">
        <f t="shared" si="302"/>
        <v>0.5</v>
      </c>
      <c r="O710" s="10">
        <f t="shared" si="302"/>
        <v>0.25</v>
      </c>
      <c r="P710" s="10">
        <f t="shared" si="302"/>
        <v>0.25</v>
      </c>
      <c r="Q710" s="40">
        <f t="shared" si="299"/>
        <v>0</v>
      </c>
      <c r="R710" s="21">
        <f>IF(D710&gt;21,VLOOKUP(D710,Barem!$T$1:$U$141,2,1),0)</f>
        <v>0</v>
      </c>
      <c r="S710" s="152">
        <f>IF(D710&lt;1.609,0,IF(B710="F",VLOOKUP(I710,Barem!$X$2:$Z$13,2,1),VLOOKUP(I710,Barem!$X$14:$Z$25,2,1)))</f>
        <v>0</v>
      </c>
      <c r="T710" s="21">
        <f>VLOOKUP(A710,Participanti!A:C,3,0)</f>
        <v>0</v>
      </c>
      <c r="U710" s="18">
        <f t="shared" si="300"/>
        <v>4.0625</v>
      </c>
      <c r="V710" s="58" t="s">
        <v>478</v>
      </c>
      <c r="W710" s="77">
        <f t="shared" si="295"/>
        <v>1</v>
      </c>
      <c r="X710" s="1" t="str">
        <f>VLOOKUP(A710,Data_Echipe!A:R,18,0)</f>
        <v>The GOATs</v>
      </c>
      <c r="Z710" s="115">
        <f t="shared" si="301"/>
        <v>1</v>
      </c>
    </row>
    <row r="711" spans="1:26" x14ac:dyDescent="0.3">
      <c r="A711" s="49" t="s">
        <v>366</v>
      </c>
      <c r="B711" s="1" t="str">
        <f>VLOOKUP(A711,Participanti!A:B,2,0)</f>
        <v>M</v>
      </c>
      <c r="C711" s="74">
        <v>9</v>
      </c>
      <c r="D711" s="50">
        <v>31.03</v>
      </c>
      <c r="E711" s="51">
        <v>0.1090162037037037</v>
      </c>
      <c r="F711" s="51">
        <v>0.11271990740740741</v>
      </c>
      <c r="G711" s="69">
        <f t="shared" ref="G711:G755" si="303">AVERAGE(E711:F711)</f>
        <v>0.11086805555555555</v>
      </c>
      <c r="H711" s="52">
        <v>83</v>
      </c>
      <c r="I711" s="12">
        <f t="shared" ref="I711:I755" si="304">G711/D711</f>
        <v>3.5729312135209653E-3</v>
      </c>
      <c r="J711" s="37">
        <f t="shared" ref="J711:J755" si="305">IF(B711="F",IF(D711&lt;2.5,0,IF(D711&gt;19.99,5,D711/4)),IF(D711&lt;3,0, IF(D711&gt;20.99,5,D711/4.2)))</f>
        <v>5</v>
      </c>
      <c r="K711" s="37">
        <f>IF(J711=0,0,IF(B711="F",VLOOKUP(I711,Barem!$G$2:$H$16,2,1),VLOOKUP(I711,Barem!$G$17:$H$31,2,1)))</f>
        <v>2.5</v>
      </c>
      <c r="L711" s="50">
        <v>3.75</v>
      </c>
      <c r="M711" s="124" t="s">
        <v>207</v>
      </c>
      <c r="N711" s="10">
        <f t="shared" si="302"/>
        <v>0.25</v>
      </c>
      <c r="O711" s="10">
        <f t="shared" si="302"/>
        <v>0.25</v>
      </c>
      <c r="P711" s="10">
        <f t="shared" si="302"/>
        <v>0.5</v>
      </c>
      <c r="Q711" s="40">
        <f t="shared" ref="Q711:Q755" si="306">IF(H711&gt;49,H711/1500,0)</f>
        <v>5.5333333333333332E-2</v>
      </c>
      <c r="R711" s="21">
        <f>IF(D711&gt;21,VLOOKUP(D711,Barem!$T$1:$U$141,2,1),0)</f>
        <v>0.5</v>
      </c>
      <c r="S711" s="152">
        <f>IF(D711&lt;1.609,0,IF(B711="F",VLOOKUP(I711,Barem!$X$2:$Z$13,2,1),VLOOKUP(I711,Barem!$X$14:$Z$25,2,1)))</f>
        <v>0</v>
      </c>
      <c r="T711" s="21">
        <f>VLOOKUP(A711,Participanti!A:C,3,0)</f>
        <v>0</v>
      </c>
      <c r="U711" s="18">
        <f t="shared" ref="U711:U755" si="307">IF(H711&lt;0,0,J711*N711+K711*O711+L711*P711+Q711+R711+S711+T711)</f>
        <v>4.3053333333333335</v>
      </c>
      <c r="V711" s="58" t="s">
        <v>478</v>
      </c>
      <c r="W711" s="77">
        <f t="shared" si="295"/>
        <v>1</v>
      </c>
      <c r="X711" s="1" t="str">
        <f>VLOOKUP(A711,Data_Echipe!A:R,18,0)</f>
        <v>The GOATs</v>
      </c>
      <c r="Z711" s="115">
        <f t="shared" ref="Z711:Z755" si="308">IF(K711&gt;0,1,0)</f>
        <v>1</v>
      </c>
    </row>
    <row r="712" spans="1:26" x14ac:dyDescent="0.3">
      <c r="A712" s="49" t="s">
        <v>461</v>
      </c>
      <c r="B712" s="1" t="str">
        <f>VLOOKUP(A712,Participanti!A:B,2,0)</f>
        <v>M</v>
      </c>
      <c r="C712" s="74">
        <v>9</v>
      </c>
      <c r="D712" s="50">
        <v>11.21</v>
      </c>
      <c r="E712" s="51">
        <v>5.0462962962962959E-2</v>
      </c>
      <c r="F712" s="51">
        <v>5.0462962962962959E-2</v>
      </c>
      <c r="G712" s="69">
        <f t="shared" si="303"/>
        <v>5.0462962962962959E-2</v>
      </c>
      <c r="H712" s="52"/>
      <c r="I712" s="12">
        <f t="shared" si="304"/>
        <v>4.501602405259853E-3</v>
      </c>
      <c r="J712" s="37">
        <f t="shared" si="305"/>
        <v>2.6690476190476193</v>
      </c>
      <c r="K712" s="37">
        <f>IF(J712=0,0,IF(B712="F",VLOOKUP(I712,Barem!$G$2:$H$16,2,1),VLOOKUP(I712,Barem!$G$17:$H$31,2,1)))</f>
        <v>1</v>
      </c>
      <c r="L712" s="50">
        <v>0.5</v>
      </c>
      <c r="M712" s="124" t="s">
        <v>107</v>
      </c>
      <c r="N712" s="10">
        <f t="shared" si="302"/>
        <v>0.25</v>
      </c>
      <c r="O712" s="10">
        <f t="shared" si="302"/>
        <v>0.5</v>
      </c>
      <c r="P712" s="10">
        <f t="shared" si="302"/>
        <v>0.25</v>
      </c>
      <c r="Q712" s="40">
        <f t="shared" si="306"/>
        <v>0</v>
      </c>
      <c r="R712" s="21">
        <f>IF(D712&gt;21,VLOOKUP(D712,Barem!$T$1:$U$141,2,1),0)</f>
        <v>0</v>
      </c>
      <c r="S712" s="152">
        <f>IF(D712&lt;1.609,0,IF(B712="F",VLOOKUP(I712,Barem!$X$2:$Z$13,2,1),VLOOKUP(I712,Barem!$X$14:$Z$25,2,1)))</f>
        <v>0</v>
      </c>
      <c r="T712" s="21">
        <f>VLOOKUP(A712,Participanti!A:C,3,0)</f>
        <v>0</v>
      </c>
      <c r="U712" s="18">
        <f t="shared" si="307"/>
        <v>1.2922619047619048</v>
      </c>
      <c r="V712" s="58" t="s">
        <v>478</v>
      </c>
      <c r="W712" s="77">
        <f t="shared" si="295"/>
        <v>1</v>
      </c>
      <c r="X712" s="1" t="e">
        <f>VLOOKUP(A712,Data_Echipe!A:R,18,0)</f>
        <v>#N/A</v>
      </c>
      <c r="Z712" s="115">
        <f t="shared" si="308"/>
        <v>1</v>
      </c>
    </row>
    <row r="713" spans="1:26" x14ac:dyDescent="0.3">
      <c r="A713" s="49" t="s">
        <v>339</v>
      </c>
      <c r="B713" s="1" t="str">
        <f>VLOOKUP(A713,Participanti!A:B,2,0)</f>
        <v>M</v>
      </c>
      <c r="C713" s="74">
        <v>9</v>
      </c>
      <c r="D713" s="50">
        <v>10.01</v>
      </c>
      <c r="E713" s="51">
        <v>3.1342592592592596E-2</v>
      </c>
      <c r="F713" s="51">
        <v>3.1493055555555559E-2</v>
      </c>
      <c r="G713" s="69">
        <f t="shared" si="303"/>
        <v>3.1417824074074077E-2</v>
      </c>
      <c r="H713" s="52"/>
      <c r="I713" s="12">
        <f t="shared" si="304"/>
        <v>3.1386437636437641E-3</v>
      </c>
      <c r="J713" s="37">
        <f t="shared" si="305"/>
        <v>2.3833333333333333</v>
      </c>
      <c r="K713" s="37">
        <f>IF(J713=0,0,IF(B713="F",VLOOKUP(I713,Barem!$G$2:$H$16,2,1),VLOOKUP(I713,Barem!$G$17:$H$31,2,1)))</f>
        <v>3.5</v>
      </c>
      <c r="L713" s="50">
        <v>1.75</v>
      </c>
      <c r="M713" s="124" t="s">
        <v>107</v>
      </c>
      <c r="N713" s="10">
        <f t="shared" si="302"/>
        <v>0.25</v>
      </c>
      <c r="O713" s="10">
        <f t="shared" si="302"/>
        <v>0.5</v>
      </c>
      <c r="P713" s="10">
        <f t="shared" si="302"/>
        <v>0.25</v>
      </c>
      <c r="Q713" s="40">
        <f t="shared" si="306"/>
        <v>0</v>
      </c>
      <c r="R713" s="21">
        <f>IF(D713&gt;21,VLOOKUP(D713,Barem!$T$1:$U$141,2,1),0)</f>
        <v>0</v>
      </c>
      <c r="S713" s="152">
        <f>IF(D713&lt;1.609,0,IF(B713="F",VLOOKUP(I713,Barem!$X$2:$Z$13,2,1),VLOOKUP(I713,Barem!$X$14:$Z$25,2,1)))</f>
        <v>0</v>
      </c>
      <c r="T713" s="21">
        <f>VLOOKUP(A713,Participanti!A:C,3,0)</f>
        <v>0</v>
      </c>
      <c r="U713" s="18">
        <f t="shared" si="307"/>
        <v>2.7833333333333332</v>
      </c>
      <c r="V713" s="58" t="s">
        <v>479</v>
      </c>
      <c r="W713" s="77">
        <f t="shared" si="295"/>
        <v>1</v>
      </c>
      <c r="X713" s="1" t="str">
        <f>VLOOKUP(A713,Data_Echipe!A:R,18,0)</f>
        <v>MedgidiaRunning</v>
      </c>
      <c r="Z713" s="115">
        <f t="shared" si="308"/>
        <v>1</v>
      </c>
    </row>
    <row r="714" spans="1:26" x14ac:dyDescent="0.3">
      <c r="A714" s="49" t="s">
        <v>288</v>
      </c>
      <c r="B714" s="1" t="str">
        <f>VLOOKUP(A714,Participanti!A:B,2,0)</f>
        <v>M</v>
      </c>
      <c r="C714" s="74">
        <v>9</v>
      </c>
      <c r="D714" s="50">
        <v>18</v>
      </c>
      <c r="E714" s="51">
        <v>6.6192129629629629E-2</v>
      </c>
      <c r="F714" s="51">
        <v>7.3321759259259267E-2</v>
      </c>
      <c r="G714" s="69">
        <f t="shared" si="303"/>
        <v>6.9756944444444441E-2</v>
      </c>
      <c r="H714" s="52">
        <v>63</v>
      </c>
      <c r="I714" s="12">
        <f t="shared" si="304"/>
        <v>3.8753858024691357E-3</v>
      </c>
      <c r="J714" s="37">
        <f t="shared" si="305"/>
        <v>4.2857142857142856</v>
      </c>
      <c r="K714" s="37">
        <f>IF(J714=0,0,IF(B714="F",VLOOKUP(I714,Barem!$G$2:$H$16,2,1),VLOOKUP(I714,Barem!$G$17:$H$31,2,1)))</f>
        <v>1.75</v>
      </c>
      <c r="L714" s="50">
        <v>2.25</v>
      </c>
      <c r="M714" s="124" t="s">
        <v>106</v>
      </c>
      <c r="N714" s="10">
        <f t="shared" si="302"/>
        <v>0.5</v>
      </c>
      <c r="O714" s="10">
        <f t="shared" si="302"/>
        <v>0.25</v>
      </c>
      <c r="P714" s="10">
        <f t="shared" si="302"/>
        <v>0.25</v>
      </c>
      <c r="Q714" s="40">
        <f t="shared" si="306"/>
        <v>4.2000000000000003E-2</v>
      </c>
      <c r="R714" s="21">
        <f>IF(D714&gt;21,VLOOKUP(D714,Barem!$T$1:$U$141,2,1),0)</f>
        <v>0</v>
      </c>
      <c r="S714" s="152">
        <f>IF(D714&lt;1.609,0,IF(B714="F",VLOOKUP(I714,Barem!$X$2:$Z$13,2,1),VLOOKUP(I714,Barem!$X$14:$Z$25,2,1)))</f>
        <v>0</v>
      </c>
      <c r="T714" s="21">
        <f>VLOOKUP(A714,Participanti!A:C,3,0)</f>
        <v>0</v>
      </c>
      <c r="U714" s="18">
        <f t="shared" si="307"/>
        <v>3.1848571428571426</v>
      </c>
      <c r="V714" s="58" t="s">
        <v>479</v>
      </c>
      <c r="W714" s="77">
        <f t="shared" si="295"/>
        <v>1</v>
      </c>
      <c r="X714" s="1" t="e">
        <f>VLOOKUP(A714,Data_Echipe!A:R,18,0)</f>
        <v>#N/A</v>
      </c>
      <c r="Z714" s="115">
        <f t="shared" si="308"/>
        <v>1</v>
      </c>
    </row>
    <row r="715" spans="1:26" x14ac:dyDescent="0.3">
      <c r="A715" s="49" t="s">
        <v>41</v>
      </c>
      <c r="B715" s="1" t="str">
        <f>VLOOKUP(A715,Participanti!A:B,2,0)</f>
        <v>M</v>
      </c>
      <c r="C715" s="74">
        <v>9</v>
      </c>
      <c r="D715" s="50">
        <v>17.11</v>
      </c>
      <c r="E715" s="51">
        <v>6.0914351851851851E-2</v>
      </c>
      <c r="F715" s="51">
        <v>6.1192129629629631E-2</v>
      </c>
      <c r="G715" s="69">
        <f t="shared" si="303"/>
        <v>6.1053240740740741E-2</v>
      </c>
      <c r="H715" s="52"/>
      <c r="I715" s="12">
        <f t="shared" si="304"/>
        <v>3.568278243175964E-3</v>
      </c>
      <c r="J715" s="37">
        <f t="shared" si="305"/>
        <v>4.0738095238095235</v>
      </c>
      <c r="K715" s="37">
        <f>IF(J715=0,0,IF(B715="F",VLOOKUP(I715,Barem!$G$2:$H$16,2,1),VLOOKUP(I715,Barem!$G$17:$H$31,2,1)))</f>
        <v>2.5</v>
      </c>
      <c r="L715" s="50">
        <v>2.25</v>
      </c>
      <c r="M715" s="124" t="s">
        <v>207</v>
      </c>
      <c r="N715" s="10">
        <f t="shared" si="302"/>
        <v>0.25</v>
      </c>
      <c r="O715" s="10">
        <f t="shared" si="302"/>
        <v>0.25</v>
      </c>
      <c r="P715" s="10">
        <f t="shared" si="302"/>
        <v>0.5</v>
      </c>
      <c r="Q715" s="40">
        <f t="shared" si="306"/>
        <v>0</v>
      </c>
      <c r="R715" s="21">
        <f>IF(D715&gt;21,VLOOKUP(D715,Barem!$T$1:$U$141,2,1),0)</f>
        <v>0</v>
      </c>
      <c r="S715" s="152">
        <f>IF(D715&lt;1.609,0,IF(B715="F",VLOOKUP(I715,Barem!$X$2:$Z$13,2,1),VLOOKUP(I715,Barem!$X$14:$Z$25,2,1)))</f>
        <v>0</v>
      </c>
      <c r="T715" s="21">
        <f>VLOOKUP(A715,Participanti!A:C,3,0)</f>
        <v>0</v>
      </c>
      <c r="U715" s="18">
        <f t="shared" si="307"/>
        <v>2.7684523809523807</v>
      </c>
      <c r="V715" s="58" t="s">
        <v>479</v>
      </c>
      <c r="W715" s="77">
        <f t="shared" si="295"/>
        <v>1</v>
      </c>
      <c r="X715" s="1" t="str">
        <f>VLOOKUP(A715,Data_Echipe!A:R,18,0)</f>
        <v>Almost Kenyan Runners</v>
      </c>
      <c r="Z715" s="115">
        <f t="shared" si="308"/>
        <v>1</v>
      </c>
    </row>
    <row r="716" spans="1:26" x14ac:dyDescent="0.3">
      <c r="A716" s="49" t="s">
        <v>204</v>
      </c>
      <c r="B716" s="1" t="str">
        <f>VLOOKUP(A716,Participanti!A:B,2,0)</f>
        <v>M</v>
      </c>
      <c r="C716" s="74">
        <v>9</v>
      </c>
      <c r="D716" s="50">
        <v>10.8</v>
      </c>
      <c r="E716" s="51">
        <v>4.3437499999999997E-2</v>
      </c>
      <c r="F716" s="51">
        <v>4.7129629629629632E-2</v>
      </c>
      <c r="G716" s="69">
        <f t="shared" si="303"/>
        <v>4.5283564814814811E-2</v>
      </c>
      <c r="H716" s="52"/>
      <c r="I716" s="12">
        <f t="shared" si="304"/>
        <v>4.1929226680384084E-3</v>
      </c>
      <c r="J716" s="37">
        <f t="shared" si="305"/>
        <v>2.5714285714285716</v>
      </c>
      <c r="K716" s="37">
        <f>IF(J716=0,0,IF(B716="F",VLOOKUP(I716,Barem!$G$2:$H$16,2,1),VLOOKUP(I716,Barem!$G$17:$H$31,2,1)))</f>
        <v>1.25</v>
      </c>
      <c r="L716" s="50">
        <v>2</v>
      </c>
      <c r="M716" s="124" t="s">
        <v>207</v>
      </c>
      <c r="N716" s="10">
        <f t="shared" si="302"/>
        <v>0.25</v>
      </c>
      <c r="O716" s="10">
        <f t="shared" si="302"/>
        <v>0.25</v>
      </c>
      <c r="P716" s="10">
        <f t="shared" si="302"/>
        <v>0.5</v>
      </c>
      <c r="Q716" s="40">
        <f t="shared" si="306"/>
        <v>0</v>
      </c>
      <c r="R716" s="21">
        <f>IF(D716&gt;21,VLOOKUP(D716,Barem!$T$1:$U$141,2,1),0)</f>
        <v>0</v>
      </c>
      <c r="S716" s="152">
        <f>IF(D716&lt;1.609,0,IF(B716="F",VLOOKUP(I716,Barem!$X$2:$Z$13,2,1),VLOOKUP(I716,Barem!$X$14:$Z$25,2,1)))</f>
        <v>0</v>
      </c>
      <c r="T716" s="21">
        <f>VLOOKUP(A716,Participanti!A:C,3,0)</f>
        <v>0</v>
      </c>
      <c r="U716" s="18">
        <f t="shared" si="307"/>
        <v>1.9553571428571428</v>
      </c>
      <c r="V716" s="58" t="s">
        <v>479</v>
      </c>
      <c r="W716" s="77">
        <f t="shared" si="295"/>
        <v>1</v>
      </c>
      <c r="X716" s="1" t="e">
        <f>VLOOKUP(A716,Data_Echipe!A:R,18,0)</f>
        <v>#N/A</v>
      </c>
      <c r="Z716" s="115">
        <f t="shared" si="308"/>
        <v>1</v>
      </c>
    </row>
    <row r="717" spans="1:26" x14ac:dyDescent="0.3">
      <c r="A717" s="49" t="s">
        <v>351</v>
      </c>
      <c r="B717" s="1" t="str">
        <f>VLOOKUP(A717,Participanti!A:B,2,0)</f>
        <v>F</v>
      </c>
      <c r="C717" s="74">
        <v>9</v>
      </c>
      <c r="D717" s="50">
        <v>10.01</v>
      </c>
      <c r="E717" s="51">
        <v>3.6099537037037034E-2</v>
      </c>
      <c r="F717" s="51">
        <v>3.6585648148148145E-2</v>
      </c>
      <c r="G717" s="69">
        <f t="shared" si="303"/>
        <v>3.6342592592592593E-2</v>
      </c>
      <c r="H717" s="52"/>
      <c r="I717" s="12">
        <f t="shared" si="304"/>
        <v>3.6306286306286308E-3</v>
      </c>
      <c r="J717" s="37">
        <f t="shared" si="305"/>
        <v>2.5024999999999999</v>
      </c>
      <c r="K717" s="37">
        <f>IF(J717=0,0,IF(B717="F",VLOOKUP(I717,Barem!$G$2:$H$16,2,1),VLOOKUP(I717,Barem!$G$17:$H$31,2,1)))</f>
        <v>3.5</v>
      </c>
      <c r="L717" s="50">
        <v>2</v>
      </c>
      <c r="M717" s="124" t="s">
        <v>107</v>
      </c>
      <c r="N717" s="10">
        <f t="shared" si="302"/>
        <v>0.25</v>
      </c>
      <c r="O717" s="10">
        <f t="shared" si="302"/>
        <v>0.5</v>
      </c>
      <c r="P717" s="10">
        <f t="shared" si="302"/>
        <v>0.25</v>
      </c>
      <c r="Q717" s="40">
        <f t="shared" si="306"/>
        <v>0</v>
      </c>
      <c r="R717" s="21">
        <f>IF(D717&gt;21,VLOOKUP(D717,Barem!$T$1:$U$141,2,1),0)</f>
        <v>0</v>
      </c>
      <c r="S717" s="152">
        <f>IF(D717&lt;1.609,0,IF(B717="F",VLOOKUP(I717,Barem!$X$2:$Z$13,2,1),VLOOKUP(I717,Barem!$X$14:$Z$25,2,1)))</f>
        <v>0</v>
      </c>
      <c r="T717" s="21">
        <f>VLOOKUP(A717,Participanti!A:C,3,0)</f>
        <v>0</v>
      </c>
      <c r="U717" s="18">
        <f t="shared" si="307"/>
        <v>2.8756249999999999</v>
      </c>
      <c r="V717" s="58" t="s">
        <v>480</v>
      </c>
      <c r="W717" s="77">
        <f t="shared" si="295"/>
        <v>1</v>
      </c>
      <c r="X717" s="1" t="e">
        <f>VLOOKUP(A717,Data_Echipe!A:R,18,0)</f>
        <v>#N/A</v>
      </c>
      <c r="Z717" s="115">
        <f t="shared" si="308"/>
        <v>1</v>
      </c>
    </row>
    <row r="718" spans="1:26" x14ac:dyDescent="0.3">
      <c r="A718" s="49" t="s">
        <v>336</v>
      </c>
      <c r="B718" s="1" t="str">
        <f>VLOOKUP(A718,Participanti!A:B,2,0)</f>
        <v>M</v>
      </c>
      <c r="C718" s="74">
        <v>9</v>
      </c>
      <c r="D718" s="50">
        <v>24.24</v>
      </c>
      <c r="E718" s="51">
        <v>9.9097222222222225E-2</v>
      </c>
      <c r="F718" s="51">
        <v>9.9097222222222225E-2</v>
      </c>
      <c r="G718" s="69">
        <f t="shared" si="303"/>
        <v>9.9097222222222225E-2</v>
      </c>
      <c r="H718" s="52"/>
      <c r="I718" s="12">
        <f t="shared" si="304"/>
        <v>4.0881692335900258E-3</v>
      </c>
      <c r="J718" s="37">
        <f t="shared" si="305"/>
        <v>5</v>
      </c>
      <c r="K718" s="37">
        <f>IF(J718=0,0,IF(B718="F",VLOOKUP(I718,Barem!$G$2:$H$16,2,1),VLOOKUP(I718,Barem!$G$17:$H$31,2,1)))</f>
        <v>1.5</v>
      </c>
      <c r="L718" s="50">
        <v>0.25</v>
      </c>
      <c r="M718" s="124" t="s">
        <v>207</v>
      </c>
      <c r="N718" s="10">
        <f t="shared" si="302"/>
        <v>0.25</v>
      </c>
      <c r="O718" s="10">
        <f t="shared" si="302"/>
        <v>0.25</v>
      </c>
      <c r="P718" s="10">
        <f t="shared" si="302"/>
        <v>0.5</v>
      </c>
      <c r="Q718" s="40">
        <f t="shared" si="306"/>
        <v>0</v>
      </c>
      <c r="R718" s="21">
        <f>IF(D718&gt;21,VLOOKUP(D718,Barem!$T$1:$U$141,2,1),0)</f>
        <v>0.1</v>
      </c>
      <c r="S718" s="152">
        <f>IF(D718&lt;1.609,0,IF(B718="F",VLOOKUP(I718,Barem!$X$2:$Z$13,2,1),VLOOKUP(I718,Barem!$X$14:$Z$25,2,1)))</f>
        <v>0</v>
      </c>
      <c r="T718" s="21">
        <f>VLOOKUP(A718,Participanti!A:C,3,0)</f>
        <v>0</v>
      </c>
      <c r="U718" s="18">
        <f t="shared" si="307"/>
        <v>1.85</v>
      </c>
      <c r="V718" s="58" t="s">
        <v>480</v>
      </c>
      <c r="W718" s="77">
        <f t="shared" si="295"/>
        <v>1</v>
      </c>
      <c r="X718" s="1" t="e">
        <f>VLOOKUP(A718,Data_Echipe!A:R,18,0)</f>
        <v>#N/A</v>
      </c>
      <c r="Z718" s="115">
        <f t="shared" si="308"/>
        <v>1</v>
      </c>
    </row>
    <row r="719" spans="1:26" x14ac:dyDescent="0.3">
      <c r="A719" s="49" t="s">
        <v>430</v>
      </c>
      <c r="B719" s="1" t="str">
        <f>VLOOKUP(A719,Participanti!A:B,2,0)</f>
        <v>M</v>
      </c>
      <c r="C719" s="74">
        <v>9</v>
      </c>
      <c r="D719" s="50">
        <v>16</v>
      </c>
      <c r="E719" s="51">
        <v>5.4293981481481485E-2</v>
      </c>
      <c r="F719" s="51">
        <v>5.4525462962962963E-2</v>
      </c>
      <c r="G719" s="69">
        <f t="shared" si="303"/>
        <v>5.440972222222222E-2</v>
      </c>
      <c r="H719" s="52">
        <v>185</v>
      </c>
      <c r="I719" s="12">
        <f t="shared" si="304"/>
        <v>3.4006076388888888E-3</v>
      </c>
      <c r="J719" s="37">
        <f t="shared" si="305"/>
        <v>3.8095238095238093</v>
      </c>
      <c r="K719" s="37">
        <f>IF(J719=0,0,IF(B719="F",VLOOKUP(I719,Barem!$G$2:$H$16,2,1),VLOOKUP(I719,Barem!$G$17:$H$31,2,1)))</f>
        <v>3</v>
      </c>
      <c r="L719" s="50">
        <v>1.5</v>
      </c>
      <c r="M719" s="124" t="s">
        <v>207</v>
      </c>
      <c r="N719" s="10">
        <f t="shared" si="302"/>
        <v>0.25</v>
      </c>
      <c r="O719" s="10">
        <f t="shared" si="302"/>
        <v>0.25</v>
      </c>
      <c r="P719" s="10">
        <f t="shared" si="302"/>
        <v>0.5</v>
      </c>
      <c r="Q719" s="40">
        <f t="shared" si="306"/>
        <v>0.12333333333333334</v>
      </c>
      <c r="R719" s="21">
        <f>IF(D719&gt;21,VLOOKUP(D719,Barem!$T$1:$U$141,2,1),0)</f>
        <v>0</v>
      </c>
      <c r="S719" s="152">
        <f>IF(D719&lt;1.609,0,IF(B719="F",VLOOKUP(I719,Barem!$X$2:$Z$13,2,1),VLOOKUP(I719,Barem!$X$14:$Z$25,2,1)))</f>
        <v>0</v>
      </c>
      <c r="T719" s="21">
        <f>VLOOKUP(A719,Participanti!A:C,3,0)</f>
        <v>0</v>
      </c>
      <c r="U719" s="18">
        <f t="shared" si="307"/>
        <v>2.5757142857142861</v>
      </c>
      <c r="V719" s="58" t="s">
        <v>480</v>
      </c>
      <c r="W719" s="77">
        <f t="shared" si="295"/>
        <v>1</v>
      </c>
      <c r="X719" s="1" t="e">
        <f>VLOOKUP(A719,Data_Echipe!A:R,18,0)</f>
        <v>#N/A</v>
      </c>
      <c r="Z719" s="115">
        <f t="shared" si="308"/>
        <v>1</v>
      </c>
    </row>
    <row r="720" spans="1:26" x14ac:dyDescent="0.3">
      <c r="A720" s="49" t="s">
        <v>347</v>
      </c>
      <c r="B720" s="1" t="str">
        <f>VLOOKUP(A720,Participanti!A:B,2,0)</f>
        <v>F</v>
      </c>
      <c r="C720" s="74">
        <v>9</v>
      </c>
      <c r="D720" s="50">
        <v>14.52</v>
      </c>
      <c r="E720" s="51">
        <v>5.8194444444444444E-2</v>
      </c>
      <c r="F720" s="51">
        <v>6.3715277777777787E-2</v>
      </c>
      <c r="G720" s="69">
        <f t="shared" si="303"/>
        <v>6.0954861111111119E-2</v>
      </c>
      <c r="H720" s="52">
        <v>88</v>
      </c>
      <c r="I720" s="12">
        <f t="shared" si="304"/>
        <v>4.1979931894704633E-3</v>
      </c>
      <c r="J720" s="37">
        <f t="shared" si="305"/>
        <v>3.63</v>
      </c>
      <c r="K720" s="37">
        <f>IF(J720=0,0,IF(B720="F",VLOOKUP(I720,Barem!$G$2:$H$16,2,1),VLOOKUP(I720,Barem!$G$17:$H$31,2,1)))</f>
        <v>1.75</v>
      </c>
      <c r="L720" s="50">
        <v>2.5</v>
      </c>
      <c r="M720" s="124" t="s">
        <v>207</v>
      </c>
      <c r="N720" s="10">
        <f t="shared" si="302"/>
        <v>0.25</v>
      </c>
      <c r="O720" s="10">
        <f t="shared" si="302"/>
        <v>0.25</v>
      </c>
      <c r="P720" s="10">
        <f t="shared" si="302"/>
        <v>0.5</v>
      </c>
      <c r="Q720" s="40">
        <f t="shared" si="306"/>
        <v>5.8666666666666666E-2</v>
      </c>
      <c r="R720" s="21">
        <f>IF(D720&gt;21,VLOOKUP(D720,Barem!$T$1:$U$141,2,1),0)</f>
        <v>0</v>
      </c>
      <c r="S720" s="152">
        <f>IF(D720&lt;1.609,0,IF(B720="F",VLOOKUP(I720,Barem!$X$2:$Z$13,2,1),VLOOKUP(I720,Barem!$X$14:$Z$25,2,1)))</f>
        <v>0</v>
      </c>
      <c r="T720" s="21">
        <f>VLOOKUP(A720,Participanti!A:C,3,0)</f>
        <v>0</v>
      </c>
      <c r="U720" s="18">
        <f t="shared" si="307"/>
        <v>2.6536666666666666</v>
      </c>
      <c r="V720" s="58" t="s">
        <v>480</v>
      </c>
      <c r="W720" s="77">
        <f t="shared" si="295"/>
        <v>1</v>
      </c>
      <c r="X720" s="1" t="str">
        <f>VLOOKUP(A720,Data_Echipe!A:R,18,0)</f>
        <v>MedgidiaRunning</v>
      </c>
      <c r="Z720" s="115">
        <f t="shared" si="308"/>
        <v>1</v>
      </c>
    </row>
    <row r="721" spans="1:26" x14ac:dyDescent="0.3">
      <c r="A721" s="49" t="s">
        <v>344</v>
      </c>
      <c r="B721" s="1" t="str">
        <f>VLOOKUP(A721,Participanti!A:B,2,0)</f>
        <v>F</v>
      </c>
      <c r="C721" s="74">
        <v>9</v>
      </c>
      <c r="D721" s="50">
        <v>20.03</v>
      </c>
      <c r="E721" s="51">
        <v>7.738425925925925E-2</v>
      </c>
      <c r="F721" s="51">
        <v>7.738425925925925E-2</v>
      </c>
      <c r="G721" s="69">
        <f t="shared" si="303"/>
        <v>7.738425925925925E-2</v>
      </c>
      <c r="H721" s="52">
        <v>55</v>
      </c>
      <c r="I721" s="12">
        <f t="shared" si="304"/>
        <v>3.8634178362086493E-3</v>
      </c>
      <c r="J721" s="37">
        <f t="shared" si="305"/>
        <v>5</v>
      </c>
      <c r="K721" s="37">
        <f>IF(J721=0,0,IF(B721="F",VLOOKUP(I721,Barem!$G$2:$H$16,2,1),VLOOKUP(I721,Barem!$G$17:$H$31,2,1)))</f>
        <v>2.5</v>
      </c>
      <c r="L721" s="50">
        <v>4</v>
      </c>
      <c r="M721" s="124" t="s">
        <v>207</v>
      </c>
      <c r="N721" s="10">
        <f t="shared" si="302"/>
        <v>0.25</v>
      </c>
      <c r="O721" s="10">
        <f t="shared" si="302"/>
        <v>0.25</v>
      </c>
      <c r="P721" s="10">
        <f t="shared" si="302"/>
        <v>0.5</v>
      </c>
      <c r="Q721" s="40">
        <f t="shared" si="306"/>
        <v>3.6666666666666667E-2</v>
      </c>
      <c r="R721" s="21">
        <f>IF(D721&gt;21,VLOOKUP(D721,Barem!$T$1:$U$141,2,1),0)</f>
        <v>0</v>
      </c>
      <c r="S721" s="152">
        <f>IF(D721&lt;1.609,0,IF(B721="F",VLOOKUP(I721,Barem!$X$2:$Z$13,2,1),VLOOKUP(I721,Barem!$X$14:$Z$25,2,1)))</f>
        <v>0</v>
      </c>
      <c r="T721" s="21">
        <f>VLOOKUP(A721,Participanti!A:C,3,0)</f>
        <v>0</v>
      </c>
      <c r="U721" s="18">
        <f t="shared" si="307"/>
        <v>3.9116666666666666</v>
      </c>
      <c r="V721" s="58" t="s">
        <v>481</v>
      </c>
      <c r="W721" s="77">
        <f t="shared" si="295"/>
        <v>1</v>
      </c>
      <c r="X721" s="1" t="e">
        <f>VLOOKUP(A721,Data_Echipe!A:R,18,0)</f>
        <v>#N/A</v>
      </c>
      <c r="Z721" s="115">
        <f t="shared" si="308"/>
        <v>1</v>
      </c>
    </row>
    <row r="722" spans="1:26" x14ac:dyDescent="0.3">
      <c r="A722" s="49" t="s">
        <v>343</v>
      </c>
      <c r="B722" s="1" t="str">
        <f>VLOOKUP(A722,Participanti!A:B,2,0)</f>
        <v>M</v>
      </c>
      <c r="C722" s="74">
        <v>9</v>
      </c>
      <c r="D722" s="50">
        <v>17.54</v>
      </c>
      <c r="E722" s="51">
        <v>5.1805555555555556E-2</v>
      </c>
      <c r="F722" s="51">
        <v>5.1805555555555556E-2</v>
      </c>
      <c r="G722" s="69">
        <f t="shared" si="303"/>
        <v>5.1805555555555556E-2</v>
      </c>
      <c r="H722" s="52">
        <v>80</v>
      </c>
      <c r="I722" s="12">
        <f t="shared" si="304"/>
        <v>2.9535664512859499E-3</v>
      </c>
      <c r="J722" s="37">
        <f t="shared" si="305"/>
        <v>4.1761904761904756</v>
      </c>
      <c r="K722" s="37">
        <f>IF(J722=0,0,IF(B722="F",VLOOKUP(I722,Barem!$G$2:$H$16,2,1),VLOOKUP(I722,Barem!$G$17:$H$31,2,1)))</f>
        <v>4.5</v>
      </c>
      <c r="L722" s="50">
        <v>2.5</v>
      </c>
      <c r="M722" s="124" t="s">
        <v>207</v>
      </c>
      <c r="N722" s="10">
        <f t="shared" si="302"/>
        <v>0.25</v>
      </c>
      <c r="O722" s="10">
        <f t="shared" si="302"/>
        <v>0.25</v>
      </c>
      <c r="P722" s="10">
        <f t="shared" si="302"/>
        <v>0.5</v>
      </c>
      <c r="Q722" s="40">
        <f t="shared" si="306"/>
        <v>5.3333333333333337E-2</v>
      </c>
      <c r="R722" s="21">
        <f>IF(D722&gt;21,VLOOKUP(D722,Barem!$T$1:$U$141,2,1),0)</f>
        <v>0</v>
      </c>
      <c r="S722" s="152">
        <f>IF(D722&lt;1.609,0,IF(B722="F",VLOOKUP(I722,Barem!$X$2:$Z$13,2,1),VLOOKUP(I722,Barem!$X$14:$Z$25,2,1)))</f>
        <v>0</v>
      </c>
      <c r="T722" s="21">
        <f>VLOOKUP(A722,Participanti!A:C,3,0)</f>
        <v>0</v>
      </c>
      <c r="U722" s="18">
        <f t="shared" si="307"/>
        <v>3.4723809523809521</v>
      </c>
      <c r="V722" s="58" t="s">
        <v>481</v>
      </c>
      <c r="W722" s="77">
        <f t="shared" si="295"/>
        <v>1</v>
      </c>
      <c r="X722" s="1" t="str">
        <f>VLOOKUP(A722,Data_Echipe!A:R,18,0)</f>
        <v>#notSYRious</v>
      </c>
      <c r="Z722" s="115">
        <f t="shared" si="308"/>
        <v>1</v>
      </c>
    </row>
    <row r="723" spans="1:26" x14ac:dyDescent="0.3">
      <c r="A723" s="49" t="s">
        <v>108</v>
      </c>
      <c r="B723" s="1" t="str">
        <f>VLOOKUP(A723,Participanti!A:B,2,0)</f>
        <v>M</v>
      </c>
      <c r="C723" s="74">
        <v>9</v>
      </c>
      <c r="D723" s="50">
        <v>10.199999999999999</v>
      </c>
      <c r="E723" s="51">
        <v>5.6712962962962965E-2</v>
      </c>
      <c r="F723" s="51">
        <v>6.9791666666666669E-2</v>
      </c>
      <c r="G723" s="69">
        <f t="shared" si="303"/>
        <v>6.3252314814814817E-2</v>
      </c>
      <c r="H723" s="52">
        <v>427</v>
      </c>
      <c r="I723" s="12">
        <f t="shared" si="304"/>
        <v>6.2012073347857671E-3</v>
      </c>
      <c r="J723" s="37">
        <f t="shared" si="305"/>
        <v>2.4285714285714284</v>
      </c>
      <c r="K723" s="37">
        <f>IF(J723=0,0,IF(B723="F",VLOOKUP(I723,Barem!$G$2:$H$16,2,1),VLOOKUP(I723,Barem!$G$17:$H$31,2,1)))</f>
        <v>0</v>
      </c>
      <c r="L723" s="50">
        <v>3.75</v>
      </c>
      <c r="M723" s="124" t="s">
        <v>207</v>
      </c>
      <c r="N723" s="10">
        <f t="shared" si="302"/>
        <v>0.25</v>
      </c>
      <c r="O723" s="10">
        <f t="shared" si="302"/>
        <v>0.25</v>
      </c>
      <c r="P723" s="10">
        <f t="shared" si="302"/>
        <v>0.5</v>
      </c>
      <c r="Q723" s="40">
        <f t="shared" si="306"/>
        <v>0.28466666666666668</v>
      </c>
      <c r="R723" s="21">
        <f>IF(D723&gt;21,VLOOKUP(D723,Barem!$T$1:$U$141,2,1),0)</f>
        <v>0</v>
      </c>
      <c r="S723" s="152">
        <f>IF(D723&lt;1.609,0,IF(B723="F",VLOOKUP(I723,Barem!$X$2:$Z$13,2,1),VLOOKUP(I723,Barem!$X$14:$Z$25,2,1)))</f>
        <v>0</v>
      </c>
      <c r="T723" s="21">
        <f>VLOOKUP(A723,Participanti!A:C,3,0)</f>
        <v>0</v>
      </c>
      <c r="U723" s="18">
        <f t="shared" si="307"/>
        <v>2.7668095238095241</v>
      </c>
      <c r="V723" s="58" t="s">
        <v>481</v>
      </c>
      <c r="W723" s="77">
        <f t="shared" si="295"/>
        <v>1</v>
      </c>
      <c r="X723" s="1" t="str">
        <f>VLOOKUP(A723,Data_Echipe!A:R,18,0)</f>
        <v>UltraHaita lu' Borcan</v>
      </c>
      <c r="Z723" s="115">
        <f t="shared" si="308"/>
        <v>0</v>
      </c>
    </row>
    <row r="724" spans="1:26" x14ac:dyDescent="0.3">
      <c r="A724" s="49" t="s">
        <v>375</v>
      </c>
      <c r="B724" s="1" t="str">
        <f>VLOOKUP(A724,Participanti!A:B,2,0)</f>
        <v>M</v>
      </c>
      <c r="C724" s="74">
        <v>9</v>
      </c>
      <c r="D724" s="50">
        <v>20.36</v>
      </c>
      <c r="E724" s="51">
        <v>0.11096064814814814</v>
      </c>
      <c r="F724" s="51">
        <v>0.11797453703703703</v>
      </c>
      <c r="G724" s="69">
        <f t="shared" si="303"/>
        <v>0.11446759259259259</v>
      </c>
      <c r="H724" s="52">
        <v>883</v>
      </c>
      <c r="I724" s="12">
        <f t="shared" si="304"/>
        <v>5.6221803827403039E-3</v>
      </c>
      <c r="J724" s="37">
        <f t="shared" si="305"/>
        <v>4.8476190476190473</v>
      </c>
      <c r="K724" s="37">
        <f>IF(J724=0,0,IF(B724="F",VLOOKUP(I724,Barem!$G$2:$H$16,2,1),VLOOKUP(I724,Barem!$G$17:$H$31,2,1)))</f>
        <v>0</v>
      </c>
      <c r="L724" s="50">
        <v>2.5</v>
      </c>
      <c r="M724" s="124" t="s">
        <v>207</v>
      </c>
      <c r="N724" s="10">
        <f t="shared" ref="N724:P756" si="309">IF($M724=N$1,50%,25%)</f>
        <v>0.25</v>
      </c>
      <c r="O724" s="10">
        <f t="shared" si="309"/>
        <v>0.25</v>
      </c>
      <c r="P724" s="10">
        <f t="shared" si="309"/>
        <v>0.5</v>
      </c>
      <c r="Q724" s="40">
        <f t="shared" si="306"/>
        <v>0.58866666666666667</v>
      </c>
      <c r="R724" s="21">
        <f>IF(D724&gt;21,VLOOKUP(D724,Barem!$T$1:$U$141,2,1),0)</f>
        <v>0</v>
      </c>
      <c r="S724" s="152">
        <f>IF(D724&lt;1.609,0,IF(B724="F",VLOOKUP(I724,Barem!$X$2:$Z$13,2,1),VLOOKUP(I724,Barem!$X$14:$Z$25,2,1)))</f>
        <v>0</v>
      </c>
      <c r="T724" s="21">
        <f>VLOOKUP(A724,Participanti!A:C,3,0)</f>
        <v>0</v>
      </c>
      <c r="U724" s="18">
        <f t="shared" si="307"/>
        <v>3.0505714285714287</v>
      </c>
      <c r="V724" s="58" t="s">
        <v>481</v>
      </c>
      <c r="W724" s="77">
        <f t="shared" si="295"/>
        <v>1</v>
      </c>
      <c r="X724" s="1" t="e">
        <f>VLOOKUP(A724,Data_Echipe!A:R,18,0)</f>
        <v>#N/A</v>
      </c>
      <c r="Z724" s="115">
        <f t="shared" si="308"/>
        <v>0</v>
      </c>
    </row>
    <row r="725" spans="1:26" x14ac:dyDescent="0.3">
      <c r="A725" s="49" t="s">
        <v>356</v>
      </c>
      <c r="B725" s="1" t="str">
        <f>VLOOKUP(A725,Participanti!A:B,2,0)</f>
        <v>M</v>
      </c>
      <c r="C725" s="74">
        <v>9</v>
      </c>
      <c r="D725" s="50">
        <v>21.57</v>
      </c>
      <c r="E725" s="51">
        <v>0.14478009259259259</v>
      </c>
      <c r="F725" s="51">
        <v>0.15585648148148148</v>
      </c>
      <c r="G725" s="69">
        <f t="shared" si="303"/>
        <v>0.15031828703703703</v>
      </c>
      <c r="H725" s="52">
        <v>709</v>
      </c>
      <c r="I725" s="12">
        <f t="shared" si="304"/>
        <v>6.968858926149144E-3</v>
      </c>
      <c r="J725" s="37">
        <f t="shared" si="305"/>
        <v>5</v>
      </c>
      <c r="K725" s="37">
        <f>IF(J725=0,0,IF(B725="F",VLOOKUP(I725,Barem!$G$2:$H$16,2,1),VLOOKUP(I725,Barem!$G$17:$H$31,2,1)))</f>
        <v>0</v>
      </c>
      <c r="L725" s="50">
        <v>3.25</v>
      </c>
      <c r="M725" s="124" t="s">
        <v>207</v>
      </c>
      <c r="N725" s="10">
        <f t="shared" si="309"/>
        <v>0.25</v>
      </c>
      <c r="O725" s="10">
        <f t="shared" si="309"/>
        <v>0.25</v>
      </c>
      <c r="P725" s="10">
        <f t="shared" si="309"/>
        <v>0.5</v>
      </c>
      <c r="Q725" s="40">
        <f t="shared" si="306"/>
        <v>0.47266666666666668</v>
      </c>
      <c r="R725" s="21">
        <f>IF(D725&gt;21,VLOOKUP(D725,Barem!$T$1:$U$141,2,1),0)</f>
        <v>0</v>
      </c>
      <c r="S725" s="152">
        <f>IF(D725&lt;1.609,0,IF(B725="F",VLOOKUP(I725,Barem!$X$2:$Z$13,2,1),VLOOKUP(I725,Barem!$X$14:$Z$25,2,1)))</f>
        <v>0</v>
      </c>
      <c r="T725" s="21">
        <f>VLOOKUP(A725,Participanti!A:C,3,0)</f>
        <v>0</v>
      </c>
      <c r="U725" s="18">
        <f t="shared" si="307"/>
        <v>3.3476666666666666</v>
      </c>
      <c r="V725" s="58" t="s">
        <v>481</v>
      </c>
      <c r="W725" s="77">
        <f t="shared" si="295"/>
        <v>1</v>
      </c>
      <c r="X725" s="1" t="str">
        <f>VLOOKUP(A725,Data_Echipe!A:R,18,0)</f>
        <v>MedgidiaRunning</v>
      </c>
      <c r="Z725" s="115">
        <f t="shared" si="308"/>
        <v>0</v>
      </c>
    </row>
    <row r="726" spans="1:26" x14ac:dyDescent="0.3">
      <c r="A726" s="49" t="s">
        <v>132</v>
      </c>
      <c r="B726" s="1" t="str">
        <f>VLOOKUP(A726,Participanti!A:B,2,0)</f>
        <v>F</v>
      </c>
      <c r="C726" s="74">
        <v>9</v>
      </c>
      <c r="D726" s="50">
        <v>22.25</v>
      </c>
      <c r="E726" s="51">
        <v>0.13752314814814814</v>
      </c>
      <c r="F726" s="51">
        <v>0.15649305555555557</v>
      </c>
      <c r="G726" s="69">
        <f t="shared" si="303"/>
        <v>0.14700810185185187</v>
      </c>
      <c r="H726" s="52">
        <v>647</v>
      </c>
      <c r="I726" s="12">
        <f t="shared" si="304"/>
        <v>6.6071057012068255E-3</v>
      </c>
      <c r="J726" s="37">
        <f t="shared" si="305"/>
        <v>5</v>
      </c>
      <c r="K726" s="37">
        <f>IF(J726=0,0,IF(B726="F",VLOOKUP(I726,Barem!$G$2:$H$16,2,1),VLOOKUP(I726,Barem!$G$17:$H$31,2,1)))</f>
        <v>0</v>
      </c>
      <c r="L726" s="50">
        <v>3.25</v>
      </c>
      <c r="M726" s="124" t="s">
        <v>106</v>
      </c>
      <c r="N726" s="10">
        <f t="shared" si="309"/>
        <v>0.5</v>
      </c>
      <c r="O726" s="10">
        <f t="shared" si="309"/>
        <v>0.25</v>
      </c>
      <c r="P726" s="10">
        <f t="shared" si="309"/>
        <v>0.25</v>
      </c>
      <c r="Q726" s="40">
        <f t="shared" si="306"/>
        <v>0.43133333333333335</v>
      </c>
      <c r="R726" s="21">
        <f>IF(D726&gt;21,VLOOKUP(D726,Barem!$T$1:$U$141,2,1),0)</f>
        <v>0</v>
      </c>
      <c r="S726" s="152">
        <f>IF(D726&lt;1.609,0,IF(B726="F",VLOOKUP(I726,Barem!$X$2:$Z$13,2,1),VLOOKUP(I726,Barem!$X$14:$Z$25,2,1)))</f>
        <v>0</v>
      </c>
      <c r="T726" s="21">
        <f>VLOOKUP(A726,Participanti!A:C,3,0)</f>
        <v>0</v>
      </c>
      <c r="U726" s="18">
        <f t="shared" si="307"/>
        <v>3.7438333333333333</v>
      </c>
      <c r="V726" s="58" t="s">
        <v>481</v>
      </c>
      <c r="W726" s="77">
        <f t="shared" si="295"/>
        <v>1</v>
      </c>
      <c r="X726" s="1" t="str">
        <f>VLOOKUP(A726,Data_Echipe!A:R,18,0)</f>
        <v>MedgidiaRunning</v>
      </c>
      <c r="Z726" s="115">
        <f t="shared" si="308"/>
        <v>0</v>
      </c>
    </row>
    <row r="727" spans="1:26" x14ac:dyDescent="0.3">
      <c r="A727" s="49" t="s">
        <v>296</v>
      </c>
      <c r="B727" s="1" t="str">
        <f>VLOOKUP(A727,Participanti!A:B,2,0)</f>
        <v>M</v>
      </c>
      <c r="C727" s="74">
        <v>9</v>
      </c>
      <c r="D727" s="50">
        <v>8.33</v>
      </c>
      <c r="E727" s="51">
        <v>4.2870370370370371E-2</v>
      </c>
      <c r="F727" s="51">
        <v>4.297453703703704E-2</v>
      </c>
      <c r="G727" s="69">
        <f t="shared" si="303"/>
        <v>4.2922453703703706E-2</v>
      </c>
      <c r="H727" s="52">
        <v>75</v>
      </c>
      <c r="I727" s="12">
        <f t="shared" si="304"/>
        <v>5.1527555466631099E-3</v>
      </c>
      <c r="J727" s="37">
        <f t="shared" si="305"/>
        <v>1.9833333333333332</v>
      </c>
      <c r="K727" s="37">
        <f>IF(J727=0,0,IF(B727="F",VLOOKUP(I727,Barem!$G$2:$H$16,2,1),VLOOKUP(I727,Barem!$G$17:$H$31,2,1)))</f>
        <v>0.25</v>
      </c>
      <c r="L727" s="50">
        <v>3</v>
      </c>
      <c r="M727" s="124" t="s">
        <v>207</v>
      </c>
      <c r="N727" s="10">
        <f t="shared" si="309"/>
        <v>0.25</v>
      </c>
      <c r="O727" s="10">
        <f t="shared" si="309"/>
        <v>0.25</v>
      </c>
      <c r="P727" s="10">
        <f t="shared" si="309"/>
        <v>0.5</v>
      </c>
      <c r="Q727" s="40">
        <f t="shared" si="306"/>
        <v>0.05</v>
      </c>
      <c r="R727" s="21">
        <f>IF(D727&gt;21,VLOOKUP(D727,Barem!$T$1:$U$141,2,1),0)</f>
        <v>0</v>
      </c>
      <c r="S727" s="152">
        <f>IF(D727&lt;1.609,0,IF(B727="F",VLOOKUP(I727,Barem!$X$2:$Z$13,2,1),VLOOKUP(I727,Barem!$X$14:$Z$25,2,1)))</f>
        <v>0</v>
      </c>
      <c r="T727" s="21">
        <f>VLOOKUP(A727,Participanti!A:C,3,0)</f>
        <v>0</v>
      </c>
      <c r="U727" s="18">
        <f t="shared" si="307"/>
        <v>2.1083333333333334</v>
      </c>
      <c r="V727" s="58" t="s">
        <v>481</v>
      </c>
      <c r="W727" s="77">
        <f t="shared" si="295"/>
        <v>1</v>
      </c>
      <c r="X727" s="1" t="str">
        <f>VLOOKUP(A727,Data_Echipe!A:R,18,0)</f>
        <v>MedgidiaRunning</v>
      </c>
      <c r="Z727" s="115">
        <f t="shared" si="308"/>
        <v>1</v>
      </c>
    </row>
    <row r="728" spans="1:26" x14ac:dyDescent="0.3">
      <c r="A728" s="49" t="s">
        <v>345</v>
      </c>
      <c r="B728" s="1" t="str">
        <f>VLOOKUP(A728,Participanti!A:B,2,0)</f>
        <v>F</v>
      </c>
      <c r="C728" s="74">
        <v>9</v>
      </c>
      <c r="D728" s="50">
        <v>15</v>
      </c>
      <c r="E728" s="51">
        <v>5.8483796296296298E-2</v>
      </c>
      <c r="F728" s="51">
        <v>6.1041666666666661E-2</v>
      </c>
      <c r="G728" s="69">
        <f t="shared" si="303"/>
        <v>5.9762731481481479E-2</v>
      </c>
      <c r="H728" s="52">
        <v>75</v>
      </c>
      <c r="I728" s="12">
        <f t="shared" si="304"/>
        <v>3.9841820987654318E-3</v>
      </c>
      <c r="J728" s="37">
        <f t="shared" si="305"/>
        <v>3.75</v>
      </c>
      <c r="K728" s="37">
        <f>IF(J728=0,0,IF(B728="F",VLOOKUP(I728,Barem!$G$2:$H$16,2,1),VLOOKUP(I728,Barem!$G$17:$H$31,2,1)))</f>
        <v>2.5</v>
      </c>
      <c r="L728" s="50">
        <v>3</v>
      </c>
      <c r="M728" s="124" t="s">
        <v>106</v>
      </c>
      <c r="N728" s="10">
        <f t="shared" si="309"/>
        <v>0.5</v>
      </c>
      <c r="O728" s="10">
        <f t="shared" si="309"/>
        <v>0.25</v>
      </c>
      <c r="P728" s="10">
        <f t="shared" si="309"/>
        <v>0.25</v>
      </c>
      <c r="Q728" s="40">
        <f t="shared" si="306"/>
        <v>0.05</v>
      </c>
      <c r="R728" s="21">
        <f>IF(D728&gt;21,VLOOKUP(D728,Barem!$T$1:$U$141,2,1),0)</f>
        <v>0</v>
      </c>
      <c r="S728" s="152">
        <f>IF(D728&lt;1.609,0,IF(B728="F",VLOOKUP(I728,Barem!$X$2:$Z$13,2,1),VLOOKUP(I728,Barem!$X$14:$Z$25,2,1)))</f>
        <v>0</v>
      </c>
      <c r="T728" s="21">
        <f>VLOOKUP(A728,Participanti!A:C,3,0)</f>
        <v>0</v>
      </c>
      <c r="U728" s="18">
        <f t="shared" si="307"/>
        <v>3.3</v>
      </c>
      <c r="V728" s="58" t="s">
        <v>481</v>
      </c>
      <c r="W728" s="77">
        <f t="shared" si="295"/>
        <v>1</v>
      </c>
      <c r="X728" s="1" t="str">
        <f>VLOOKUP(A728,Data_Echipe!A:R,18,0)</f>
        <v>MedgidiaRunning</v>
      </c>
      <c r="Z728" s="115">
        <f t="shared" si="308"/>
        <v>1</v>
      </c>
    </row>
    <row r="729" spans="1:26" x14ac:dyDescent="0.3">
      <c r="A729" s="49" t="s">
        <v>355</v>
      </c>
      <c r="B729" s="1" t="str">
        <f>VLOOKUP(A729,Participanti!A:B,2,0)</f>
        <v>F</v>
      </c>
      <c r="C729" s="74">
        <v>9</v>
      </c>
      <c r="D729" s="50">
        <v>5.34</v>
      </c>
      <c r="E729" s="51">
        <v>2.3680555555555555E-2</v>
      </c>
      <c r="F729" s="51">
        <v>2.4131944444444445E-2</v>
      </c>
      <c r="G729" s="69">
        <f t="shared" si="303"/>
        <v>2.390625E-2</v>
      </c>
      <c r="H729" s="52"/>
      <c r="I729" s="12">
        <f t="shared" si="304"/>
        <v>4.4768258426966297E-3</v>
      </c>
      <c r="J729" s="37">
        <f t="shared" si="305"/>
        <v>1.335</v>
      </c>
      <c r="K729" s="37">
        <f>IF(J729=0,0,IF(B729="F",VLOOKUP(I729,Barem!$G$2:$H$16,2,1),VLOOKUP(I729,Barem!$G$17:$H$31,2,1)))</f>
        <v>1.5</v>
      </c>
      <c r="L729" s="50">
        <v>3.5</v>
      </c>
      <c r="M729" s="124" t="s">
        <v>207</v>
      </c>
      <c r="N729" s="10">
        <f t="shared" si="309"/>
        <v>0.25</v>
      </c>
      <c r="O729" s="10">
        <f t="shared" si="309"/>
        <v>0.25</v>
      </c>
      <c r="P729" s="10">
        <f t="shared" si="309"/>
        <v>0.5</v>
      </c>
      <c r="Q729" s="40">
        <f t="shared" si="306"/>
        <v>0</v>
      </c>
      <c r="R729" s="21">
        <f>IF(D729&gt;21,VLOOKUP(D729,Barem!$T$1:$U$141,2,1),0)</f>
        <v>0</v>
      </c>
      <c r="S729" s="152">
        <f>IF(D729&lt;1.609,0,IF(B729="F",VLOOKUP(I729,Barem!$X$2:$Z$13,2,1),VLOOKUP(I729,Barem!$X$14:$Z$25,2,1)))</f>
        <v>0</v>
      </c>
      <c r="T729" s="21">
        <f>VLOOKUP(A729,Participanti!A:C,3,0)</f>
        <v>0</v>
      </c>
      <c r="U729" s="18">
        <f t="shared" si="307"/>
        <v>2.4587500000000002</v>
      </c>
      <c r="V729" s="58" t="s">
        <v>481</v>
      </c>
      <c r="W729" s="77">
        <f t="shared" si="295"/>
        <v>1</v>
      </c>
      <c r="X729" s="1" t="str">
        <f>VLOOKUP(A729,Data_Echipe!A:R,18,0)</f>
        <v>#notSYRious</v>
      </c>
      <c r="Z729" s="115">
        <f t="shared" si="308"/>
        <v>1</v>
      </c>
    </row>
    <row r="730" spans="1:26" x14ac:dyDescent="0.3">
      <c r="A730" s="49" t="s">
        <v>332</v>
      </c>
      <c r="B730" s="1" t="str">
        <f>VLOOKUP(A730,Participanti!A:B,2,0)</f>
        <v>M</v>
      </c>
      <c r="C730" s="74">
        <v>9</v>
      </c>
      <c r="D730" s="50">
        <v>15.02</v>
      </c>
      <c r="E730" s="51">
        <v>5.9560185185185188E-2</v>
      </c>
      <c r="F730" s="51">
        <v>6.6608796296296291E-2</v>
      </c>
      <c r="G730" s="69">
        <f t="shared" si="303"/>
        <v>6.308449074074074E-2</v>
      </c>
      <c r="H730" s="52">
        <v>54</v>
      </c>
      <c r="I730" s="12">
        <f t="shared" si="304"/>
        <v>4.2000326724860679E-3</v>
      </c>
      <c r="J730" s="37">
        <f t="shared" si="305"/>
        <v>3.5761904761904759</v>
      </c>
      <c r="K730" s="37">
        <f>IF(J730=0,0,IF(B730="F",VLOOKUP(I730,Barem!$G$2:$H$16,2,1),VLOOKUP(I730,Barem!$G$17:$H$31,2,1)))</f>
        <v>1.25</v>
      </c>
      <c r="L730" s="50">
        <v>2.75</v>
      </c>
      <c r="M730" s="124" t="s">
        <v>207</v>
      </c>
      <c r="N730" s="10">
        <f t="shared" si="309"/>
        <v>0.25</v>
      </c>
      <c r="O730" s="10">
        <f t="shared" si="309"/>
        <v>0.25</v>
      </c>
      <c r="P730" s="10">
        <f t="shared" si="309"/>
        <v>0.5</v>
      </c>
      <c r="Q730" s="40">
        <f t="shared" si="306"/>
        <v>3.5999999999999997E-2</v>
      </c>
      <c r="R730" s="21">
        <f>IF(D730&gt;21,VLOOKUP(D730,Barem!$T$1:$U$141,2,1),0)</f>
        <v>0</v>
      </c>
      <c r="S730" s="152">
        <f>IF(D730&lt;1.609,0,IF(B730="F",VLOOKUP(I730,Barem!$X$2:$Z$13,2,1),VLOOKUP(I730,Barem!$X$14:$Z$25,2,1)))</f>
        <v>0</v>
      </c>
      <c r="T730" s="21">
        <f>VLOOKUP(A730,Participanti!A:C,3,0)</f>
        <v>0.4</v>
      </c>
      <c r="U730" s="18">
        <f t="shared" si="307"/>
        <v>3.0175476190476189</v>
      </c>
      <c r="V730" s="58" t="s">
        <v>481</v>
      </c>
      <c r="W730" s="77">
        <f t="shared" si="295"/>
        <v>1</v>
      </c>
      <c r="X730" s="1" t="str">
        <f>VLOOKUP(A730,Data_Echipe!A:R,18,0)</f>
        <v>MedgidiaRunning</v>
      </c>
      <c r="Z730" s="115">
        <f t="shared" si="308"/>
        <v>1</v>
      </c>
    </row>
    <row r="731" spans="1:26" x14ac:dyDescent="0.3">
      <c r="A731" s="49" t="s">
        <v>303</v>
      </c>
      <c r="B731" s="1" t="str">
        <f>VLOOKUP(A731,Participanti!A:B,2,0)</f>
        <v>F</v>
      </c>
      <c r="C731" s="74">
        <v>9</v>
      </c>
      <c r="D731" s="50">
        <v>19.72</v>
      </c>
      <c r="E731" s="51">
        <v>0.10298611111111111</v>
      </c>
      <c r="F731" s="51">
        <v>0.1101388888888889</v>
      </c>
      <c r="G731" s="69">
        <f t="shared" si="303"/>
        <v>0.1065625</v>
      </c>
      <c r="H731" s="52">
        <v>679</v>
      </c>
      <c r="I731" s="12">
        <f t="shared" si="304"/>
        <v>5.4037778904665323E-3</v>
      </c>
      <c r="J731" s="37">
        <f t="shared" si="305"/>
        <v>4.93</v>
      </c>
      <c r="K731" s="37">
        <f>IF(J731=0,0,IF(B731="F",VLOOKUP(I731,Barem!$G$2:$H$16,2,1),VLOOKUP(I731,Barem!$G$17:$H$31,2,1)))</f>
        <v>0.25</v>
      </c>
      <c r="L731" s="50">
        <v>2.25</v>
      </c>
      <c r="M731" s="124" t="s">
        <v>106</v>
      </c>
      <c r="N731" s="10">
        <f t="shared" si="309"/>
        <v>0.5</v>
      </c>
      <c r="O731" s="10">
        <f t="shared" si="309"/>
        <v>0.25</v>
      </c>
      <c r="P731" s="10">
        <f t="shared" si="309"/>
        <v>0.25</v>
      </c>
      <c r="Q731" s="40">
        <f t="shared" si="306"/>
        <v>0.45266666666666666</v>
      </c>
      <c r="R731" s="21">
        <f>IF(D731&gt;21,VLOOKUP(D731,Barem!$T$1:$U$141,2,1),0)</f>
        <v>0</v>
      </c>
      <c r="S731" s="152">
        <f>IF(D731&lt;1.609,0,IF(B731="F",VLOOKUP(I731,Barem!$X$2:$Z$13,2,1),VLOOKUP(I731,Barem!$X$14:$Z$25,2,1)))</f>
        <v>0</v>
      </c>
      <c r="T731" s="21">
        <f>VLOOKUP(A731,Participanti!A:C,3,0)</f>
        <v>0</v>
      </c>
      <c r="U731" s="18">
        <f t="shared" si="307"/>
        <v>3.5426666666666664</v>
      </c>
      <c r="V731" s="58" t="s">
        <v>481</v>
      </c>
      <c r="W731" s="77">
        <f t="shared" si="295"/>
        <v>1</v>
      </c>
      <c r="X731" s="1" t="e">
        <f>VLOOKUP(A731,Data_Echipe!A:R,18,0)</f>
        <v>#N/A</v>
      </c>
      <c r="Z731" s="115">
        <f t="shared" si="308"/>
        <v>1</v>
      </c>
    </row>
    <row r="732" spans="1:26" x14ac:dyDescent="0.3">
      <c r="A732" s="49" t="s">
        <v>252</v>
      </c>
      <c r="B732" s="1" t="str">
        <f>VLOOKUP(A732,Participanti!A:B,2,0)</f>
        <v>M</v>
      </c>
      <c r="C732" s="74">
        <v>9</v>
      </c>
      <c r="D732" s="50">
        <v>23.05</v>
      </c>
      <c r="E732" s="51">
        <v>0.13160879629629629</v>
      </c>
      <c r="F732" s="51">
        <v>0.15681712962962963</v>
      </c>
      <c r="G732" s="69">
        <f t="shared" si="303"/>
        <v>0.14421296296296296</v>
      </c>
      <c r="H732" s="52">
        <v>656</v>
      </c>
      <c r="I732" s="12">
        <f t="shared" si="304"/>
        <v>6.2565276773519718E-3</v>
      </c>
      <c r="J732" s="37">
        <f t="shared" si="305"/>
        <v>5</v>
      </c>
      <c r="K732" s="37">
        <f>IF(J732=0,0,IF(B732="F",VLOOKUP(I732,Barem!$G$2:$H$16,2,1),VLOOKUP(I732,Barem!$G$17:$H$31,2,1)))</f>
        <v>0</v>
      </c>
      <c r="L732" s="50">
        <v>2.75</v>
      </c>
      <c r="M732" s="124" t="s">
        <v>207</v>
      </c>
      <c r="N732" s="10">
        <f t="shared" si="309"/>
        <v>0.25</v>
      </c>
      <c r="O732" s="10">
        <f t="shared" si="309"/>
        <v>0.25</v>
      </c>
      <c r="P732" s="10">
        <f t="shared" si="309"/>
        <v>0.5</v>
      </c>
      <c r="Q732" s="40">
        <f t="shared" si="306"/>
        <v>0.43733333333333335</v>
      </c>
      <c r="R732" s="21">
        <f>IF(D732&gt;21,VLOOKUP(D732,Barem!$T$1:$U$141,2,1),0)</f>
        <v>0.1</v>
      </c>
      <c r="S732" s="152">
        <f>IF(D732&lt;1.609,0,IF(B732="F",VLOOKUP(I732,Barem!$X$2:$Z$13,2,1),VLOOKUP(I732,Barem!$X$14:$Z$25,2,1)))</f>
        <v>0</v>
      </c>
      <c r="T732" s="21">
        <f>VLOOKUP(A732,Participanti!A:C,3,0)</f>
        <v>0</v>
      </c>
      <c r="U732" s="18">
        <f t="shared" si="307"/>
        <v>3.1623333333333332</v>
      </c>
      <c r="V732" s="58" t="s">
        <v>481</v>
      </c>
      <c r="W732" s="77">
        <f t="shared" si="295"/>
        <v>1</v>
      </c>
      <c r="X732" s="1" t="str">
        <f>VLOOKUP(A732,Data_Echipe!A:R,18,0)</f>
        <v>UltraHaita lu' Borcan</v>
      </c>
      <c r="Z732" s="115">
        <f t="shared" si="308"/>
        <v>0</v>
      </c>
    </row>
    <row r="733" spans="1:26" x14ac:dyDescent="0.3">
      <c r="A733" s="49" t="s">
        <v>120</v>
      </c>
      <c r="B733" s="1" t="str">
        <f>VLOOKUP(A733,Participanti!A:B,2,0)</f>
        <v>M</v>
      </c>
      <c r="C733" s="74">
        <v>9</v>
      </c>
      <c r="D733" s="50">
        <v>21.01</v>
      </c>
      <c r="E733" s="51">
        <v>7.4097222222222217E-2</v>
      </c>
      <c r="F733" s="51">
        <v>7.8726851851851853E-2</v>
      </c>
      <c r="G733" s="69">
        <f t="shared" si="303"/>
        <v>7.6412037037037028E-2</v>
      </c>
      <c r="H733" s="52"/>
      <c r="I733" s="12">
        <f t="shared" si="304"/>
        <v>3.6369365557847228E-3</v>
      </c>
      <c r="J733" s="37">
        <f t="shared" si="305"/>
        <v>5</v>
      </c>
      <c r="K733" s="37">
        <f>IF(J733=0,0,IF(B733="F",VLOOKUP(I733,Barem!$G$2:$H$16,2,1),VLOOKUP(I733,Barem!$G$17:$H$31,2,1)))</f>
        <v>2.5</v>
      </c>
      <c r="L733" s="50">
        <v>2.5</v>
      </c>
      <c r="M733" s="124" t="s">
        <v>207</v>
      </c>
      <c r="N733" s="10">
        <f t="shared" si="309"/>
        <v>0.25</v>
      </c>
      <c r="O733" s="10">
        <f t="shared" si="309"/>
        <v>0.25</v>
      </c>
      <c r="P733" s="10">
        <f t="shared" si="309"/>
        <v>0.5</v>
      </c>
      <c r="Q733" s="40">
        <f t="shared" si="306"/>
        <v>0</v>
      </c>
      <c r="R733" s="21">
        <f>IF(D733&gt;21,VLOOKUP(D733,Barem!$T$1:$U$141,2,1),0)</f>
        <v>0</v>
      </c>
      <c r="S733" s="152">
        <f>IF(D733&lt;1.609,0,IF(B733="F",VLOOKUP(I733,Barem!$X$2:$Z$13,2,1),VLOOKUP(I733,Barem!$X$14:$Z$25,2,1)))</f>
        <v>0</v>
      </c>
      <c r="T733" s="21">
        <f>VLOOKUP(A733,Participanti!A:C,3,0)</f>
        <v>0</v>
      </c>
      <c r="U733" s="18">
        <f t="shared" si="307"/>
        <v>3.125</v>
      </c>
      <c r="V733" s="58" t="s">
        <v>481</v>
      </c>
      <c r="W733" s="77">
        <f t="shared" si="295"/>
        <v>1</v>
      </c>
      <c r="X733" s="1" t="str">
        <f>VLOOKUP(A733,Data_Echipe!A:R,18,0)</f>
        <v>Almost Kenyan Runners</v>
      </c>
      <c r="Z733" s="115">
        <f t="shared" si="308"/>
        <v>1</v>
      </c>
    </row>
    <row r="734" spans="1:26" x14ac:dyDescent="0.3">
      <c r="A734" s="49" t="s">
        <v>292</v>
      </c>
      <c r="B734" s="1" t="str">
        <f>VLOOKUP(A734,Participanti!A:B,2,0)</f>
        <v>F</v>
      </c>
      <c r="C734" s="74">
        <v>9</v>
      </c>
      <c r="D734" s="50">
        <v>20.25</v>
      </c>
      <c r="E734" s="51">
        <v>0.12082175925925925</v>
      </c>
      <c r="F734" s="51">
        <v>0.12609953703703705</v>
      </c>
      <c r="G734" s="69">
        <f t="shared" si="303"/>
        <v>0.12346064814814815</v>
      </c>
      <c r="H734" s="52">
        <v>714</v>
      </c>
      <c r="I734" s="12">
        <f t="shared" si="304"/>
        <v>6.0968221307727485E-3</v>
      </c>
      <c r="J734" s="37">
        <f t="shared" si="305"/>
        <v>5</v>
      </c>
      <c r="K734" s="37">
        <f>IF(J734=0,0,IF(B734="F",VLOOKUP(I734,Barem!$G$2:$H$16,2,1),VLOOKUP(I734,Barem!$G$17:$H$31,2,1)))</f>
        <v>0.25</v>
      </c>
      <c r="L734" s="50">
        <v>1.25</v>
      </c>
      <c r="M734" s="124" t="s">
        <v>207</v>
      </c>
      <c r="N734" s="10">
        <f t="shared" si="309"/>
        <v>0.25</v>
      </c>
      <c r="O734" s="10">
        <f t="shared" si="309"/>
        <v>0.25</v>
      </c>
      <c r="P734" s="10">
        <f t="shared" si="309"/>
        <v>0.5</v>
      </c>
      <c r="Q734" s="40">
        <f t="shared" si="306"/>
        <v>0.47599999999999998</v>
      </c>
      <c r="R734" s="21">
        <f>IF(D734&gt;21,VLOOKUP(D734,Barem!$T$1:$U$141,2,1),0)</f>
        <v>0</v>
      </c>
      <c r="S734" s="152">
        <f>IF(D734&lt;1.609,0,IF(B734="F",VLOOKUP(I734,Barem!$X$2:$Z$13,2,1),VLOOKUP(I734,Barem!$X$14:$Z$25,2,1)))</f>
        <v>0</v>
      </c>
      <c r="T734" s="21">
        <f>VLOOKUP(A734,Participanti!A:C,3,0)</f>
        <v>0</v>
      </c>
      <c r="U734" s="18">
        <f t="shared" si="307"/>
        <v>2.4135</v>
      </c>
      <c r="V734" s="58" t="s">
        <v>481</v>
      </c>
      <c r="W734" s="77">
        <f t="shared" si="295"/>
        <v>1</v>
      </c>
      <c r="X734" s="1" t="e">
        <f>VLOOKUP(A734,Data_Echipe!A:R,18,0)</f>
        <v>#N/A</v>
      </c>
      <c r="Z734" s="115">
        <f t="shared" si="308"/>
        <v>1</v>
      </c>
    </row>
    <row r="735" spans="1:26" x14ac:dyDescent="0.3">
      <c r="A735" s="49" t="s">
        <v>387</v>
      </c>
      <c r="B735" s="1" t="str">
        <f>VLOOKUP(A735,Participanti!A:B,2,0)</f>
        <v>F</v>
      </c>
      <c r="C735" s="74">
        <v>9</v>
      </c>
      <c r="D735" s="50">
        <v>18</v>
      </c>
      <c r="E735" s="51">
        <v>7.1782407407407406E-2</v>
      </c>
      <c r="F735" s="51">
        <v>7.3043981481481488E-2</v>
      </c>
      <c r="G735" s="69">
        <f t="shared" si="303"/>
        <v>7.241319444444444E-2</v>
      </c>
      <c r="H735" s="52"/>
      <c r="I735" s="12">
        <f t="shared" si="304"/>
        <v>4.0229552469135798E-3</v>
      </c>
      <c r="J735" s="37">
        <f t="shared" si="305"/>
        <v>4.5</v>
      </c>
      <c r="K735" s="37">
        <f>IF(J735=0,0,IF(B735="F",VLOOKUP(I735,Barem!$G$2:$H$16,2,1),VLOOKUP(I735,Barem!$G$17:$H$31,2,1)))</f>
        <v>2</v>
      </c>
      <c r="L735" s="50">
        <v>3.25</v>
      </c>
      <c r="M735" s="124" t="s">
        <v>207</v>
      </c>
      <c r="N735" s="10">
        <f t="shared" si="309"/>
        <v>0.25</v>
      </c>
      <c r="O735" s="10">
        <f t="shared" si="309"/>
        <v>0.25</v>
      </c>
      <c r="P735" s="10">
        <f t="shared" si="309"/>
        <v>0.5</v>
      </c>
      <c r="Q735" s="40">
        <f t="shared" si="306"/>
        <v>0</v>
      </c>
      <c r="R735" s="21">
        <f>IF(D735&gt;21,VLOOKUP(D735,Barem!$T$1:$U$141,2,1),0)</f>
        <v>0</v>
      </c>
      <c r="S735" s="152">
        <f>IF(D735&lt;1.609,0,IF(B735="F",VLOOKUP(I735,Barem!$X$2:$Z$13,2,1),VLOOKUP(I735,Barem!$X$14:$Z$25,2,1)))</f>
        <v>0</v>
      </c>
      <c r="T735" s="21">
        <f>VLOOKUP(A735,Participanti!A:C,3,0)</f>
        <v>0</v>
      </c>
      <c r="U735" s="18">
        <f t="shared" si="307"/>
        <v>3.25</v>
      </c>
      <c r="V735" s="58" t="s">
        <v>481</v>
      </c>
      <c r="W735" s="77">
        <f t="shared" si="295"/>
        <v>1</v>
      </c>
      <c r="X735" s="1" t="str">
        <f>VLOOKUP(A735,Data_Echipe!A:R,18,0)</f>
        <v>#notSYRious</v>
      </c>
      <c r="Z735" s="115">
        <f t="shared" si="308"/>
        <v>1</v>
      </c>
    </row>
    <row r="736" spans="1:26" x14ac:dyDescent="0.3">
      <c r="A736" s="49" t="s">
        <v>283</v>
      </c>
      <c r="B736" s="1" t="str">
        <f>VLOOKUP(A736,Participanti!A:B,2,0)</f>
        <v>M</v>
      </c>
      <c r="C736" s="74">
        <v>9</v>
      </c>
      <c r="D736" s="50">
        <v>42.3</v>
      </c>
      <c r="E736" s="51">
        <v>0.1807175925925926</v>
      </c>
      <c r="F736" s="51">
        <v>0.1892824074074074</v>
      </c>
      <c r="G736" s="69">
        <f t="shared" si="303"/>
        <v>0.185</v>
      </c>
      <c r="H736" s="52">
        <v>235</v>
      </c>
      <c r="I736" s="12">
        <f t="shared" si="304"/>
        <v>4.3735224586288418E-3</v>
      </c>
      <c r="J736" s="37">
        <f t="shared" si="305"/>
        <v>5</v>
      </c>
      <c r="K736" s="37">
        <f>IF(J736=0,0,IF(B736="F",VLOOKUP(I736,Barem!$G$2:$H$16,2,1),VLOOKUP(I736,Barem!$G$17:$H$31,2,1)))</f>
        <v>1</v>
      </c>
      <c r="L736" s="50">
        <v>3.75</v>
      </c>
      <c r="M736" s="124" t="s">
        <v>106</v>
      </c>
      <c r="N736" s="10">
        <f t="shared" si="309"/>
        <v>0.5</v>
      </c>
      <c r="O736" s="10">
        <f t="shared" si="309"/>
        <v>0.25</v>
      </c>
      <c r="P736" s="10">
        <f t="shared" si="309"/>
        <v>0.25</v>
      </c>
      <c r="Q736" s="40">
        <f t="shared" si="306"/>
        <v>0.15666666666666668</v>
      </c>
      <c r="R736" s="21">
        <f>IF(D736&gt;21,VLOOKUP(D736,Barem!$T$1:$U$141,2,1),0)</f>
        <v>1</v>
      </c>
      <c r="S736" s="152">
        <f>IF(D736&lt;1.609,0,IF(B736="F",VLOOKUP(I736,Barem!$X$2:$Z$13,2,1),VLOOKUP(I736,Barem!$X$14:$Z$25,2,1)))</f>
        <v>0</v>
      </c>
      <c r="T736" s="21">
        <f>VLOOKUP(A736,Participanti!A:C,3,0)</f>
        <v>0</v>
      </c>
      <c r="U736" s="18">
        <f t="shared" si="307"/>
        <v>4.8441666666666663</v>
      </c>
      <c r="V736" s="58" t="s">
        <v>481</v>
      </c>
      <c r="W736" s="77">
        <f t="shared" si="295"/>
        <v>1</v>
      </c>
      <c r="X736" s="1" t="str">
        <f>VLOOKUP(A736,Data_Echipe!A:R,18,0)</f>
        <v>The GOATs</v>
      </c>
      <c r="Z736" s="115">
        <f t="shared" si="308"/>
        <v>1</v>
      </c>
    </row>
    <row r="737" spans="1:26" x14ac:dyDescent="0.3">
      <c r="A737" s="49" t="s">
        <v>279</v>
      </c>
      <c r="B737" s="1" t="str">
        <f>VLOOKUP(A737,Participanti!A:B,2,0)</f>
        <v>M</v>
      </c>
      <c r="C737" s="74">
        <v>9</v>
      </c>
      <c r="D737" s="50">
        <v>27.01</v>
      </c>
      <c r="E737" s="51">
        <v>8.3414351851851851E-2</v>
      </c>
      <c r="F737" s="51">
        <v>8.4722222222222213E-2</v>
      </c>
      <c r="G737" s="69">
        <f t="shared" si="303"/>
        <v>8.4068287037037032E-2</v>
      </c>
      <c r="H737" s="52">
        <v>178</v>
      </c>
      <c r="I737" s="12">
        <f t="shared" si="304"/>
        <v>3.1124874874874872E-3</v>
      </c>
      <c r="J737" s="37">
        <f t="shared" si="305"/>
        <v>5</v>
      </c>
      <c r="K737" s="37">
        <f>IF(J737=0,0,IF(B737="F",VLOOKUP(I737,Barem!$G$2:$H$16,2,1),VLOOKUP(I737,Barem!$G$17:$H$31,2,1)))</f>
        <v>4</v>
      </c>
      <c r="L737" s="50">
        <v>3</v>
      </c>
      <c r="M737" s="124" t="s">
        <v>106</v>
      </c>
      <c r="N737" s="10">
        <f t="shared" si="309"/>
        <v>0.5</v>
      </c>
      <c r="O737" s="10">
        <f t="shared" si="309"/>
        <v>0.25</v>
      </c>
      <c r="P737" s="10">
        <f t="shared" si="309"/>
        <v>0.25</v>
      </c>
      <c r="Q737" s="40">
        <f t="shared" si="306"/>
        <v>0.11866666666666667</v>
      </c>
      <c r="R737" s="21">
        <f>IF(D737&gt;21,VLOOKUP(D737,Barem!$T$1:$U$141,2,1),0)</f>
        <v>0.3</v>
      </c>
      <c r="S737" s="152">
        <f>IF(D737&lt;1.609,0,IF(B737="F",VLOOKUP(I737,Barem!$X$2:$Z$13,2,1),VLOOKUP(I737,Barem!$X$14:$Z$25,2,1)))</f>
        <v>0</v>
      </c>
      <c r="T737" s="21">
        <f>VLOOKUP(A737,Participanti!A:C,3,0)</f>
        <v>0</v>
      </c>
      <c r="U737" s="18">
        <f t="shared" si="307"/>
        <v>4.6686666666666667</v>
      </c>
      <c r="V737" s="58" t="s">
        <v>481</v>
      </c>
      <c r="W737" s="77">
        <f t="shared" si="295"/>
        <v>1</v>
      </c>
      <c r="X737" s="1" t="str">
        <f>VLOOKUP(A737,Data_Echipe!A:R,18,0)</f>
        <v>Almost Kenyan Runners</v>
      </c>
      <c r="Z737" s="115">
        <f t="shared" si="308"/>
        <v>1</v>
      </c>
    </row>
    <row r="738" spans="1:26" x14ac:dyDescent="0.3">
      <c r="A738" s="49" t="s">
        <v>353</v>
      </c>
      <c r="B738" s="1" t="str">
        <f>VLOOKUP(A738,Participanti!A:B,2,0)</f>
        <v>M</v>
      </c>
      <c r="C738" s="74">
        <v>9</v>
      </c>
      <c r="D738" s="50">
        <v>25.13</v>
      </c>
      <c r="E738" s="51">
        <v>8.4618055555555557E-2</v>
      </c>
      <c r="F738" s="51">
        <v>8.519675925925925E-2</v>
      </c>
      <c r="G738" s="69">
        <f t="shared" si="303"/>
        <v>8.4907407407407404E-2</v>
      </c>
      <c r="H738" s="52">
        <v>58</v>
      </c>
      <c r="I738" s="12">
        <f t="shared" si="304"/>
        <v>3.3787269163313731E-3</v>
      </c>
      <c r="J738" s="37">
        <f t="shared" si="305"/>
        <v>5</v>
      </c>
      <c r="K738" s="37">
        <f>IF(J738=0,0,IF(B738="F",VLOOKUP(I738,Barem!$G$2:$H$16,2,1),VLOOKUP(I738,Barem!$G$17:$H$31,2,1)))</f>
        <v>3</v>
      </c>
      <c r="L738" s="50">
        <v>2.25</v>
      </c>
      <c r="M738" s="124" t="s">
        <v>207</v>
      </c>
      <c r="N738" s="10">
        <f t="shared" si="309"/>
        <v>0.25</v>
      </c>
      <c r="O738" s="10">
        <f t="shared" si="309"/>
        <v>0.25</v>
      </c>
      <c r="P738" s="10">
        <f t="shared" si="309"/>
        <v>0.5</v>
      </c>
      <c r="Q738" s="40">
        <f t="shared" si="306"/>
        <v>3.8666666666666669E-2</v>
      </c>
      <c r="R738" s="21">
        <f>IF(D738&gt;21,VLOOKUP(D738,Barem!$T$1:$U$141,2,1),0)</f>
        <v>0.2</v>
      </c>
      <c r="S738" s="152">
        <f>IF(D738&lt;1.609,0,IF(B738="F",VLOOKUP(I738,Barem!$X$2:$Z$13,2,1),VLOOKUP(I738,Barem!$X$14:$Z$25,2,1)))</f>
        <v>0</v>
      </c>
      <c r="T738" s="21">
        <f>VLOOKUP(A738,Participanti!A:C,3,0)</f>
        <v>0</v>
      </c>
      <c r="U738" s="18">
        <f t="shared" si="307"/>
        <v>3.363666666666667</v>
      </c>
      <c r="V738" s="58" t="s">
        <v>481</v>
      </c>
      <c r="W738" s="77">
        <f t="shared" si="295"/>
        <v>1</v>
      </c>
      <c r="X738" s="1" t="e">
        <f>VLOOKUP(A738,Data_Echipe!A:R,18,0)</f>
        <v>#N/A</v>
      </c>
      <c r="Z738" s="115">
        <f t="shared" si="308"/>
        <v>1</v>
      </c>
    </row>
    <row r="739" spans="1:26" x14ac:dyDescent="0.3">
      <c r="A739" s="49" t="s">
        <v>448</v>
      </c>
      <c r="B739" s="1" t="str">
        <f>VLOOKUP(A739,Participanti!A:B,2,0)</f>
        <v>M</v>
      </c>
      <c r="C739" s="74">
        <v>9</v>
      </c>
      <c r="D739" s="50">
        <v>30.21</v>
      </c>
      <c r="E739" s="51">
        <v>0.12268518518518519</v>
      </c>
      <c r="F739" s="51">
        <v>0.12324074074074075</v>
      </c>
      <c r="G739" s="69">
        <f t="shared" si="303"/>
        <v>0.12296296296296297</v>
      </c>
      <c r="H739" s="52"/>
      <c r="I739" s="12">
        <f t="shared" si="304"/>
        <v>4.0702735174764307E-3</v>
      </c>
      <c r="J739" s="37">
        <f t="shared" si="305"/>
        <v>5</v>
      </c>
      <c r="K739" s="37">
        <f>IF(J739=0,0,IF(B739="F",VLOOKUP(I739,Barem!$G$2:$H$16,2,1),VLOOKUP(I739,Barem!$G$17:$H$31,2,1)))</f>
        <v>1.5</v>
      </c>
      <c r="L739" s="50">
        <v>0.75</v>
      </c>
      <c r="M739" s="124" t="s">
        <v>106</v>
      </c>
      <c r="N739" s="10">
        <f t="shared" si="309"/>
        <v>0.5</v>
      </c>
      <c r="O739" s="10">
        <f t="shared" si="309"/>
        <v>0.25</v>
      </c>
      <c r="P739" s="10">
        <f t="shared" si="309"/>
        <v>0.25</v>
      </c>
      <c r="Q739" s="40">
        <f t="shared" si="306"/>
        <v>0</v>
      </c>
      <c r="R739" s="21">
        <f>IF(D739&gt;21,VLOOKUP(D739,Barem!$T$1:$U$141,2,1),0)</f>
        <v>0.4</v>
      </c>
      <c r="S739" s="152">
        <f>IF(D739&lt;1.609,0,IF(B739="F",VLOOKUP(I739,Barem!$X$2:$Z$13,2,1),VLOOKUP(I739,Barem!$X$14:$Z$25,2,1)))</f>
        <v>0</v>
      </c>
      <c r="T739" s="21">
        <f>VLOOKUP(A739,Participanti!A:C,3,0)</f>
        <v>0</v>
      </c>
      <c r="U739" s="18">
        <f t="shared" si="307"/>
        <v>3.4624999999999999</v>
      </c>
      <c r="V739" s="58" t="s">
        <v>481</v>
      </c>
      <c r="W739" s="77">
        <f t="shared" si="295"/>
        <v>1</v>
      </c>
      <c r="X739" s="1" t="e">
        <f>VLOOKUP(A739,Data_Echipe!A:R,18,0)</f>
        <v>#N/A</v>
      </c>
      <c r="Z739" s="115">
        <f t="shared" si="308"/>
        <v>1</v>
      </c>
    </row>
    <row r="740" spans="1:26" x14ac:dyDescent="0.3">
      <c r="A740" s="49" t="s">
        <v>335</v>
      </c>
      <c r="B740" s="1" t="str">
        <f>VLOOKUP(A740,Participanti!A:B,2,0)</f>
        <v>M</v>
      </c>
      <c r="C740" s="74">
        <v>9</v>
      </c>
      <c r="D740" s="50">
        <v>15.03</v>
      </c>
      <c r="E740" s="51">
        <v>5.063657407407407E-2</v>
      </c>
      <c r="F740" s="51">
        <v>5.0682870370370371E-2</v>
      </c>
      <c r="G740" s="69">
        <f t="shared" si="303"/>
        <v>5.0659722222222217E-2</v>
      </c>
      <c r="H740" s="52">
        <v>571</v>
      </c>
      <c r="I740" s="12">
        <f t="shared" si="304"/>
        <v>3.3705736674798548E-3</v>
      </c>
      <c r="J740" s="37">
        <f t="shared" si="305"/>
        <v>3.5785714285714283</v>
      </c>
      <c r="K740" s="37">
        <f>IF(J740=0,0,IF(B740="F",VLOOKUP(I740,Barem!$G$2:$H$16,2,1),VLOOKUP(I740,Barem!$G$17:$H$31,2,1)))</f>
        <v>3</v>
      </c>
      <c r="L740" s="50">
        <v>2.75</v>
      </c>
      <c r="M740" s="124" t="s">
        <v>207</v>
      </c>
      <c r="N740" s="10">
        <f t="shared" si="309"/>
        <v>0.25</v>
      </c>
      <c r="O740" s="10">
        <f t="shared" si="309"/>
        <v>0.25</v>
      </c>
      <c r="P740" s="10">
        <f t="shared" si="309"/>
        <v>0.5</v>
      </c>
      <c r="Q740" s="40">
        <f t="shared" si="306"/>
        <v>0.38066666666666665</v>
      </c>
      <c r="R740" s="21">
        <f>IF(D740&gt;21,VLOOKUP(D740,Barem!$T$1:$U$141,2,1),0)</f>
        <v>0</v>
      </c>
      <c r="S740" s="152">
        <f>IF(D740&lt;1.609,0,IF(B740="F",VLOOKUP(I740,Barem!$X$2:$Z$13,2,1),VLOOKUP(I740,Barem!$X$14:$Z$25,2,1)))</f>
        <v>0</v>
      </c>
      <c r="T740" s="21">
        <f>VLOOKUP(A740,Participanti!A:C,3,0)</f>
        <v>0.4</v>
      </c>
      <c r="U740" s="18">
        <f t="shared" si="307"/>
        <v>3.8003095238095237</v>
      </c>
      <c r="V740" s="58" t="s">
        <v>481</v>
      </c>
      <c r="W740" s="77">
        <f t="shared" si="295"/>
        <v>1</v>
      </c>
      <c r="X740" s="1" t="e">
        <f>VLOOKUP(A740,Data_Echipe!A:R,18,0)</f>
        <v>#N/A</v>
      </c>
      <c r="Z740" s="115">
        <f t="shared" si="308"/>
        <v>1</v>
      </c>
    </row>
    <row r="741" spans="1:26" x14ac:dyDescent="0.3">
      <c r="A741" s="49" t="s">
        <v>124</v>
      </c>
      <c r="B741" s="1" t="str">
        <f>VLOOKUP(A741,Participanti!A:B,2,0)</f>
        <v>M</v>
      </c>
      <c r="C741" s="74">
        <v>9</v>
      </c>
      <c r="D741" s="50">
        <v>22.05</v>
      </c>
      <c r="E741" s="51">
        <v>5.6261574074074068E-2</v>
      </c>
      <c r="F741" s="51">
        <v>5.6261574074074068E-2</v>
      </c>
      <c r="G741" s="69">
        <f t="shared" si="303"/>
        <v>5.6261574074074068E-2</v>
      </c>
      <c r="H741" s="52"/>
      <c r="I741" s="12">
        <f t="shared" si="304"/>
        <v>2.551545309481817E-3</v>
      </c>
      <c r="J741" s="37">
        <f t="shared" si="305"/>
        <v>5</v>
      </c>
      <c r="K741" s="37">
        <f>IF(J741=0,0,IF(B741="F",VLOOKUP(I741,Barem!$G$2:$H$16,2,1),VLOOKUP(I741,Barem!$G$17:$H$31,2,1)))</f>
        <v>5</v>
      </c>
      <c r="L741" s="50">
        <v>4</v>
      </c>
      <c r="M741" s="124" t="s">
        <v>207</v>
      </c>
      <c r="N741" s="10">
        <f t="shared" si="309"/>
        <v>0.25</v>
      </c>
      <c r="O741" s="10">
        <f t="shared" si="309"/>
        <v>0.25</v>
      </c>
      <c r="P741" s="10">
        <f t="shared" si="309"/>
        <v>0.5</v>
      </c>
      <c r="Q741" s="40">
        <f t="shared" si="306"/>
        <v>0</v>
      </c>
      <c r="R741" s="21">
        <f>IF(D741&gt;21,VLOOKUP(D741,Barem!$T$1:$U$141,2,1),0)</f>
        <v>0</v>
      </c>
      <c r="S741" s="152">
        <f>IF(D741&lt;1.609,0,IF(B741="F",VLOOKUP(I741,Barem!$X$2:$Z$13,2,1),VLOOKUP(I741,Barem!$X$14:$Z$25,2,1)))</f>
        <v>2.25</v>
      </c>
      <c r="T741" s="21">
        <f>VLOOKUP(A741,Participanti!A:C,3,0)</f>
        <v>0</v>
      </c>
      <c r="U741" s="18">
        <f t="shared" si="307"/>
        <v>6.75</v>
      </c>
      <c r="V741" s="58" t="s">
        <v>481</v>
      </c>
      <c r="W741" s="77">
        <f t="shared" si="295"/>
        <v>1</v>
      </c>
      <c r="X741" s="1" t="str">
        <f>VLOOKUP(A741,Data_Echipe!A:R,18,0)</f>
        <v>#notSYRious</v>
      </c>
      <c r="Z741" s="115">
        <f t="shared" si="308"/>
        <v>1</v>
      </c>
    </row>
    <row r="742" spans="1:26" x14ac:dyDescent="0.3">
      <c r="A742" s="49" t="s">
        <v>431</v>
      </c>
      <c r="B742" s="1" t="str">
        <f>VLOOKUP(A742,Participanti!A:B,2,0)</f>
        <v>F</v>
      </c>
      <c r="C742" s="74">
        <v>9</v>
      </c>
      <c r="D742" s="50">
        <v>8.02</v>
      </c>
      <c r="E742" s="51">
        <v>3.6736111111111108E-2</v>
      </c>
      <c r="F742" s="51">
        <v>3.681712962962963E-2</v>
      </c>
      <c r="G742" s="69">
        <f t="shared" si="303"/>
        <v>3.6776620370370369E-2</v>
      </c>
      <c r="H742" s="52"/>
      <c r="I742" s="12">
        <f t="shared" si="304"/>
        <v>4.5856135125150093E-3</v>
      </c>
      <c r="J742" s="37">
        <f t="shared" si="305"/>
        <v>2.0049999999999999</v>
      </c>
      <c r="K742" s="37">
        <f>IF(J742=0,0,IF(B742="F",VLOOKUP(I742,Barem!$G$2:$H$16,2,1),VLOOKUP(I742,Barem!$G$17:$H$31,2,1)))</f>
        <v>1.25</v>
      </c>
      <c r="L742" s="50">
        <v>2.75</v>
      </c>
      <c r="M742" s="124" t="s">
        <v>207</v>
      </c>
      <c r="N742" s="10">
        <f t="shared" si="309"/>
        <v>0.25</v>
      </c>
      <c r="O742" s="10">
        <f t="shared" si="309"/>
        <v>0.25</v>
      </c>
      <c r="P742" s="10">
        <f t="shared" si="309"/>
        <v>0.5</v>
      </c>
      <c r="Q742" s="40">
        <f t="shared" si="306"/>
        <v>0</v>
      </c>
      <c r="R742" s="21">
        <f>IF(D742&gt;21,VLOOKUP(D742,Barem!$T$1:$U$141,2,1),0)</f>
        <v>0</v>
      </c>
      <c r="S742" s="152">
        <f>IF(D742&lt;1.609,0,IF(B742="F",VLOOKUP(I742,Barem!$X$2:$Z$13,2,1),VLOOKUP(I742,Barem!$X$14:$Z$25,2,1)))</f>
        <v>0</v>
      </c>
      <c r="T742" s="21">
        <f>VLOOKUP(A742,Participanti!A:C,3,0)</f>
        <v>0.4</v>
      </c>
      <c r="U742" s="18">
        <f t="shared" si="307"/>
        <v>2.5887499999999997</v>
      </c>
      <c r="V742" s="58" t="s">
        <v>481</v>
      </c>
      <c r="W742" s="77">
        <f t="shared" si="295"/>
        <v>1</v>
      </c>
      <c r="X742" s="1" t="e">
        <f>VLOOKUP(A742,Data_Echipe!A:R,18,0)</f>
        <v>#N/A</v>
      </c>
      <c r="Z742" s="115">
        <f t="shared" si="308"/>
        <v>1</v>
      </c>
    </row>
    <row r="743" spans="1:26" x14ac:dyDescent="0.3">
      <c r="A743" s="49" t="s">
        <v>300</v>
      </c>
      <c r="B743" s="1" t="str">
        <f>VLOOKUP(A743,Participanti!A:B,2,0)</f>
        <v>M</v>
      </c>
      <c r="C743" s="74">
        <v>9</v>
      </c>
      <c r="D743" s="50">
        <v>13.42</v>
      </c>
      <c r="E743" s="51">
        <v>6.548611111111112E-2</v>
      </c>
      <c r="F743" s="51">
        <v>8.6180555555555552E-2</v>
      </c>
      <c r="G743" s="69">
        <f t="shared" si="303"/>
        <v>7.5833333333333336E-2</v>
      </c>
      <c r="H743" s="52">
        <v>548</v>
      </c>
      <c r="I743" s="12">
        <f t="shared" si="304"/>
        <v>5.65076999503229E-3</v>
      </c>
      <c r="J743" s="37">
        <f t="shared" si="305"/>
        <v>3.195238095238095</v>
      </c>
      <c r="K743" s="37">
        <f>IF(J743=0,0,IF(B743="F",VLOOKUP(I743,Barem!$G$2:$H$16,2,1),VLOOKUP(I743,Barem!$G$17:$H$31,2,1)))</f>
        <v>0</v>
      </c>
      <c r="L743" s="50">
        <v>2.5</v>
      </c>
      <c r="M743" s="124" t="s">
        <v>207</v>
      </c>
      <c r="N743" s="10">
        <f t="shared" si="309"/>
        <v>0.25</v>
      </c>
      <c r="O743" s="10">
        <f t="shared" si="309"/>
        <v>0.25</v>
      </c>
      <c r="P743" s="10">
        <f t="shared" si="309"/>
        <v>0.5</v>
      </c>
      <c r="Q743" s="40">
        <f t="shared" si="306"/>
        <v>0.36533333333333334</v>
      </c>
      <c r="R743" s="21">
        <f>IF(D743&gt;21,VLOOKUP(D743,Barem!$T$1:$U$141,2,1),0)</f>
        <v>0</v>
      </c>
      <c r="S743" s="152">
        <f>IF(D743&lt;1.609,0,IF(B743="F",VLOOKUP(I743,Barem!$X$2:$Z$13,2,1),VLOOKUP(I743,Barem!$X$14:$Z$25,2,1)))</f>
        <v>0</v>
      </c>
      <c r="T743" s="21">
        <f>VLOOKUP(A743,Participanti!A:C,3,0)</f>
        <v>0</v>
      </c>
      <c r="U743" s="18">
        <f t="shared" si="307"/>
        <v>2.4141428571428571</v>
      </c>
      <c r="V743" s="58" t="s">
        <v>481</v>
      </c>
      <c r="W743" s="77">
        <f t="shared" si="295"/>
        <v>1</v>
      </c>
      <c r="X743" s="1" t="str">
        <f>VLOOKUP(A743,Data_Echipe!A:R,18,0)</f>
        <v>#notSYRious</v>
      </c>
      <c r="Z743" s="115">
        <f t="shared" si="308"/>
        <v>0</v>
      </c>
    </row>
    <row r="744" spans="1:26" x14ac:dyDescent="0.3">
      <c r="A744" s="49" t="s">
        <v>225</v>
      </c>
      <c r="B744" s="1" t="str">
        <f>VLOOKUP(A744,Participanti!A:B,2,0)</f>
        <v>F</v>
      </c>
      <c r="C744" s="74">
        <v>9</v>
      </c>
      <c r="D744" s="50">
        <v>15.82</v>
      </c>
      <c r="E744" s="51">
        <v>5.6840277777777781E-2</v>
      </c>
      <c r="F744" s="51">
        <v>5.8645833333333335E-2</v>
      </c>
      <c r="G744" s="69">
        <f t="shared" si="303"/>
        <v>5.7743055555555561E-2</v>
      </c>
      <c r="H744" s="52">
        <v>64</v>
      </c>
      <c r="I744" s="12">
        <f t="shared" si="304"/>
        <v>3.6500035117291757E-3</v>
      </c>
      <c r="J744" s="37">
        <f t="shared" si="305"/>
        <v>3.9550000000000001</v>
      </c>
      <c r="K744" s="37">
        <f>IF(J744=0,0,IF(B744="F",VLOOKUP(I744,Barem!$G$2:$H$16,2,1),VLOOKUP(I744,Barem!$G$17:$H$31,2,1)))</f>
        <v>3.5</v>
      </c>
      <c r="L744" s="50">
        <v>4</v>
      </c>
      <c r="M744" s="124" t="s">
        <v>107</v>
      </c>
      <c r="N744" s="10">
        <f t="shared" si="309"/>
        <v>0.25</v>
      </c>
      <c r="O744" s="10">
        <f t="shared" si="309"/>
        <v>0.5</v>
      </c>
      <c r="P744" s="10">
        <f t="shared" si="309"/>
        <v>0.25</v>
      </c>
      <c r="Q744" s="40">
        <f t="shared" si="306"/>
        <v>4.2666666666666665E-2</v>
      </c>
      <c r="R744" s="21">
        <f>IF(D744&gt;21,VLOOKUP(D744,Barem!$T$1:$U$141,2,1),0)</f>
        <v>0</v>
      </c>
      <c r="S744" s="152">
        <f>IF(D744&lt;1.609,0,IF(B744="F",VLOOKUP(I744,Barem!$X$2:$Z$13,2,1),VLOOKUP(I744,Barem!$X$14:$Z$25,2,1)))</f>
        <v>0</v>
      </c>
      <c r="T744" s="21">
        <f>VLOOKUP(A744,Participanti!A:C,3,0)</f>
        <v>0</v>
      </c>
      <c r="U744" s="18">
        <f t="shared" si="307"/>
        <v>3.7814166666666669</v>
      </c>
      <c r="V744" s="58" t="s">
        <v>481</v>
      </c>
      <c r="W744" s="77">
        <f t="shared" si="295"/>
        <v>1</v>
      </c>
      <c r="X744" s="1" t="str">
        <f>VLOOKUP(A744,Data_Echipe!A:R,18,0)</f>
        <v>The GOATs</v>
      </c>
      <c r="Z744" s="115">
        <f t="shared" si="308"/>
        <v>1</v>
      </c>
    </row>
    <row r="745" spans="1:26" x14ac:dyDescent="0.3">
      <c r="A745" s="49" t="s">
        <v>48</v>
      </c>
      <c r="B745" s="1" t="str">
        <f>VLOOKUP(A745,Participanti!A:B,2,0)</f>
        <v>M</v>
      </c>
      <c r="C745" s="74">
        <v>9</v>
      </c>
      <c r="D745" s="50">
        <v>10.07</v>
      </c>
      <c r="E745" s="51">
        <v>4.1423611111111112E-2</v>
      </c>
      <c r="F745" s="51">
        <v>4.9791666666666672E-2</v>
      </c>
      <c r="G745" s="69">
        <f t="shared" si="303"/>
        <v>4.5607638888888892E-2</v>
      </c>
      <c r="H745" s="52">
        <v>170</v>
      </c>
      <c r="I745" s="12">
        <f t="shared" si="304"/>
        <v>4.5290604656294826E-3</v>
      </c>
      <c r="J745" s="37">
        <f t="shared" si="305"/>
        <v>2.3976190476190475</v>
      </c>
      <c r="K745" s="37">
        <f>IF(J745=0,0,IF(B745="F",VLOOKUP(I745,Barem!$G$2:$H$16,2,1),VLOOKUP(I745,Barem!$G$17:$H$31,2,1)))</f>
        <v>0.75</v>
      </c>
      <c r="L745" s="50">
        <v>3.25</v>
      </c>
      <c r="M745" s="124" t="s">
        <v>207</v>
      </c>
      <c r="N745" s="10">
        <f t="shared" si="309"/>
        <v>0.25</v>
      </c>
      <c r="O745" s="10">
        <f t="shared" si="309"/>
        <v>0.25</v>
      </c>
      <c r="P745" s="10">
        <f t="shared" si="309"/>
        <v>0.5</v>
      </c>
      <c r="Q745" s="40">
        <f t="shared" si="306"/>
        <v>0.11333333333333333</v>
      </c>
      <c r="R745" s="21">
        <f>IF(D745&gt;21,VLOOKUP(D745,Barem!$T$1:$U$141,2,1),0)</f>
        <v>0</v>
      </c>
      <c r="S745" s="152">
        <f>IF(D745&lt;1.609,0,IF(B745="F",VLOOKUP(I745,Barem!$X$2:$Z$13,2,1),VLOOKUP(I745,Barem!$X$14:$Z$25,2,1)))</f>
        <v>0</v>
      </c>
      <c r="T745" s="21">
        <f>VLOOKUP(A745,Participanti!A:C,3,0)</f>
        <v>0.4</v>
      </c>
      <c r="U745" s="18">
        <f t="shared" si="307"/>
        <v>2.925238095238095</v>
      </c>
      <c r="V745" s="58" t="s">
        <v>481</v>
      </c>
      <c r="W745" s="77">
        <f t="shared" si="295"/>
        <v>1</v>
      </c>
      <c r="X745" s="1" t="str">
        <f>VLOOKUP(A745,Data_Echipe!A:R,18,0)</f>
        <v>#notSYRious</v>
      </c>
      <c r="Z745" s="115">
        <f t="shared" si="308"/>
        <v>1</v>
      </c>
    </row>
    <row r="746" spans="1:26" x14ac:dyDescent="0.3">
      <c r="A746" s="49" t="s">
        <v>177</v>
      </c>
      <c r="B746" s="1" t="str">
        <f>VLOOKUP(A746,Participanti!A:B,2,0)</f>
        <v>F</v>
      </c>
      <c r="C746" s="74">
        <v>9</v>
      </c>
      <c r="D746" s="50">
        <v>12.22</v>
      </c>
      <c r="E746" s="51">
        <v>5.4976851851851853E-2</v>
      </c>
      <c r="F746" s="51">
        <v>7.8738425925925934E-2</v>
      </c>
      <c r="G746" s="69">
        <f t="shared" si="303"/>
        <v>6.685763888888889E-2</v>
      </c>
      <c r="H746" s="52"/>
      <c r="I746" s="12">
        <f t="shared" si="304"/>
        <v>5.4711652118567006E-3</v>
      </c>
      <c r="J746" s="37">
        <f t="shared" si="305"/>
        <v>3.0550000000000002</v>
      </c>
      <c r="K746" s="37">
        <f>IF(J746=0,0,IF(B746="F",VLOOKUP(I746,Barem!$G$2:$H$16,2,1),VLOOKUP(I746,Barem!$G$17:$H$31,2,1)))</f>
        <v>0.25</v>
      </c>
      <c r="L746" s="50">
        <v>3</v>
      </c>
      <c r="M746" s="124" t="s">
        <v>207</v>
      </c>
      <c r="N746" s="10">
        <f t="shared" si="309"/>
        <v>0.25</v>
      </c>
      <c r="O746" s="10">
        <f t="shared" si="309"/>
        <v>0.25</v>
      </c>
      <c r="P746" s="10">
        <f t="shared" si="309"/>
        <v>0.5</v>
      </c>
      <c r="Q746" s="40">
        <f t="shared" si="306"/>
        <v>0</v>
      </c>
      <c r="R746" s="21">
        <f>IF(D746&gt;21,VLOOKUP(D746,Barem!$T$1:$U$141,2,1),0)</f>
        <v>0</v>
      </c>
      <c r="S746" s="152">
        <f>IF(D746&lt;1.609,0,IF(B746="F",VLOOKUP(I746,Barem!$X$2:$Z$13,2,1),VLOOKUP(I746,Barem!$X$14:$Z$25,2,1)))</f>
        <v>0</v>
      </c>
      <c r="T746" s="21">
        <f>VLOOKUP(A746,Participanti!A:C,3,0)</f>
        <v>0</v>
      </c>
      <c r="U746" s="18">
        <f t="shared" si="307"/>
        <v>2.3262499999999999</v>
      </c>
      <c r="V746" s="58" t="s">
        <v>481</v>
      </c>
      <c r="W746" s="77">
        <f t="shared" si="295"/>
        <v>1</v>
      </c>
      <c r="X746" s="1" t="str">
        <f>VLOOKUP(A746,Data_Echipe!A:R,18,0)</f>
        <v>UltraHaita lu' Borcan</v>
      </c>
      <c r="Z746" s="115">
        <f t="shared" si="308"/>
        <v>1</v>
      </c>
    </row>
    <row r="747" spans="1:26" x14ac:dyDescent="0.3">
      <c r="A747" s="49" t="s">
        <v>136</v>
      </c>
      <c r="B747" s="1" t="str">
        <f>VLOOKUP(A747,Participanti!A:B,2,0)</f>
        <v>F</v>
      </c>
      <c r="C747" s="74">
        <v>9</v>
      </c>
      <c r="D747" s="50">
        <v>25.16</v>
      </c>
      <c r="E747" s="51">
        <v>0.11343750000000001</v>
      </c>
      <c r="F747" s="51">
        <v>0.11528935185185185</v>
      </c>
      <c r="G747" s="69">
        <f t="shared" si="303"/>
        <v>0.11436342592592594</v>
      </c>
      <c r="H747" s="52">
        <v>253</v>
      </c>
      <c r="I747" s="12">
        <f t="shared" si="304"/>
        <v>4.545446181475594E-3</v>
      </c>
      <c r="J747" s="37">
        <f t="shared" si="305"/>
        <v>5</v>
      </c>
      <c r="K747" s="37">
        <f>IF(J747=0,0,IF(B747="F",VLOOKUP(I747,Barem!$G$2:$H$16,2,1),VLOOKUP(I747,Barem!$G$17:$H$31,2,1)))</f>
        <v>1.25</v>
      </c>
      <c r="L747" s="50">
        <v>3.25</v>
      </c>
      <c r="M747" s="124" t="s">
        <v>207</v>
      </c>
      <c r="N747" s="10">
        <f t="shared" si="309"/>
        <v>0.25</v>
      </c>
      <c r="O747" s="10">
        <f t="shared" si="309"/>
        <v>0.25</v>
      </c>
      <c r="P747" s="10">
        <f t="shared" si="309"/>
        <v>0.5</v>
      </c>
      <c r="Q747" s="40">
        <f t="shared" si="306"/>
        <v>0.16866666666666666</v>
      </c>
      <c r="R747" s="21">
        <f>IF(D747&gt;21,VLOOKUP(D747,Barem!$T$1:$U$141,2,1),0)</f>
        <v>0.2</v>
      </c>
      <c r="S747" s="152">
        <f>IF(D747&lt;1.609,0,IF(B747="F",VLOOKUP(I747,Barem!$X$2:$Z$13,2,1),VLOOKUP(I747,Barem!$X$14:$Z$25,2,1)))</f>
        <v>0</v>
      </c>
      <c r="T747" s="21">
        <f>VLOOKUP(A747,Participanti!A:C,3,0)</f>
        <v>0</v>
      </c>
      <c r="U747" s="18">
        <f t="shared" si="307"/>
        <v>3.5561666666666669</v>
      </c>
      <c r="V747" s="58" t="s">
        <v>481</v>
      </c>
      <c r="W747" s="77">
        <f t="shared" si="295"/>
        <v>1</v>
      </c>
      <c r="X747" s="1" t="e">
        <f>VLOOKUP(A747,Data_Echipe!A:R,18,0)</f>
        <v>#N/A</v>
      </c>
      <c r="Z747" s="115">
        <f t="shared" si="308"/>
        <v>1</v>
      </c>
    </row>
    <row r="748" spans="1:26" x14ac:dyDescent="0.3">
      <c r="A748" s="49" t="s">
        <v>346</v>
      </c>
      <c r="B748" s="1" t="str">
        <f>VLOOKUP(A748,Participanti!A:B,2,0)</f>
        <v>M</v>
      </c>
      <c r="C748" s="74">
        <v>9</v>
      </c>
      <c r="D748" s="50">
        <v>10</v>
      </c>
      <c r="E748" s="51">
        <v>2.8958333333333336E-2</v>
      </c>
      <c r="F748" s="51">
        <v>2.9317129629629634E-2</v>
      </c>
      <c r="G748" s="69">
        <f t="shared" si="303"/>
        <v>2.9137731481481487E-2</v>
      </c>
      <c r="H748" s="52">
        <v>58</v>
      </c>
      <c r="I748" s="12">
        <f t="shared" si="304"/>
        <v>2.9137731481481488E-3</v>
      </c>
      <c r="J748" s="37">
        <f t="shared" si="305"/>
        <v>2.3809523809523809</v>
      </c>
      <c r="K748" s="37">
        <f>IF(J748=0,0,IF(B748="F",VLOOKUP(I748,Barem!$G$2:$H$16,2,1),VLOOKUP(I748,Barem!$G$17:$H$31,2,1)))</f>
        <v>4.5</v>
      </c>
      <c r="L748" s="50">
        <v>2.5</v>
      </c>
      <c r="M748" s="124" t="s">
        <v>107</v>
      </c>
      <c r="N748" s="10">
        <f t="shared" si="309"/>
        <v>0.25</v>
      </c>
      <c r="O748" s="10">
        <f t="shared" si="309"/>
        <v>0.5</v>
      </c>
      <c r="P748" s="10">
        <f t="shared" si="309"/>
        <v>0.25</v>
      </c>
      <c r="Q748" s="40">
        <f t="shared" si="306"/>
        <v>3.8666666666666669E-2</v>
      </c>
      <c r="R748" s="21">
        <f>IF(D748&gt;21,VLOOKUP(D748,Barem!$T$1:$U$141,2,1),0)</f>
        <v>0</v>
      </c>
      <c r="S748" s="152">
        <f>IF(D748&lt;1.609,0,IF(B748="F",VLOOKUP(I748,Barem!$X$2:$Z$13,2,1),VLOOKUP(I748,Barem!$X$14:$Z$25,2,1)))</f>
        <v>0</v>
      </c>
      <c r="T748" s="21">
        <f>VLOOKUP(A748,Participanti!A:C,3,0)</f>
        <v>0</v>
      </c>
      <c r="U748" s="18">
        <f t="shared" si="307"/>
        <v>3.5089047619047622</v>
      </c>
      <c r="V748" s="58" t="s">
        <v>481</v>
      </c>
      <c r="W748" s="77">
        <f t="shared" si="295"/>
        <v>1</v>
      </c>
      <c r="X748" s="1" t="str">
        <f>VLOOKUP(A748,Data_Echipe!A:R,18,0)</f>
        <v>UltraHaita lu' Borcan</v>
      </c>
      <c r="Z748" s="115">
        <f t="shared" si="308"/>
        <v>1</v>
      </c>
    </row>
    <row r="749" spans="1:26" x14ac:dyDescent="0.3">
      <c r="A749" s="49" t="s">
        <v>64</v>
      </c>
      <c r="B749" s="1" t="str">
        <f>VLOOKUP(A749,Participanti!A:B,2,0)</f>
        <v>F</v>
      </c>
      <c r="C749" s="74">
        <v>9</v>
      </c>
      <c r="D749" s="50">
        <v>8.25</v>
      </c>
      <c r="E749" s="51">
        <v>4.1944444444444444E-2</v>
      </c>
      <c r="F749" s="51">
        <v>5.5740740740740737E-2</v>
      </c>
      <c r="G749" s="69">
        <f t="shared" si="303"/>
        <v>4.884259259259259E-2</v>
      </c>
      <c r="H749" s="52"/>
      <c r="I749" s="12">
        <f t="shared" si="304"/>
        <v>5.9203142536475867E-3</v>
      </c>
      <c r="J749" s="37">
        <f t="shared" si="305"/>
        <v>2.0625</v>
      </c>
      <c r="K749" s="37">
        <f>IF(J749=0,0,IF(B749="F",VLOOKUP(I749,Barem!$G$2:$H$16,2,1),VLOOKUP(I749,Barem!$G$17:$H$31,2,1)))</f>
        <v>0.25</v>
      </c>
      <c r="L749" s="50">
        <v>2.25</v>
      </c>
      <c r="M749" s="124" t="s">
        <v>207</v>
      </c>
      <c r="N749" s="10">
        <f t="shared" si="309"/>
        <v>0.25</v>
      </c>
      <c r="O749" s="10">
        <f t="shared" si="309"/>
        <v>0.25</v>
      </c>
      <c r="P749" s="10">
        <f t="shared" si="309"/>
        <v>0.5</v>
      </c>
      <c r="Q749" s="40">
        <f t="shared" si="306"/>
        <v>0</v>
      </c>
      <c r="R749" s="21">
        <f>IF(D749&gt;21,VLOOKUP(D749,Barem!$T$1:$U$141,2,1),0)</f>
        <v>0</v>
      </c>
      <c r="S749" s="152">
        <f>IF(D749&lt;1.609,0,IF(B749="F",VLOOKUP(I749,Barem!$X$2:$Z$13,2,1),VLOOKUP(I749,Barem!$X$14:$Z$25,2,1)))</f>
        <v>0</v>
      </c>
      <c r="T749" s="21">
        <f>VLOOKUP(A749,Participanti!A:C,3,0)</f>
        <v>0.7</v>
      </c>
      <c r="U749" s="18">
        <f t="shared" si="307"/>
        <v>2.4031250000000002</v>
      </c>
      <c r="V749" s="58" t="s">
        <v>481</v>
      </c>
      <c r="W749" s="77">
        <f t="shared" si="295"/>
        <v>1</v>
      </c>
      <c r="X749" s="1" t="str">
        <f>VLOOKUP(A749,Data_Echipe!A:R,18,0)</f>
        <v>UltraHaita lu' Borcan</v>
      </c>
      <c r="Z749" s="115">
        <f t="shared" si="308"/>
        <v>1</v>
      </c>
    </row>
    <row r="750" spans="1:26" x14ac:dyDescent="0.3">
      <c r="A750" s="49" t="s">
        <v>396</v>
      </c>
      <c r="B750" s="1" t="str">
        <f>VLOOKUP(A750,Participanti!A:B,2,0)</f>
        <v>F</v>
      </c>
      <c r="C750" s="74">
        <v>9</v>
      </c>
      <c r="D750" s="50">
        <v>10.34</v>
      </c>
      <c r="E750" s="51">
        <v>5.0983796296296291E-2</v>
      </c>
      <c r="F750" s="51">
        <v>5.3912037037037036E-2</v>
      </c>
      <c r="G750" s="69">
        <f t="shared" si="303"/>
        <v>5.2447916666666664E-2</v>
      </c>
      <c r="H750" s="52"/>
      <c r="I750" s="12">
        <f t="shared" si="304"/>
        <v>5.0723323662153451E-3</v>
      </c>
      <c r="J750" s="37">
        <f t="shared" si="305"/>
        <v>2.585</v>
      </c>
      <c r="K750" s="37">
        <f>IF(J750=0,0,IF(B750="F",VLOOKUP(I750,Barem!$G$2:$H$16,2,1),VLOOKUP(I750,Barem!$G$17:$H$31,2,1)))</f>
        <v>0.5</v>
      </c>
      <c r="L750" s="50">
        <v>3.25</v>
      </c>
      <c r="M750" s="124" t="s">
        <v>207</v>
      </c>
      <c r="N750" s="10">
        <f t="shared" si="309"/>
        <v>0.25</v>
      </c>
      <c r="O750" s="10">
        <f t="shared" si="309"/>
        <v>0.25</v>
      </c>
      <c r="P750" s="10">
        <f t="shared" si="309"/>
        <v>0.5</v>
      </c>
      <c r="Q750" s="40">
        <f t="shared" si="306"/>
        <v>0</v>
      </c>
      <c r="R750" s="21">
        <f>IF(D750&gt;21,VLOOKUP(D750,Barem!$T$1:$U$141,2,1),0)</f>
        <v>0</v>
      </c>
      <c r="S750" s="152">
        <f>IF(D750&lt;1.609,0,IF(B750="F",VLOOKUP(I750,Barem!$X$2:$Z$13,2,1),VLOOKUP(I750,Barem!$X$14:$Z$25,2,1)))</f>
        <v>0</v>
      </c>
      <c r="T750" s="21">
        <f>VLOOKUP(A750,Participanti!A:C,3,0)</f>
        <v>0</v>
      </c>
      <c r="U750" s="18">
        <f t="shared" si="307"/>
        <v>2.3962500000000002</v>
      </c>
      <c r="V750" s="58" t="s">
        <v>481</v>
      </c>
      <c r="W750" s="77">
        <f t="shared" si="295"/>
        <v>1</v>
      </c>
      <c r="X750" s="1" t="str">
        <f>VLOOKUP(A750,Data_Echipe!A:R,18,0)</f>
        <v>MedgidiaRunning</v>
      </c>
      <c r="Z750" s="115">
        <f t="shared" si="308"/>
        <v>1</v>
      </c>
    </row>
    <row r="751" spans="1:26" x14ac:dyDescent="0.3">
      <c r="A751" s="49" t="s">
        <v>361</v>
      </c>
      <c r="B751" s="1" t="str">
        <f>VLOOKUP(A751,Participanti!A:B,2,0)</f>
        <v>M</v>
      </c>
      <c r="C751" s="74">
        <v>9</v>
      </c>
      <c r="D751" s="50">
        <v>56</v>
      </c>
      <c r="E751" s="51">
        <v>0.21791666666666668</v>
      </c>
      <c r="F751" s="51">
        <v>0.22664351851851852</v>
      </c>
      <c r="G751" s="69">
        <f t="shared" si="303"/>
        <v>0.2222800925925926</v>
      </c>
      <c r="H751" s="52">
        <v>506</v>
      </c>
      <c r="I751" s="12">
        <f t="shared" si="304"/>
        <v>3.9692873677248681E-3</v>
      </c>
      <c r="J751" s="37">
        <f t="shared" si="305"/>
        <v>5</v>
      </c>
      <c r="K751" s="37">
        <f>IF(J751=0,0,IF(B751="F",VLOOKUP(I751,Barem!$G$2:$H$16,2,1),VLOOKUP(I751,Barem!$G$17:$H$31,2,1)))</f>
        <v>1.75</v>
      </c>
      <c r="L751" s="50">
        <v>2.5</v>
      </c>
      <c r="M751" s="124" t="s">
        <v>207</v>
      </c>
      <c r="N751" s="10">
        <f t="shared" si="309"/>
        <v>0.25</v>
      </c>
      <c r="O751" s="10">
        <f t="shared" si="309"/>
        <v>0.25</v>
      </c>
      <c r="P751" s="10">
        <f t="shared" si="309"/>
        <v>0.5</v>
      </c>
      <c r="Q751" s="40">
        <f t="shared" si="306"/>
        <v>0.33733333333333332</v>
      </c>
      <c r="R751" s="21">
        <f>IF(D751&gt;21,VLOOKUP(D751,Barem!$T$1:$U$141,2,1),0)</f>
        <v>1.7</v>
      </c>
      <c r="S751" s="152">
        <f>IF(D751&lt;1.609,0,IF(B751="F",VLOOKUP(I751,Barem!$X$2:$Z$13,2,1),VLOOKUP(I751,Barem!$X$14:$Z$25,2,1)))</f>
        <v>0</v>
      </c>
      <c r="T751" s="21">
        <f>VLOOKUP(A751,Participanti!A:C,3,0)</f>
        <v>0</v>
      </c>
      <c r="U751" s="18">
        <f t="shared" si="307"/>
        <v>4.9748333333333337</v>
      </c>
      <c r="V751" s="58" t="s">
        <v>481</v>
      </c>
      <c r="W751" s="77">
        <f t="shared" si="295"/>
        <v>1</v>
      </c>
      <c r="X751" s="1" t="str">
        <f>VLOOKUP(A751,Data_Echipe!A:R,18,0)</f>
        <v>UltraHaita lu' Borcan</v>
      </c>
      <c r="Z751" s="115">
        <f t="shared" si="308"/>
        <v>1</v>
      </c>
    </row>
    <row r="752" spans="1:26" x14ac:dyDescent="0.3">
      <c r="A752" s="49" t="s">
        <v>369</v>
      </c>
      <c r="B752" s="1" t="str">
        <f>VLOOKUP(A752,Participanti!A:B,2,0)</f>
        <v>M</v>
      </c>
      <c r="C752" s="74">
        <v>9</v>
      </c>
      <c r="D752" s="50">
        <v>9.67</v>
      </c>
      <c r="E752" s="51">
        <v>4.1666666666666664E-2</v>
      </c>
      <c r="F752" s="51">
        <v>4.1666666666666664E-2</v>
      </c>
      <c r="G752" s="69">
        <f t="shared" si="303"/>
        <v>4.1666666666666664E-2</v>
      </c>
      <c r="H752" s="52"/>
      <c r="I752" s="12">
        <f t="shared" si="304"/>
        <v>4.3088590141330575E-3</v>
      </c>
      <c r="J752" s="37">
        <f t="shared" si="305"/>
        <v>2.3023809523809522</v>
      </c>
      <c r="K752" s="37">
        <f>IF(J752=0,0,IF(B752="F",VLOOKUP(I752,Barem!$G$2:$H$16,2,1),VLOOKUP(I752,Barem!$G$17:$H$31,2,1)))</f>
        <v>1.25</v>
      </c>
      <c r="L752" s="50">
        <v>3</v>
      </c>
      <c r="M752" s="124" t="s">
        <v>107</v>
      </c>
      <c r="N752" s="10">
        <f t="shared" si="309"/>
        <v>0.25</v>
      </c>
      <c r="O752" s="10">
        <f t="shared" si="309"/>
        <v>0.5</v>
      </c>
      <c r="P752" s="10">
        <f t="shared" si="309"/>
        <v>0.25</v>
      </c>
      <c r="Q752" s="40">
        <f t="shared" si="306"/>
        <v>0</v>
      </c>
      <c r="R752" s="21">
        <f>IF(D752&gt;21,VLOOKUP(D752,Barem!$T$1:$U$141,2,1),0)</f>
        <v>0</v>
      </c>
      <c r="S752" s="152">
        <f>IF(D752&lt;1.609,0,IF(B752="F",VLOOKUP(I752,Barem!$X$2:$Z$13,2,1),VLOOKUP(I752,Barem!$X$14:$Z$25,2,1)))</f>
        <v>0</v>
      </c>
      <c r="T752" s="21">
        <f>VLOOKUP(A752,Participanti!A:C,3,0)</f>
        <v>0</v>
      </c>
      <c r="U752" s="18">
        <f t="shared" si="307"/>
        <v>1.950595238095238</v>
      </c>
      <c r="V752" s="58" t="s">
        <v>481</v>
      </c>
      <c r="W752" s="77">
        <f t="shared" si="295"/>
        <v>1</v>
      </c>
      <c r="X752" s="1" t="str">
        <f>VLOOKUP(A752,Data_Echipe!A:R,18,0)</f>
        <v>MedgidiaRunning</v>
      </c>
      <c r="Z752" s="115">
        <f t="shared" si="308"/>
        <v>1</v>
      </c>
    </row>
    <row r="753" spans="1:26" x14ac:dyDescent="0.3">
      <c r="A753" s="49" t="s">
        <v>362</v>
      </c>
      <c r="B753" s="1" t="str">
        <f>VLOOKUP(A753,Participanti!A:B,2,0)</f>
        <v>M</v>
      </c>
      <c r="C753" s="74">
        <v>9</v>
      </c>
      <c r="D753" s="50">
        <v>8.31</v>
      </c>
      <c r="E753" s="51">
        <v>6.2685185185185191E-2</v>
      </c>
      <c r="F753" s="51">
        <v>6.2731481481481485E-2</v>
      </c>
      <c r="G753" s="69">
        <f t="shared" si="303"/>
        <v>6.2708333333333338E-2</v>
      </c>
      <c r="H753" s="52">
        <v>825</v>
      </c>
      <c r="I753" s="12">
        <f t="shared" si="304"/>
        <v>7.5461291616526274E-3</v>
      </c>
      <c r="J753" s="37">
        <f t="shared" si="305"/>
        <v>1.9785714285714286</v>
      </c>
      <c r="K753" s="37">
        <f>IF(J753=0,0,IF(B753="F",VLOOKUP(I753,Barem!$G$2:$H$16,2,1),VLOOKUP(I753,Barem!$G$17:$H$31,2,1)))</f>
        <v>0</v>
      </c>
      <c r="L753" s="50">
        <v>1</v>
      </c>
      <c r="M753" s="124" t="s">
        <v>207</v>
      </c>
      <c r="N753" s="10">
        <f t="shared" si="309"/>
        <v>0.25</v>
      </c>
      <c r="O753" s="10">
        <f t="shared" si="309"/>
        <v>0.25</v>
      </c>
      <c r="P753" s="10">
        <f t="shared" si="309"/>
        <v>0.5</v>
      </c>
      <c r="Q753" s="40">
        <f t="shared" si="306"/>
        <v>0.55000000000000004</v>
      </c>
      <c r="R753" s="21">
        <f>IF(D753&gt;21,VLOOKUP(D753,Barem!$T$1:$U$141,2,1),0)</f>
        <v>0</v>
      </c>
      <c r="S753" s="152">
        <f>IF(D753&lt;1.609,0,IF(B753="F",VLOOKUP(I753,Barem!$X$2:$Z$13,2,1),VLOOKUP(I753,Barem!$X$14:$Z$25,2,1)))</f>
        <v>0</v>
      </c>
      <c r="T753" s="21">
        <f>VLOOKUP(A753,Participanti!A:C,3,0)</f>
        <v>0</v>
      </c>
      <c r="U753" s="18">
        <f t="shared" si="307"/>
        <v>1.5446428571428572</v>
      </c>
      <c r="V753" s="58" t="s">
        <v>482</v>
      </c>
      <c r="W753" s="77">
        <f t="shared" si="295"/>
        <v>1</v>
      </c>
      <c r="X753" s="1" t="e">
        <f>VLOOKUP(A753,Data_Echipe!A:R,18,0)</f>
        <v>#N/A</v>
      </c>
      <c r="Z753" s="115">
        <f t="shared" si="308"/>
        <v>0</v>
      </c>
    </row>
    <row r="754" spans="1:26" x14ac:dyDescent="0.3">
      <c r="A754" s="49" t="s">
        <v>403</v>
      </c>
      <c r="B754" s="1" t="str">
        <f>VLOOKUP(A754,Participanti!A:B,2,0)</f>
        <v>M</v>
      </c>
      <c r="C754" s="74">
        <v>9</v>
      </c>
      <c r="D754" s="50">
        <v>16.5</v>
      </c>
      <c r="E754" s="51">
        <v>0.10464120370370371</v>
      </c>
      <c r="F754" s="51">
        <v>0.10682870370370372</v>
      </c>
      <c r="G754" s="69">
        <f t="shared" si="303"/>
        <v>0.10573495370370371</v>
      </c>
      <c r="H754" s="52">
        <v>685</v>
      </c>
      <c r="I754" s="12">
        <f t="shared" si="304"/>
        <v>6.40817901234568E-3</v>
      </c>
      <c r="J754" s="37">
        <f t="shared" si="305"/>
        <v>3.9285714285714284</v>
      </c>
      <c r="K754" s="37">
        <f>IF(J754=0,0,IF(B754="F",VLOOKUP(I754,Barem!$G$2:$H$16,2,1),VLOOKUP(I754,Barem!$G$17:$H$31,2,1)))</f>
        <v>0</v>
      </c>
      <c r="L754" s="50">
        <v>2.75</v>
      </c>
      <c r="M754" s="124" t="s">
        <v>207</v>
      </c>
      <c r="N754" s="10">
        <f t="shared" si="309"/>
        <v>0.25</v>
      </c>
      <c r="O754" s="10">
        <f t="shared" si="309"/>
        <v>0.25</v>
      </c>
      <c r="P754" s="10">
        <f t="shared" si="309"/>
        <v>0.5</v>
      </c>
      <c r="Q754" s="40">
        <f t="shared" si="306"/>
        <v>0.45666666666666667</v>
      </c>
      <c r="R754" s="21">
        <f>IF(D754&gt;21,VLOOKUP(D754,Barem!$T$1:$U$141,2,1),0)</f>
        <v>0</v>
      </c>
      <c r="S754" s="152">
        <f>IF(D754&lt;1.609,0,IF(B754="F",VLOOKUP(I754,Barem!$X$2:$Z$13,2,1),VLOOKUP(I754,Barem!$X$14:$Z$25,2,1)))</f>
        <v>0</v>
      </c>
      <c r="T754" s="21">
        <f>VLOOKUP(A754,Participanti!A:C,3,0)</f>
        <v>0</v>
      </c>
      <c r="U754" s="18">
        <f t="shared" si="307"/>
        <v>2.8138095238095238</v>
      </c>
      <c r="V754" s="58" t="s">
        <v>482</v>
      </c>
      <c r="W754" s="77">
        <f t="shared" si="295"/>
        <v>1</v>
      </c>
      <c r="X754" s="1" t="str">
        <f>VLOOKUP(A754,Data_Echipe!A:R,18,0)</f>
        <v>The GOATs</v>
      </c>
      <c r="Z754" s="115">
        <f t="shared" si="308"/>
        <v>0</v>
      </c>
    </row>
    <row r="755" spans="1:26" x14ac:dyDescent="0.3">
      <c r="A755" s="49" t="s">
        <v>368</v>
      </c>
      <c r="B755" s="1" t="str">
        <f>VLOOKUP(A755,Participanti!A:B,2,0)</f>
        <v>M</v>
      </c>
      <c r="C755" s="74">
        <v>9</v>
      </c>
      <c r="D755" s="50">
        <v>10.77</v>
      </c>
      <c r="E755" s="51">
        <v>3.5266203703703702E-2</v>
      </c>
      <c r="F755" s="51">
        <v>3.5266203703703702E-2</v>
      </c>
      <c r="G755" s="69">
        <f t="shared" si="303"/>
        <v>3.5266203703703702E-2</v>
      </c>
      <c r="H755" s="52"/>
      <c r="I755" s="12">
        <f t="shared" si="304"/>
        <v>3.2744850235565184E-3</v>
      </c>
      <c r="J755" s="37">
        <f t="shared" si="305"/>
        <v>2.5642857142857141</v>
      </c>
      <c r="K755" s="37">
        <f>IF(J755=0,0,IF(B755="F",VLOOKUP(I755,Barem!$G$2:$H$16,2,1),VLOOKUP(I755,Barem!$G$17:$H$31,2,1)))</f>
        <v>3.5</v>
      </c>
      <c r="L755" s="50">
        <v>2.25</v>
      </c>
      <c r="M755" s="124" t="s">
        <v>207</v>
      </c>
      <c r="N755" s="10">
        <f t="shared" si="309"/>
        <v>0.25</v>
      </c>
      <c r="O755" s="10">
        <f t="shared" si="309"/>
        <v>0.25</v>
      </c>
      <c r="P755" s="10">
        <f t="shared" si="309"/>
        <v>0.5</v>
      </c>
      <c r="Q755" s="40">
        <f t="shared" si="306"/>
        <v>0</v>
      </c>
      <c r="R755" s="21">
        <f>IF(D755&gt;21,VLOOKUP(D755,Barem!$T$1:$U$141,2,1),0)</f>
        <v>0</v>
      </c>
      <c r="S755" s="152">
        <f>IF(D755&lt;1.609,0,IF(B755="F",VLOOKUP(I755,Barem!$X$2:$Z$13,2,1),VLOOKUP(I755,Barem!$X$14:$Z$25,2,1)))</f>
        <v>0</v>
      </c>
      <c r="T755" s="21">
        <f>VLOOKUP(A755,Participanti!A:C,3,0)</f>
        <v>0</v>
      </c>
      <c r="U755" s="18">
        <f t="shared" si="307"/>
        <v>2.6410714285714283</v>
      </c>
      <c r="V755" s="58" t="s">
        <v>482</v>
      </c>
      <c r="W755" s="77">
        <f t="shared" si="295"/>
        <v>1</v>
      </c>
      <c r="X755" s="1" t="str">
        <f>VLOOKUP(A755,Data_Echipe!A:R,18,0)</f>
        <v>Almost Kenyan Runners</v>
      </c>
      <c r="Z755" s="115">
        <f t="shared" si="308"/>
        <v>1</v>
      </c>
    </row>
    <row r="756" spans="1:26" x14ac:dyDescent="0.3">
      <c r="A756" s="49" t="s">
        <v>116</v>
      </c>
      <c r="B756" s="1" t="str">
        <f>VLOOKUP(A756,Participanti!A:B,2,0)</f>
        <v>F</v>
      </c>
      <c r="C756" s="74">
        <v>9</v>
      </c>
      <c r="D756" s="50">
        <v>5.5</v>
      </c>
      <c r="E756" s="51">
        <v>2.2928240740740739E-2</v>
      </c>
      <c r="F756" s="51">
        <v>2.327546296296296E-2</v>
      </c>
      <c r="G756" s="69">
        <f t="shared" ref="G756:G819" si="310">AVERAGE(E756:F756)</f>
        <v>2.3101851851851849E-2</v>
      </c>
      <c r="H756" s="52"/>
      <c r="I756" s="12">
        <f t="shared" ref="I756:I819" si="311">G756/D756</f>
        <v>4.2003367003366999E-3</v>
      </c>
      <c r="J756" s="37">
        <f t="shared" ref="J756:J819" si="312">IF(B756="F",IF(D756&lt;2.5,0,IF(D756&gt;19.99,5,D756/4)),IF(D756&lt;3,0, IF(D756&gt;20.99,5,D756/4.2)))</f>
        <v>1.375</v>
      </c>
      <c r="K756" s="37">
        <f>IF(J756=0,0,IF(B756="F",VLOOKUP(I756,Barem!$G$2:$H$16,2,1),VLOOKUP(I756,Barem!$G$17:$H$31,2,1)))</f>
        <v>1.75</v>
      </c>
      <c r="L756" s="50">
        <v>3.5</v>
      </c>
      <c r="M756" s="124" t="s">
        <v>207</v>
      </c>
      <c r="N756" s="10">
        <f t="shared" si="309"/>
        <v>0.25</v>
      </c>
      <c r="O756" s="10">
        <f t="shared" si="309"/>
        <v>0.25</v>
      </c>
      <c r="P756" s="10">
        <f t="shared" si="309"/>
        <v>0.5</v>
      </c>
      <c r="Q756" s="40">
        <f t="shared" ref="Q756:Q819" si="313">IF(H756&gt;49,H756/1500,0)</f>
        <v>0</v>
      </c>
      <c r="R756" s="21">
        <f>IF(D756&gt;21,VLOOKUP(D756,Barem!$T$1:$U$141,2,1),0)</f>
        <v>0</v>
      </c>
      <c r="S756" s="152">
        <f>IF(D756&lt;1.609,0,IF(B756="F",VLOOKUP(I756,Barem!$X$2:$Z$13,2,1),VLOOKUP(I756,Barem!$X$14:$Z$25,2,1)))</f>
        <v>0</v>
      </c>
      <c r="T756" s="21">
        <f>VLOOKUP(A756,Participanti!A:C,3,0)</f>
        <v>0</v>
      </c>
      <c r="U756" s="18">
        <f t="shared" ref="U756:U819" si="314">IF(H756&lt;0,0,J756*N756+K756*O756+L756*P756+Q756+R756+S756+T756)</f>
        <v>2.53125</v>
      </c>
      <c r="V756" s="58" t="s">
        <v>482</v>
      </c>
      <c r="W756" s="77">
        <f t="shared" si="295"/>
        <v>1</v>
      </c>
      <c r="X756" s="1" t="str">
        <f>VLOOKUP(A756,Data_Echipe!A:R,18,0)</f>
        <v>#notSYRious</v>
      </c>
      <c r="Z756" s="115">
        <f t="shared" ref="Z756:Z819" si="315">IF(K756&gt;0,1,0)</f>
        <v>1</v>
      </c>
    </row>
    <row r="757" spans="1:26" x14ac:dyDescent="0.3">
      <c r="A757" s="49" t="s">
        <v>359</v>
      </c>
      <c r="B757" s="1" t="str">
        <f>VLOOKUP(A757,Participanti!A:B,2,0)</f>
        <v>M</v>
      </c>
      <c r="C757" s="74">
        <v>9</v>
      </c>
      <c r="D757" s="50">
        <v>18.03</v>
      </c>
      <c r="E757" s="51">
        <v>7.0543981481481485E-2</v>
      </c>
      <c r="F757" s="51">
        <v>7.0671296296296301E-2</v>
      </c>
      <c r="G757" s="69">
        <f t="shared" si="310"/>
        <v>7.0607638888888893E-2</v>
      </c>
      <c r="H757" s="52"/>
      <c r="I757" s="12">
        <f t="shared" si="311"/>
        <v>3.9161197387070929E-3</v>
      </c>
      <c r="J757" s="37">
        <f t="shared" si="312"/>
        <v>4.2928571428571427</v>
      </c>
      <c r="K757" s="37">
        <f>IF(J757=0,0,IF(B757="F",VLOOKUP(I757,Barem!$G$2:$H$16,2,1),VLOOKUP(I757,Barem!$G$17:$H$31,2,1)))</f>
        <v>1.75</v>
      </c>
      <c r="L757" s="50">
        <v>2.75</v>
      </c>
      <c r="M757" s="124" t="s">
        <v>207</v>
      </c>
      <c r="N757" s="10">
        <f t="shared" ref="N757:P820" si="316">IF($M757=N$1,50%,25%)</f>
        <v>0.25</v>
      </c>
      <c r="O757" s="10">
        <f t="shared" si="316"/>
        <v>0.25</v>
      </c>
      <c r="P757" s="10">
        <f t="shared" si="316"/>
        <v>0.5</v>
      </c>
      <c r="Q757" s="40">
        <f t="shared" si="313"/>
        <v>0</v>
      </c>
      <c r="R757" s="21">
        <f>IF(D757&gt;21,VLOOKUP(D757,Barem!$T$1:$U$141,2,1),0)</f>
        <v>0</v>
      </c>
      <c r="S757" s="152">
        <f>IF(D757&lt;1.609,0,IF(B757="F",VLOOKUP(I757,Barem!$X$2:$Z$13,2,1),VLOOKUP(I757,Barem!$X$14:$Z$25,2,1)))</f>
        <v>0</v>
      </c>
      <c r="T757" s="21">
        <f>VLOOKUP(A757,Participanti!A:C,3,0)</f>
        <v>0</v>
      </c>
      <c r="U757" s="18">
        <f t="shared" si="314"/>
        <v>2.8857142857142857</v>
      </c>
      <c r="V757" s="58" t="s">
        <v>482</v>
      </c>
      <c r="W757" s="77">
        <f t="shared" si="295"/>
        <v>1</v>
      </c>
      <c r="X757" s="1" t="str">
        <f>VLOOKUP(A757,Data_Echipe!A:R,18,0)</f>
        <v>Almost Kenyan Runners</v>
      </c>
      <c r="Z757" s="115">
        <f t="shared" si="315"/>
        <v>1</v>
      </c>
    </row>
    <row r="758" spans="1:26" x14ac:dyDescent="0.3">
      <c r="A758" s="49" t="s">
        <v>398</v>
      </c>
      <c r="B758" s="1" t="str">
        <f>VLOOKUP(A758,Participanti!A:B,2,0)</f>
        <v>F</v>
      </c>
      <c r="C758" s="74">
        <v>9</v>
      </c>
      <c r="D758" s="50">
        <v>6.03</v>
      </c>
      <c r="E758" s="51">
        <v>3.7222222222222219E-2</v>
      </c>
      <c r="F758" s="51">
        <v>3.7245370370370366E-2</v>
      </c>
      <c r="G758" s="69">
        <f t="shared" si="310"/>
        <v>3.7233796296296293E-2</v>
      </c>
      <c r="H758" s="52"/>
      <c r="I758" s="12">
        <f t="shared" si="311"/>
        <v>6.1747589214421706E-3</v>
      </c>
      <c r="J758" s="37">
        <f t="shared" si="312"/>
        <v>1.5075000000000001</v>
      </c>
      <c r="K758" s="37">
        <f>IF(J758=0,0,IF(B758="F",VLOOKUP(I758,Barem!$G$2:$H$16,2,1),VLOOKUP(I758,Barem!$G$17:$H$31,2,1)))</f>
        <v>0.25</v>
      </c>
      <c r="L758" s="50">
        <v>1.75</v>
      </c>
      <c r="M758" s="124" t="s">
        <v>207</v>
      </c>
      <c r="N758" s="10">
        <f t="shared" si="316"/>
        <v>0.25</v>
      </c>
      <c r="O758" s="10">
        <f t="shared" si="316"/>
        <v>0.25</v>
      </c>
      <c r="P758" s="10">
        <f t="shared" si="316"/>
        <v>0.5</v>
      </c>
      <c r="Q758" s="40">
        <f t="shared" si="313"/>
        <v>0</v>
      </c>
      <c r="R758" s="21">
        <f>IF(D758&gt;21,VLOOKUP(D758,Barem!$T$1:$U$141,2,1),0)</f>
        <v>0</v>
      </c>
      <c r="S758" s="152">
        <f>IF(D758&lt;1.609,0,IF(B758="F",VLOOKUP(I758,Barem!$X$2:$Z$13,2,1),VLOOKUP(I758,Barem!$X$14:$Z$25,2,1)))</f>
        <v>0</v>
      </c>
      <c r="T758" s="21">
        <f>VLOOKUP(A758,Participanti!A:C,3,0)</f>
        <v>0.7</v>
      </c>
      <c r="U758" s="18">
        <f t="shared" si="314"/>
        <v>2.0143750000000002</v>
      </c>
      <c r="V758" s="58" t="s">
        <v>482</v>
      </c>
      <c r="W758" s="77">
        <f t="shared" si="295"/>
        <v>1</v>
      </c>
      <c r="X758" s="1" t="e">
        <f>VLOOKUP(A758,Data_Echipe!A:R,18,0)</f>
        <v>#N/A</v>
      </c>
      <c r="Z758" s="115">
        <f t="shared" si="315"/>
        <v>1</v>
      </c>
    </row>
    <row r="759" spans="1:26" x14ac:dyDescent="0.3">
      <c r="A759" s="49" t="s">
        <v>122</v>
      </c>
      <c r="B759" s="1" t="str">
        <f>VLOOKUP(A759,Participanti!A:B,2,0)</f>
        <v>M</v>
      </c>
      <c r="C759" s="74">
        <v>9</v>
      </c>
      <c r="D759" s="50">
        <v>14.05</v>
      </c>
      <c r="E759" s="51">
        <v>6.0636574074074079E-2</v>
      </c>
      <c r="F759" s="51">
        <v>6.6238425925925923E-2</v>
      </c>
      <c r="G759" s="69">
        <f t="shared" si="310"/>
        <v>6.3437500000000008E-2</v>
      </c>
      <c r="H759" s="52">
        <v>323</v>
      </c>
      <c r="I759" s="12">
        <f t="shared" si="311"/>
        <v>4.5151245551601424E-3</v>
      </c>
      <c r="J759" s="37">
        <f t="shared" si="312"/>
        <v>3.3452380952380953</v>
      </c>
      <c r="K759" s="37">
        <f>IF(J759=0,0,IF(B759="F",VLOOKUP(I759,Barem!$G$2:$H$16,2,1),VLOOKUP(I759,Barem!$G$17:$H$31,2,1)))</f>
        <v>1</v>
      </c>
      <c r="L759" s="50">
        <v>3</v>
      </c>
      <c r="M759" s="124" t="s">
        <v>207</v>
      </c>
      <c r="N759" s="10">
        <f t="shared" si="316"/>
        <v>0.25</v>
      </c>
      <c r="O759" s="10">
        <f t="shared" si="316"/>
        <v>0.25</v>
      </c>
      <c r="P759" s="10">
        <f t="shared" si="316"/>
        <v>0.5</v>
      </c>
      <c r="Q759" s="40">
        <f t="shared" si="313"/>
        <v>0.21533333333333332</v>
      </c>
      <c r="R759" s="21">
        <f>IF(D759&gt;21,VLOOKUP(D759,Barem!$T$1:$U$141,2,1),0)</f>
        <v>0</v>
      </c>
      <c r="S759" s="152">
        <f>IF(D759&lt;1.609,0,IF(B759="F",VLOOKUP(I759,Barem!$X$2:$Z$13,2,1),VLOOKUP(I759,Barem!$X$14:$Z$25,2,1)))</f>
        <v>0</v>
      </c>
      <c r="T759" s="21">
        <f>VLOOKUP(A759,Participanti!A:C,3,0)</f>
        <v>0</v>
      </c>
      <c r="U759" s="18">
        <f t="shared" si="314"/>
        <v>2.8016428571428569</v>
      </c>
      <c r="V759" s="58" t="s">
        <v>482</v>
      </c>
      <c r="W759" s="77">
        <f t="shared" si="295"/>
        <v>1</v>
      </c>
      <c r="X759" s="1" t="str">
        <f>VLOOKUP(A759,Data_Echipe!A:R,18,0)</f>
        <v>#notSYRious</v>
      </c>
      <c r="Z759" s="115">
        <f t="shared" si="315"/>
        <v>1</v>
      </c>
    </row>
    <row r="760" spans="1:26" x14ac:dyDescent="0.3">
      <c r="A760" s="49" t="s">
        <v>354</v>
      </c>
      <c r="B760" s="1" t="str">
        <f>VLOOKUP(A760,Participanti!A:B,2,0)</f>
        <v>M</v>
      </c>
      <c r="C760" s="74">
        <v>9</v>
      </c>
      <c r="D760" s="50">
        <v>21.06</v>
      </c>
      <c r="E760" s="51">
        <v>0.10707175925925926</v>
      </c>
      <c r="F760" s="51">
        <v>0.11552083333333334</v>
      </c>
      <c r="G760" s="69">
        <f t="shared" si="310"/>
        <v>0.1112962962962963</v>
      </c>
      <c r="H760" s="52">
        <v>619</v>
      </c>
      <c r="I760" s="12">
        <f t="shared" si="311"/>
        <v>5.2847244205268895E-3</v>
      </c>
      <c r="J760" s="37">
        <f t="shared" si="312"/>
        <v>5</v>
      </c>
      <c r="K760" s="37">
        <f>IF(J760=0,0,IF(B760="F",VLOOKUP(I760,Barem!$G$2:$H$16,2,1),VLOOKUP(I760,Barem!$G$17:$H$31,2,1)))</f>
        <v>0.25</v>
      </c>
      <c r="L760" s="50">
        <v>2</v>
      </c>
      <c r="M760" s="124" t="s">
        <v>207</v>
      </c>
      <c r="N760" s="10">
        <f t="shared" si="316"/>
        <v>0.25</v>
      </c>
      <c r="O760" s="10">
        <f t="shared" si="316"/>
        <v>0.25</v>
      </c>
      <c r="P760" s="10">
        <f t="shared" si="316"/>
        <v>0.5</v>
      </c>
      <c r="Q760" s="40">
        <f t="shared" si="313"/>
        <v>0.41266666666666668</v>
      </c>
      <c r="R760" s="21">
        <f>IF(D760&gt;21,VLOOKUP(D760,Barem!$T$1:$U$141,2,1),0)</f>
        <v>0</v>
      </c>
      <c r="S760" s="152">
        <f>IF(D760&lt;1.609,0,IF(B760="F",VLOOKUP(I760,Barem!$X$2:$Z$13,2,1),VLOOKUP(I760,Barem!$X$14:$Z$25,2,1)))</f>
        <v>0</v>
      </c>
      <c r="T760" s="21">
        <f>VLOOKUP(A760,Participanti!A:C,3,0)</f>
        <v>0</v>
      </c>
      <c r="U760" s="18">
        <f t="shared" si="314"/>
        <v>2.7251666666666665</v>
      </c>
      <c r="V760" s="58" t="s">
        <v>482</v>
      </c>
      <c r="W760" s="77">
        <f t="shared" si="295"/>
        <v>1</v>
      </c>
      <c r="X760" s="1" t="e">
        <f>VLOOKUP(A760,Data_Echipe!A:R,18,0)</f>
        <v>#N/A</v>
      </c>
      <c r="Z760" s="115">
        <f t="shared" si="315"/>
        <v>1</v>
      </c>
    </row>
    <row r="761" spans="1:26" x14ac:dyDescent="0.3">
      <c r="A761" s="49" t="s">
        <v>247</v>
      </c>
      <c r="B761" s="1" t="str">
        <f>VLOOKUP(A761,Participanti!A:B,2,0)</f>
        <v>M</v>
      </c>
      <c r="C761" s="74">
        <v>9</v>
      </c>
      <c r="D761" s="50">
        <v>21.2</v>
      </c>
      <c r="E761" s="51">
        <v>0.1024537037037037</v>
      </c>
      <c r="F761" s="51">
        <v>0.10984953703703704</v>
      </c>
      <c r="G761" s="69">
        <f t="shared" si="310"/>
        <v>0.10615162037037038</v>
      </c>
      <c r="H761" s="52">
        <v>778</v>
      </c>
      <c r="I761" s="12">
        <f t="shared" si="311"/>
        <v>5.0071519042627537E-3</v>
      </c>
      <c r="J761" s="37">
        <f t="shared" si="312"/>
        <v>5</v>
      </c>
      <c r="K761" s="37">
        <f>IF(J761=0,0,IF(B761="F",VLOOKUP(I761,Barem!$G$2:$H$16,2,1),VLOOKUP(I761,Barem!$G$17:$H$31,2,1)))</f>
        <v>0.25</v>
      </c>
      <c r="L761" s="50">
        <v>2.5</v>
      </c>
      <c r="M761" s="124" t="s">
        <v>207</v>
      </c>
      <c r="N761" s="10">
        <f t="shared" si="316"/>
        <v>0.25</v>
      </c>
      <c r="O761" s="10">
        <f t="shared" si="316"/>
        <v>0.25</v>
      </c>
      <c r="P761" s="10">
        <f t="shared" si="316"/>
        <v>0.5</v>
      </c>
      <c r="Q761" s="40">
        <f t="shared" si="313"/>
        <v>0.51866666666666672</v>
      </c>
      <c r="R761" s="21">
        <f>IF(D761&gt;21,VLOOKUP(D761,Barem!$T$1:$U$141,2,1),0)</f>
        <v>0</v>
      </c>
      <c r="S761" s="152">
        <f>IF(D761&lt;1.609,0,IF(B761="F",VLOOKUP(I761,Barem!$X$2:$Z$13,2,1),VLOOKUP(I761,Barem!$X$14:$Z$25,2,1)))</f>
        <v>0</v>
      </c>
      <c r="T761" s="21">
        <f>VLOOKUP(A761,Participanti!A:C,3,0)</f>
        <v>0</v>
      </c>
      <c r="U761" s="18">
        <f t="shared" si="314"/>
        <v>3.0811666666666668</v>
      </c>
      <c r="V761" s="58" t="s">
        <v>482</v>
      </c>
      <c r="W761" s="77">
        <f t="shared" si="295"/>
        <v>1</v>
      </c>
      <c r="X761" s="1" t="str">
        <f>VLOOKUP(A761,Data_Echipe!A:R,18,0)</f>
        <v>UltraHaita lu' Borcan</v>
      </c>
      <c r="Z761" s="115">
        <f t="shared" si="315"/>
        <v>1</v>
      </c>
    </row>
    <row r="762" spans="1:26" x14ac:dyDescent="0.3">
      <c r="A762" s="49" t="s">
        <v>483</v>
      </c>
      <c r="B762" s="1" t="str">
        <f>VLOOKUP(A762,Participanti!A:B,2,0)</f>
        <v>M</v>
      </c>
      <c r="C762" s="74">
        <v>9</v>
      </c>
      <c r="D762" s="50">
        <v>20.2</v>
      </c>
      <c r="E762" s="51">
        <v>8.4490740740740741E-2</v>
      </c>
      <c r="F762" s="51">
        <v>8.4918981481481484E-2</v>
      </c>
      <c r="G762" s="69">
        <f t="shared" si="310"/>
        <v>8.4704861111111113E-2</v>
      </c>
      <c r="H762" s="52">
        <v>518</v>
      </c>
      <c r="I762" s="12">
        <f t="shared" si="311"/>
        <v>4.1933099559955996E-3</v>
      </c>
      <c r="J762" s="37">
        <f t="shared" si="312"/>
        <v>4.8095238095238093</v>
      </c>
      <c r="K762" s="37">
        <f>IF(J762=0,0,IF(B762="F",VLOOKUP(I762,Barem!$G$2:$H$16,2,1),VLOOKUP(I762,Barem!$G$17:$H$31,2,1)))</f>
        <v>1.25</v>
      </c>
      <c r="L762" s="50">
        <v>1.5</v>
      </c>
      <c r="M762" s="124" t="s">
        <v>207</v>
      </c>
      <c r="N762" s="10">
        <f t="shared" si="316"/>
        <v>0.25</v>
      </c>
      <c r="O762" s="10">
        <f t="shared" si="316"/>
        <v>0.25</v>
      </c>
      <c r="P762" s="10">
        <f t="shared" si="316"/>
        <v>0.5</v>
      </c>
      <c r="Q762" s="40">
        <f t="shared" si="313"/>
        <v>0.34533333333333333</v>
      </c>
      <c r="R762" s="21">
        <f>IF(D762&gt;21,VLOOKUP(D762,Barem!$T$1:$U$141,2,1),0)</f>
        <v>0</v>
      </c>
      <c r="S762" s="152">
        <f>IF(D762&lt;1.609,0,IF(B762="F",VLOOKUP(I762,Barem!$X$2:$Z$13,2,1),VLOOKUP(I762,Barem!$X$14:$Z$25,2,1)))</f>
        <v>0</v>
      </c>
      <c r="T762" s="21">
        <f>VLOOKUP(A762,Participanti!A:C,3,0)</f>
        <v>0</v>
      </c>
      <c r="U762" s="18">
        <f t="shared" si="314"/>
        <v>2.610214285714286</v>
      </c>
      <c r="V762" s="58" t="s">
        <v>482</v>
      </c>
      <c r="W762" s="77">
        <f t="shared" si="295"/>
        <v>1</v>
      </c>
      <c r="X762" s="1" t="e">
        <f>VLOOKUP(A762,Data_Echipe!A:R,18,0)</f>
        <v>#N/A</v>
      </c>
      <c r="Z762" s="115">
        <f t="shared" si="315"/>
        <v>1</v>
      </c>
    </row>
    <row r="763" spans="1:26" x14ac:dyDescent="0.3">
      <c r="A763" s="49" t="s">
        <v>341</v>
      </c>
      <c r="B763" s="1" t="str">
        <f>VLOOKUP(A763,Participanti!A:B,2,0)</f>
        <v>M</v>
      </c>
      <c r="C763" s="74">
        <v>9</v>
      </c>
      <c r="D763" s="50">
        <v>21.04</v>
      </c>
      <c r="E763" s="51">
        <v>8.2476851851851843E-2</v>
      </c>
      <c r="F763" s="51">
        <v>8.4409722222222219E-2</v>
      </c>
      <c r="G763" s="69">
        <f t="shared" si="310"/>
        <v>8.3443287037037031E-2</v>
      </c>
      <c r="H763" s="52"/>
      <c r="I763" s="12">
        <f t="shared" si="311"/>
        <v>3.965935695676665E-3</v>
      </c>
      <c r="J763" s="37">
        <f t="shared" si="312"/>
        <v>5</v>
      </c>
      <c r="K763" s="37">
        <f>IF(J763=0,0,IF(B763="F",VLOOKUP(I763,Barem!$G$2:$H$16,2,1),VLOOKUP(I763,Barem!$G$17:$H$31,2,1)))</f>
        <v>1.75</v>
      </c>
      <c r="L763" s="50">
        <v>3.25</v>
      </c>
      <c r="M763" s="124" t="s">
        <v>207</v>
      </c>
      <c r="N763" s="10">
        <f t="shared" si="316"/>
        <v>0.25</v>
      </c>
      <c r="O763" s="10">
        <f t="shared" si="316"/>
        <v>0.25</v>
      </c>
      <c r="P763" s="10">
        <f t="shared" si="316"/>
        <v>0.5</v>
      </c>
      <c r="Q763" s="40">
        <f t="shared" si="313"/>
        <v>0</v>
      </c>
      <c r="R763" s="21">
        <f>IF(D763&gt;21,VLOOKUP(D763,Barem!$T$1:$U$141,2,1),0)</f>
        <v>0</v>
      </c>
      <c r="S763" s="152">
        <f>IF(D763&lt;1.609,0,IF(B763="F",VLOOKUP(I763,Barem!$X$2:$Z$13,2,1),VLOOKUP(I763,Barem!$X$14:$Z$25,2,1)))</f>
        <v>0</v>
      </c>
      <c r="T763" s="21">
        <f>VLOOKUP(A763,Participanti!A:C,3,0)</f>
        <v>0</v>
      </c>
      <c r="U763" s="18">
        <f t="shared" si="314"/>
        <v>3.3125</v>
      </c>
      <c r="V763" s="58" t="s">
        <v>482</v>
      </c>
      <c r="W763" s="77">
        <f t="shared" si="295"/>
        <v>1</v>
      </c>
      <c r="X763" s="1" t="str">
        <f>VLOOKUP(A763,Data_Echipe!A:R,18,0)</f>
        <v>The GOATs</v>
      </c>
      <c r="Z763" s="115">
        <f t="shared" si="315"/>
        <v>1</v>
      </c>
    </row>
    <row r="764" spans="1:26" x14ac:dyDescent="0.3">
      <c r="A764" s="49" t="s">
        <v>378</v>
      </c>
      <c r="B764" s="1" t="str">
        <f>VLOOKUP(A764,Participanti!A:B,2,0)</f>
        <v>F</v>
      </c>
      <c r="C764" s="74">
        <v>9</v>
      </c>
      <c r="D764" s="50">
        <v>10.3</v>
      </c>
      <c r="E764" s="51">
        <v>3.5879629629629629E-2</v>
      </c>
      <c r="F764" s="51">
        <v>3.6203703703703703E-2</v>
      </c>
      <c r="G764" s="69">
        <f t="shared" si="310"/>
        <v>3.6041666666666666E-2</v>
      </c>
      <c r="H764" s="52">
        <v>54</v>
      </c>
      <c r="I764" s="12">
        <f t="shared" si="311"/>
        <v>3.4991909385113265E-3</v>
      </c>
      <c r="J764" s="37">
        <f t="shared" si="312"/>
        <v>2.5750000000000002</v>
      </c>
      <c r="K764" s="37">
        <f>IF(J764=0,0,IF(B764="F",VLOOKUP(I764,Barem!$G$2:$H$16,2,1),VLOOKUP(I764,Barem!$G$17:$H$31,2,1)))</f>
        <v>3.5</v>
      </c>
      <c r="L764" s="50">
        <v>2.25</v>
      </c>
      <c r="M764" s="124" t="s">
        <v>107</v>
      </c>
      <c r="N764" s="10">
        <f t="shared" si="316"/>
        <v>0.25</v>
      </c>
      <c r="O764" s="10">
        <f t="shared" si="316"/>
        <v>0.5</v>
      </c>
      <c r="P764" s="10">
        <f t="shared" si="316"/>
        <v>0.25</v>
      </c>
      <c r="Q764" s="40">
        <f t="shared" si="313"/>
        <v>3.5999999999999997E-2</v>
      </c>
      <c r="R764" s="21">
        <f>IF(D764&gt;21,VLOOKUP(D764,Barem!$T$1:$U$141,2,1),0)</f>
        <v>0</v>
      </c>
      <c r="S764" s="152">
        <f>IF(D764&lt;1.609,0,IF(B764="F",VLOOKUP(I764,Barem!$X$2:$Z$13,2,1),VLOOKUP(I764,Barem!$X$14:$Z$25,2,1)))</f>
        <v>0</v>
      </c>
      <c r="T764" s="21">
        <f>VLOOKUP(A764,Participanti!A:C,3,0)</f>
        <v>0</v>
      </c>
      <c r="U764" s="18">
        <f t="shared" si="314"/>
        <v>2.9922499999999999</v>
      </c>
      <c r="V764" s="58" t="s">
        <v>482</v>
      </c>
      <c r="W764" s="77">
        <f t="shared" si="295"/>
        <v>1</v>
      </c>
      <c r="X764" s="1" t="str">
        <f>VLOOKUP(A764,Data_Echipe!A:R,18,0)</f>
        <v>MedgidiaRunning</v>
      </c>
      <c r="Z764" s="115">
        <f t="shared" si="315"/>
        <v>1</v>
      </c>
    </row>
    <row r="765" spans="1:26" x14ac:dyDescent="0.3">
      <c r="A765" s="49" t="s">
        <v>208</v>
      </c>
      <c r="B765" s="1" t="str">
        <f>VLOOKUP(A765,Participanti!A:B,2,0)</f>
        <v>M</v>
      </c>
      <c r="C765" s="74">
        <v>9</v>
      </c>
      <c r="D765" s="50">
        <v>32</v>
      </c>
      <c r="E765" s="51">
        <v>0.11328703703703703</v>
      </c>
      <c r="F765" s="51">
        <v>0.11337962962962962</v>
      </c>
      <c r="G765" s="69">
        <f t="shared" si="310"/>
        <v>0.11333333333333333</v>
      </c>
      <c r="H765" s="52">
        <v>103</v>
      </c>
      <c r="I765" s="12">
        <f t="shared" si="311"/>
        <v>3.5416666666666665E-3</v>
      </c>
      <c r="J765" s="37">
        <f t="shared" si="312"/>
        <v>5</v>
      </c>
      <c r="K765" s="37">
        <f>IF(J765=0,0,IF(B765="F",VLOOKUP(I765,Barem!$G$2:$H$16,2,1),VLOOKUP(I765,Barem!$G$17:$H$31,2,1)))</f>
        <v>2.5</v>
      </c>
      <c r="L765" s="50">
        <v>2.5</v>
      </c>
      <c r="M765" s="124" t="s">
        <v>106</v>
      </c>
      <c r="N765" s="10">
        <f t="shared" si="316"/>
        <v>0.5</v>
      </c>
      <c r="O765" s="10">
        <f t="shared" si="316"/>
        <v>0.25</v>
      </c>
      <c r="P765" s="10">
        <f t="shared" si="316"/>
        <v>0.25</v>
      </c>
      <c r="Q765" s="40">
        <f t="shared" si="313"/>
        <v>6.8666666666666668E-2</v>
      </c>
      <c r="R765" s="21">
        <f>IF(D765&gt;21,VLOOKUP(D765,Barem!$T$1:$U$141,2,1),0)</f>
        <v>0.5</v>
      </c>
      <c r="S765" s="152">
        <f>IF(D765&lt;1.609,0,IF(B765="F",VLOOKUP(I765,Barem!$X$2:$Z$13,2,1),VLOOKUP(I765,Barem!$X$14:$Z$25,2,1)))</f>
        <v>0</v>
      </c>
      <c r="T765" s="21">
        <f>VLOOKUP(A765,Participanti!A:C,3,0)</f>
        <v>0</v>
      </c>
      <c r="U765" s="18">
        <f t="shared" si="314"/>
        <v>4.3186666666666671</v>
      </c>
      <c r="V765" s="58" t="s">
        <v>482</v>
      </c>
      <c r="W765" s="77">
        <f t="shared" si="295"/>
        <v>1</v>
      </c>
      <c r="X765" s="1" t="e">
        <f>VLOOKUP(A765,Data_Echipe!A:R,18,0)</f>
        <v>#N/A</v>
      </c>
      <c r="Z765" s="115">
        <f t="shared" si="315"/>
        <v>1</v>
      </c>
    </row>
    <row r="766" spans="1:26" x14ac:dyDescent="0.3">
      <c r="A766" s="49" t="s">
        <v>128</v>
      </c>
      <c r="B766" s="1" t="str">
        <f>VLOOKUP(A766,Participanti!A:B,2,0)</f>
        <v>M</v>
      </c>
      <c r="C766" s="74">
        <v>9</v>
      </c>
      <c r="D766" s="50">
        <v>20</v>
      </c>
      <c r="E766" s="51">
        <v>7.1388888888888891E-2</v>
      </c>
      <c r="F766" s="51">
        <v>7.1388888888888891E-2</v>
      </c>
      <c r="G766" s="69">
        <f t="shared" si="310"/>
        <v>7.1388888888888891E-2</v>
      </c>
      <c r="H766" s="52">
        <v>68</v>
      </c>
      <c r="I766" s="12">
        <f t="shared" si="311"/>
        <v>3.5694444444444445E-3</v>
      </c>
      <c r="J766" s="37">
        <f t="shared" si="312"/>
        <v>4.7619047619047619</v>
      </c>
      <c r="K766" s="37">
        <f>IF(J766=0,0,IF(B766="F",VLOOKUP(I766,Barem!$G$2:$H$16,2,1),VLOOKUP(I766,Barem!$G$17:$H$31,2,1)))</f>
        <v>2.5</v>
      </c>
      <c r="L766" s="50">
        <v>1</v>
      </c>
      <c r="M766" s="124" t="s">
        <v>106</v>
      </c>
      <c r="N766" s="10">
        <f t="shared" si="316"/>
        <v>0.5</v>
      </c>
      <c r="O766" s="10">
        <f t="shared" si="316"/>
        <v>0.25</v>
      </c>
      <c r="P766" s="10">
        <f t="shared" si="316"/>
        <v>0.25</v>
      </c>
      <c r="Q766" s="40">
        <f t="shared" si="313"/>
        <v>4.5333333333333337E-2</v>
      </c>
      <c r="R766" s="21">
        <f>IF(D766&gt;21,VLOOKUP(D766,Barem!$T$1:$U$141,2,1),0)</f>
        <v>0</v>
      </c>
      <c r="S766" s="152">
        <f>IF(D766&lt;1.609,0,IF(B766="F",VLOOKUP(I766,Barem!$X$2:$Z$13,2,1),VLOOKUP(I766,Barem!$X$14:$Z$25,2,1)))</f>
        <v>0</v>
      </c>
      <c r="T766" s="21">
        <f>VLOOKUP(A766,Participanti!A:C,3,0)</f>
        <v>0</v>
      </c>
      <c r="U766" s="18">
        <f t="shared" si="314"/>
        <v>3.3012857142857142</v>
      </c>
      <c r="V766" s="58" t="s">
        <v>482</v>
      </c>
      <c r="W766" s="77">
        <f t="shared" si="295"/>
        <v>1</v>
      </c>
      <c r="X766" s="1" t="str">
        <f>VLOOKUP(A766,Data_Echipe!A:R,18,0)</f>
        <v>Almost Kenyan Runners</v>
      </c>
      <c r="Z766" s="115">
        <f t="shared" si="315"/>
        <v>1</v>
      </c>
    </row>
    <row r="767" spans="1:26" x14ac:dyDescent="0.3">
      <c r="A767" s="49" t="s">
        <v>357</v>
      </c>
      <c r="B767" s="1" t="str">
        <f>VLOOKUP(A767,Participanti!A:B,2,0)</f>
        <v>M</v>
      </c>
      <c r="C767" s="74">
        <v>9</v>
      </c>
      <c r="D767" s="50">
        <v>5</v>
      </c>
      <c r="E767" s="51">
        <v>1.8981481481481481E-2</v>
      </c>
      <c r="F767" s="51">
        <v>1.8981481481481481E-2</v>
      </c>
      <c r="G767" s="69">
        <f t="shared" si="310"/>
        <v>1.8981481481481481E-2</v>
      </c>
      <c r="H767" s="52"/>
      <c r="I767" s="12">
        <f t="shared" si="311"/>
        <v>3.7962962962962963E-3</v>
      </c>
      <c r="J767" s="37">
        <f t="shared" si="312"/>
        <v>1.1904761904761905</v>
      </c>
      <c r="K767" s="37">
        <f>IF(J767=0,0,IF(B767="F",VLOOKUP(I767,Barem!$G$2:$H$16,2,1),VLOOKUP(I767,Barem!$G$17:$H$31,2,1)))</f>
        <v>2</v>
      </c>
      <c r="L767" s="50">
        <v>2.75</v>
      </c>
      <c r="M767" s="124" t="s">
        <v>207</v>
      </c>
      <c r="N767" s="10">
        <f t="shared" si="316"/>
        <v>0.25</v>
      </c>
      <c r="O767" s="10">
        <f t="shared" si="316"/>
        <v>0.25</v>
      </c>
      <c r="P767" s="10">
        <f t="shared" si="316"/>
        <v>0.5</v>
      </c>
      <c r="Q767" s="40">
        <f t="shared" si="313"/>
        <v>0</v>
      </c>
      <c r="R767" s="21">
        <f>IF(D767&gt;21,VLOOKUP(D767,Barem!$T$1:$U$141,2,1),0)</f>
        <v>0</v>
      </c>
      <c r="S767" s="152">
        <f>IF(D767&lt;1.609,0,IF(B767="F",VLOOKUP(I767,Barem!$X$2:$Z$13,2,1),VLOOKUP(I767,Barem!$X$14:$Z$25,2,1)))</f>
        <v>0</v>
      </c>
      <c r="T767" s="21">
        <f>VLOOKUP(A767,Participanti!A:C,3,0)</f>
        <v>0</v>
      </c>
      <c r="U767" s="18">
        <f t="shared" si="314"/>
        <v>2.1726190476190474</v>
      </c>
      <c r="V767" s="58" t="s">
        <v>482</v>
      </c>
      <c r="W767" s="77">
        <f t="shared" si="295"/>
        <v>1</v>
      </c>
      <c r="X767" s="1" t="e">
        <f>VLOOKUP(A767,Data_Echipe!A:R,18,0)</f>
        <v>#N/A</v>
      </c>
      <c r="Z767" s="115">
        <f t="shared" si="315"/>
        <v>1</v>
      </c>
    </row>
    <row r="768" spans="1:26" x14ac:dyDescent="0.3">
      <c r="A768" s="49" t="s">
        <v>206</v>
      </c>
      <c r="B768" s="1" t="str">
        <f>VLOOKUP(A768,Participanti!A:B,2,0)</f>
        <v>M</v>
      </c>
      <c r="C768" s="74">
        <v>9</v>
      </c>
      <c r="D768" s="50">
        <v>33.159999999999997</v>
      </c>
      <c r="E768" s="51">
        <v>0.14524305555555556</v>
      </c>
      <c r="F768" s="51">
        <v>0.16618055555555555</v>
      </c>
      <c r="G768" s="69">
        <f t="shared" si="310"/>
        <v>0.15571180555555555</v>
      </c>
      <c r="H768" s="52">
        <v>640</v>
      </c>
      <c r="I768" s="12">
        <f t="shared" si="311"/>
        <v>4.6957721820131354E-3</v>
      </c>
      <c r="J768" s="37">
        <f t="shared" si="312"/>
        <v>5</v>
      </c>
      <c r="K768" s="37">
        <f>IF(J768=0,0,IF(B768="F",VLOOKUP(I768,Barem!$G$2:$H$16,2,1),VLOOKUP(I768,Barem!$G$17:$H$31,2,1)))</f>
        <v>0.75</v>
      </c>
      <c r="L768" s="50">
        <v>2</v>
      </c>
      <c r="M768" s="124" t="s">
        <v>106</v>
      </c>
      <c r="N768" s="10">
        <f t="shared" si="316"/>
        <v>0.5</v>
      </c>
      <c r="O768" s="10">
        <f t="shared" si="316"/>
        <v>0.25</v>
      </c>
      <c r="P768" s="10">
        <f t="shared" si="316"/>
        <v>0.25</v>
      </c>
      <c r="Q768" s="40">
        <f t="shared" si="313"/>
        <v>0.42666666666666669</v>
      </c>
      <c r="R768" s="21">
        <f>IF(D768&gt;21,VLOOKUP(D768,Barem!$T$1:$U$141,2,1),0)</f>
        <v>0.6</v>
      </c>
      <c r="S768" s="152">
        <f>IF(D768&lt;1.609,0,IF(B768="F",VLOOKUP(I768,Barem!$X$2:$Z$13,2,1),VLOOKUP(I768,Barem!$X$14:$Z$25,2,1)))</f>
        <v>0</v>
      </c>
      <c r="T768" s="21">
        <f>VLOOKUP(A768,Participanti!A:C,3,0)</f>
        <v>0</v>
      </c>
      <c r="U768" s="18">
        <f t="shared" si="314"/>
        <v>4.2141666666666664</v>
      </c>
      <c r="V768" s="58" t="s">
        <v>482</v>
      </c>
      <c r="W768" s="77">
        <f t="shared" si="295"/>
        <v>1</v>
      </c>
      <c r="X768" s="1" t="e">
        <f>VLOOKUP(A768,Data_Echipe!A:R,18,0)</f>
        <v>#N/A</v>
      </c>
      <c r="Z768" s="115">
        <f t="shared" si="315"/>
        <v>1</v>
      </c>
    </row>
    <row r="769" spans="1:26" x14ac:dyDescent="0.3">
      <c r="A769" s="49" t="s">
        <v>226</v>
      </c>
      <c r="B769" s="1" t="str">
        <f>VLOOKUP(A769,Participanti!A:B,2,0)</f>
        <v>M</v>
      </c>
      <c r="C769" s="74">
        <v>9</v>
      </c>
      <c r="D769" s="50">
        <v>24.01</v>
      </c>
      <c r="E769" s="51">
        <v>0.1063425925925926</v>
      </c>
      <c r="F769" s="51">
        <v>0.10668981481481482</v>
      </c>
      <c r="G769" s="69">
        <f t="shared" si="310"/>
        <v>0.10651620370370371</v>
      </c>
      <c r="H769" s="52"/>
      <c r="I769" s="12">
        <f t="shared" si="311"/>
        <v>4.4363266848689593E-3</v>
      </c>
      <c r="J769" s="37">
        <f t="shared" si="312"/>
        <v>5</v>
      </c>
      <c r="K769" s="37">
        <f>IF(J769=0,0,IF(B769="F",VLOOKUP(I769,Barem!$G$2:$H$16,2,1),VLOOKUP(I769,Barem!$G$17:$H$31,2,1)))</f>
        <v>1</v>
      </c>
      <c r="L769" s="50">
        <v>1.25</v>
      </c>
      <c r="M769" s="124" t="s">
        <v>207</v>
      </c>
      <c r="N769" s="10">
        <f t="shared" si="316"/>
        <v>0.25</v>
      </c>
      <c r="O769" s="10">
        <f t="shared" si="316"/>
        <v>0.25</v>
      </c>
      <c r="P769" s="10">
        <f t="shared" si="316"/>
        <v>0.5</v>
      </c>
      <c r="Q769" s="40">
        <f t="shared" si="313"/>
        <v>0</v>
      </c>
      <c r="R769" s="21">
        <f>IF(D769&gt;21,VLOOKUP(D769,Barem!$T$1:$U$141,2,1),0)</f>
        <v>0.1</v>
      </c>
      <c r="S769" s="152">
        <f>IF(D769&lt;1.609,0,IF(B769="F",VLOOKUP(I769,Barem!$X$2:$Z$13,2,1),VLOOKUP(I769,Barem!$X$14:$Z$25,2,1)))</f>
        <v>0</v>
      </c>
      <c r="T769" s="21">
        <f>VLOOKUP(A769,Participanti!A:C,3,0)</f>
        <v>0</v>
      </c>
      <c r="U769" s="18">
        <f t="shared" si="314"/>
        <v>2.2250000000000001</v>
      </c>
      <c r="V769" s="58" t="s">
        <v>482</v>
      </c>
      <c r="W769" s="77">
        <f t="shared" si="295"/>
        <v>1</v>
      </c>
      <c r="X769" s="1" t="e">
        <f>VLOOKUP(A769,Data_Echipe!A:R,18,0)</f>
        <v>#N/A</v>
      </c>
      <c r="Z769" s="115">
        <f t="shared" si="315"/>
        <v>1</v>
      </c>
    </row>
    <row r="770" spans="1:26" x14ac:dyDescent="0.3">
      <c r="A770" s="49" t="s">
        <v>59</v>
      </c>
      <c r="B770" s="1" t="str">
        <f>VLOOKUP(A770,Participanti!A:B,2,0)</f>
        <v>M</v>
      </c>
      <c r="C770" s="74">
        <v>9</v>
      </c>
      <c r="D770" s="50">
        <v>10.47</v>
      </c>
      <c r="E770" s="51">
        <v>4.1979166666666672E-2</v>
      </c>
      <c r="F770" s="51">
        <v>4.2013888888888885E-2</v>
      </c>
      <c r="G770" s="69">
        <f t="shared" si="310"/>
        <v>4.1996527777777778E-2</v>
      </c>
      <c r="H770" s="52">
        <v>71</v>
      </c>
      <c r="I770" s="12">
        <f t="shared" si="311"/>
        <v>4.0111296826912867E-3</v>
      </c>
      <c r="J770" s="37">
        <f t="shared" si="312"/>
        <v>2.4928571428571429</v>
      </c>
      <c r="K770" s="37">
        <f>IF(J770=0,0,IF(B770="F",VLOOKUP(I770,Barem!$G$2:$H$16,2,1),VLOOKUP(I770,Barem!$G$17:$H$31,2,1)))</f>
        <v>1.5</v>
      </c>
      <c r="L770" s="50">
        <v>1.25</v>
      </c>
      <c r="M770" s="124" t="s">
        <v>106</v>
      </c>
      <c r="N770" s="10">
        <f t="shared" si="316"/>
        <v>0.5</v>
      </c>
      <c r="O770" s="10">
        <f t="shared" si="316"/>
        <v>0.25</v>
      </c>
      <c r="P770" s="10">
        <f t="shared" si="316"/>
        <v>0.25</v>
      </c>
      <c r="Q770" s="40">
        <f t="shared" si="313"/>
        <v>4.7333333333333331E-2</v>
      </c>
      <c r="R770" s="21">
        <f>IF(D770&gt;21,VLOOKUP(D770,Barem!$T$1:$U$141,2,1),0)</f>
        <v>0</v>
      </c>
      <c r="S770" s="152">
        <f>IF(D770&lt;1.609,0,IF(B770="F",VLOOKUP(I770,Barem!$X$2:$Z$13,2,1),VLOOKUP(I770,Barem!$X$14:$Z$25,2,1)))</f>
        <v>0</v>
      </c>
      <c r="T770" s="21">
        <f>VLOOKUP(A770,Participanti!A:C,3,0)</f>
        <v>0</v>
      </c>
      <c r="U770" s="18">
        <f t="shared" si="314"/>
        <v>1.9812619047619047</v>
      </c>
      <c r="V770" s="58" t="s">
        <v>484</v>
      </c>
      <c r="W770" s="77">
        <f t="shared" ref="W770:W833" si="317">COUNTIFS(A:A,A770,C:C,C770)</f>
        <v>1</v>
      </c>
      <c r="X770" s="1" t="str">
        <f>VLOOKUP(A770,Data_Echipe!A:R,18,0)</f>
        <v>Almost Kenyan Runners</v>
      </c>
      <c r="Z770" s="115">
        <f t="shared" si="315"/>
        <v>1</v>
      </c>
    </row>
    <row r="771" spans="1:26" x14ac:dyDescent="0.3">
      <c r="A771" s="49" t="s">
        <v>205</v>
      </c>
      <c r="B771" s="1" t="str">
        <f>VLOOKUP(A771,Participanti!A:B,2,0)</f>
        <v>M</v>
      </c>
      <c r="C771" s="74">
        <v>9</v>
      </c>
      <c r="D771" s="50">
        <v>22</v>
      </c>
      <c r="E771" s="51">
        <v>6.3287037037037031E-2</v>
      </c>
      <c r="F771" s="51">
        <v>6.3356481481481486E-2</v>
      </c>
      <c r="G771" s="69">
        <f t="shared" si="310"/>
        <v>6.3321759259259258E-2</v>
      </c>
      <c r="H771" s="52">
        <v>240</v>
      </c>
      <c r="I771" s="12">
        <f t="shared" si="311"/>
        <v>2.8782617845117845E-3</v>
      </c>
      <c r="J771" s="37">
        <f t="shared" si="312"/>
        <v>5</v>
      </c>
      <c r="K771" s="37">
        <f>IF(J771=0,0,IF(B771="F",VLOOKUP(I771,Barem!$G$2:$H$16,2,1),VLOOKUP(I771,Barem!$G$17:$H$31,2,1)))</f>
        <v>4.5</v>
      </c>
      <c r="L771" s="50">
        <v>2</v>
      </c>
      <c r="M771" s="124" t="s">
        <v>107</v>
      </c>
      <c r="N771" s="10">
        <f t="shared" si="316"/>
        <v>0.25</v>
      </c>
      <c r="O771" s="10">
        <f t="shared" si="316"/>
        <v>0.5</v>
      </c>
      <c r="P771" s="10">
        <f t="shared" si="316"/>
        <v>0.25</v>
      </c>
      <c r="Q771" s="40">
        <f t="shared" si="313"/>
        <v>0.16</v>
      </c>
      <c r="R771" s="21">
        <f>IF(D771&gt;21,VLOOKUP(D771,Barem!$T$1:$U$141,2,1),0)</f>
        <v>0</v>
      </c>
      <c r="S771" s="152">
        <f>IF(D771&lt;1.609,0,IF(B771="F",VLOOKUP(I771,Barem!$X$2:$Z$13,2,1),VLOOKUP(I771,Barem!$X$14:$Z$25,2,1)))</f>
        <v>0</v>
      </c>
      <c r="T771" s="21">
        <f>VLOOKUP(A771,Participanti!A:C,3,0)</f>
        <v>0</v>
      </c>
      <c r="U771" s="18">
        <f t="shared" si="314"/>
        <v>4.16</v>
      </c>
      <c r="V771" s="58" t="s">
        <v>484</v>
      </c>
      <c r="W771" s="77">
        <f t="shared" si="317"/>
        <v>1</v>
      </c>
      <c r="X771" s="1" t="str">
        <f>VLOOKUP(A771,Data_Echipe!A:R,18,0)</f>
        <v>Almost Kenyan Runners</v>
      </c>
      <c r="Z771" s="115">
        <f t="shared" si="315"/>
        <v>1</v>
      </c>
    </row>
    <row r="772" spans="1:26" x14ac:dyDescent="0.3">
      <c r="A772" s="49" t="s">
        <v>284</v>
      </c>
      <c r="B772" s="1" t="str">
        <f>VLOOKUP(A772,Participanti!A:B,2,0)</f>
        <v>M</v>
      </c>
      <c r="C772" s="74">
        <v>9</v>
      </c>
      <c r="D772" s="50">
        <v>10.36</v>
      </c>
      <c r="E772" s="51">
        <v>4.0081018518518523E-2</v>
      </c>
      <c r="F772" s="51">
        <v>4.0439814814814817E-2</v>
      </c>
      <c r="G772" s="69">
        <f t="shared" si="310"/>
        <v>4.0260416666666674E-2</v>
      </c>
      <c r="H772" s="52">
        <v>241</v>
      </c>
      <c r="I772" s="12">
        <f t="shared" si="311"/>
        <v>3.8861406048906057E-3</v>
      </c>
      <c r="J772" s="37">
        <f t="shared" si="312"/>
        <v>2.4666666666666663</v>
      </c>
      <c r="K772" s="37">
        <f>IF(J772=0,0,IF(B772="F",VLOOKUP(I772,Barem!$G$2:$H$16,2,1),VLOOKUP(I772,Barem!$G$17:$H$31,2,1)))</f>
        <v>1.75</v>
      </c>
      <c r="L772" s="50">
        <v>1.5</v>
      </c>
      <c r="M772" s="124" t="s">
        <v>106</v>
      </c>
      <c r="N772" s="10">
        <f t="shared" si="316"/>
        <v>0.5</v>
      </c>
      <c r="O772" s="10">
        <f t="shared" si="316"/>
        <v>0.25</v>
      </c>
      <c r="P772" s="10">
        <f t="shared" si="316"/>
        <v>0.25</v>
      </c>
      <c r="Q772" s="40">
        <f t="shared" si="313"/>
        <v>0.16066666666666668</v>
      </c>
      <c r="R772" s="21">
        <f>IF(D772&gt;21,VLOOKUP(D772,Barem!$T$1:$U$141,2,1),0)</f>
        <v>0</v>
      </c>
      <c r="S772" s="152">
        <f>IF(D772&lt;1.609,0,IF(B772="F",VLOOKUP(I772,Barem!$X$2:$Z$13,2,1),VLOOKUP(I772,Barem!$X$14:$Z$25,2,1)))</f>
        <v>0</v>
      </c>
      <c r="T772" s="21">
        <f>VLOOKUP(A772,Participanti!A:C,3,0)</f>
        <v>0</v>
      </c>
      <c r="U772" s="18">
        <f t="shared" si="314"/>
        <v>2.2065000000000001</v>
      </c>
      <c r="V772" s="58" t="s">
        <v>484</v>
      </c>
      <c r="W772" s="77">
        <f t="shared" si="317"/>
        <v>1</v>
      </c>
      <c r="X772" s="1" t="str">
        <f>VLOOKUP(A772,Data_Echipe!A:R,18,0)</f>
        <v>The GOATs</v>
      </c>
      <c r="Z772" s="115">
        <f t="shared" si="315"/>
        <v>1</v>
      </c>
    </row>
    <row r="773" spans="1:26" x14ac:dyDescent="0.3">
      <c r="A773" s="49" t="s">
        <v>370</v>
      </c>
      <c r="B773" s="1" t="str">
        <f>VLOOKUP(A773,Participanti!A:B,2,0)</f>
        <v>F</v>
      </c>
      <c r="C773" s="74">
        <v>9</v>
      </c>
      <c r="D773" s="50">
        <v>7.32</v>
      </c>
      <c r="E773" s="51">
        <v>3.1284722222222221E-2</v>
      </c>
      <c r="F773" s="51">
        <v>3.1284722222222221E-2</v>
      </c>
      <c r="G773" s="69">
        <f t="shared" si="310"/>
        <v>3.1284722222222221E-2</v>
      </c>
      <c r="H773" s="52"/>
      <c r="I773" s="12">
        <f t="shared" si="311"/>
        <v>4.2738691560412871E-3</v>
      </c>
      <c r="J773" s="37">
        <f t="shared" si="312"/>
        <v>1.83</v>
      </c>
      <c r="K773" s="37">
        <f>IF(J773=0,0,IF(B773="F",VLOOKUP(I773,Barem!$G$2:$H$16,2,1),VLOOKUP(I773,Barem!$G$17:$H$31,2,1)))</f>
        <v>1.75</v>
      </c>
      <c r="L773" s="50">
        <v>3.5</v>
      </c>
      <c r="M773" s="124" t="s">
        <v>207</v>
      </c>
      <c r="N773" s="10">
        <f t="shared" si="316"/>
        <v>0.25</v>
      </c>
      <c r="O773" s="10">
        <f t="shared" si="316"/>
        <v>0.25</v>
      </c>
      <c r="P773" s="10">
        <f t="shared" si="316"/>
        <v>0.5</v>
      </c>
      <c r="Q773" s="40">
        <f t="shared" si="313"/>
        <v>0</v>
      </c>
      <c r="R773" s="21">
        <f>IF(D773&gt;21,VLOOKUP(D773,Barem!$T$1:$U$141,2,1),0)</f>
        <v>0</v>
      </c>
      <c r="S773" s="152">
        <f>IF(D773&lt;1.609,0,IF(B773="F",VLOOKUP(I773,Barem!$X$2:$Z$13,2,1),VLOOKUP(I773,Barem!$X$14:$Z$25,2,1)))</f>
        <v>0</v>
      </c>
      <c r="T773" s="21">
        <f>VLOOKUP(A773,Participanti!A:C,3,0)</f>
        <v>0</v>
      </c>
      <c r="U773" s="18">
        <f t="shared" si="314"/>
        <v>2.645</v>
      </c>
      <c r="V773" s="58" t="s">
        <v>484</v>
      </c>
      <c r="W773" s="77">
        <f t="shared" si="317"/>
        <v>1</v>
      </c>
      <c r="X773" s="1" t="e">
        <f>VLOOKUP(A773,Data_Echipe!A:R,18,0)</f>
        <v>#N/A</v>
      </c>
      <c r="Z773" s="115">
        <f t="shared" si="315"/>
        <v>1</v>
      </c>
    </row>
    <row r="774" spans="1:26" x14ac:dyDescent="0.3">
      <c r="A774" s="49" t="s">
        <v>78</v>
      </c>
      <c r="B774" s="1" t="str">
        <f>VLOOKUP(A774,Participanti!A:B,2,0)</f>
        <v>M</v>
      </c>
      <c r="C774" s="74">
        <v>9</v>
      </c>
      <c r="D774" s="50">
        <v>22.27</v>
      </c>
      <c r="E774" s="51">
        <v>0.19173611111111111</v>
      </c>
      <c r="F774" s="51">
        <v>0.20982638888888891</v>
      </c>
      <c r="G774" s="69">
        <f t="shared" si="310"/>
        <v>0.20078125000000002</v>
      </c>
      <c r="H774" s="52">
        <v>1112</v>
      </c>
      <c r="I774" s="12">
        <f t="shared" si="311"/>
        <v>9.0157723394701395E-3</v>
      </c>
      <c r="J774" s="37">
        <f t="shared" si="312"/>
        <v>5</v>
      </c>
      <c r="K774" s="37">
        <f>IF(J774=0,0,IF(B774="F",VLOOKUP(I774,Barem!$G$2:$H$16,2,1),VLOOKUP(I774,Barem!$G$17:$H$31,2,1)))</f>
        <v>0</v>
      </c>
      <c r="L774" s="50">
        <v>3</v>
      </c>
      <c r="M774" s="124" t="s">
        <v>107</v>
      </c>
      <c r="N774" s="10">
        <f t="shared" si="316"/>
        <v>0.25</v>
      </c>
      <c r="O774" s="10">
        <f t="shared" si="316"/>
        <v>0.5</v>
      </c>
      <c r="P774" s="10">
        <f t="shared" si="316"/>
        <v>0.25</v>
      </c>
      <c r="Q774" s="40">
        <f t="shared" si="313"/>
        <v>0.74133333333333329</v>
      </c>
      <c r="R774" s="21">
        <f>IF(D774&gt;21,VLOOKUP(D774,Barem!$T$1:$U$141,2,1),0)</f>
        <v>0</v>
      </c>
      <c r="S774" s="152">
        <f>IF(D774&lt;1.609,0,IF(B774="F",VLOOKUP(I774,Barem!$X$2:$Z$13,2,1),VLOOKUP(I774,Barem!$X$14:$Z$25,2,1)))</f>
        <v>0</v>
      </c>
      <c r="T774" s="21">
        <f>VLOOKUP(A774,Participanti!A:C,3,0)</f>
        <v>0.4</v>
      </c>
      <c r="U774" s="18">
        <f t="shared" si="314"/>
        <v>3.1413333333333333</v>
      </c>
      <c r="V774" s="58" t="s">
        <v>484</v>
      </c>
      <c r="W774" s="77">
        <f t="shared" si="317"/>
        <v>1</v>
      </c>
      <c r="X774" s="1" t="str">
        <f>VLOOKUP(A774,Data_Echipe!A:R,18,0)</f>
        <v>Almost Kenyan Runners</v>
      </c>
      <c r="Z774" s="115">
        <f t="shared" si="315"/>
        <v>0</v>
      </c>
    </row>
    <row r="775" spans="1:26" x14ac:dyDescent="0.3">
      <c r="A775" s="49" t="s">
        <v>133</v>
      </c>
      <c r="B775" s="1" t="str">
        <f>VLOOKUP(A775,Participanti!A:B,2,0)</f>
        <v>M</v>
      </c>
      <c r="C775" s="74">
        <v>9</v>
      </c>
      <c r="D775" s="50">
        <v>10.01</v>
      </c>
      <c r="E775" s="51">
        <v>3.1770833333333331E-2</v>
      </c>
      <c r="F775" s="51">
        <v>3.1828703703703706E-2</v>
      </c>
      <c r="G775" s="69">
        <f t="shared" si="310"/>
        <v>3.1799768518518519E-2</v>
      </c>
      <c r="H775" s="52"/>
      <c r="I775" s="12">
        <f t="shared" si="311"/>
        <v>3.1768000518000521E-3</v>
      </c>
      <c r="J775" s="37">
        <f t="shared" si="312"/>
        <v>2.3833333333333333</v>
      </c>
      <c r="K775" s="37">
        <f>IF(J775=0,0,IF(B775="F",VLOOKUP(I775,Barem!$G$2:$H$16,2,1),VLOOKUP(I775,Barem!$G$17:$H$31,2,1)))</f>
        <v>3.5</v>
      </c>
      <c r="L775" s="50">
        <v>1</v>
      </c>
      <c r="M775" s="124" t="s">
        <v>207</v>
      </c>
      <c r="N775" s="10">
        <f t="shared" si="316"/>
        <v>0.25</v>
      </c>
      <c r="O775" s="10">
        <f t="shared" si="316"/>
        <v>0.25</v>
      </c>
      <c r="P775" s="10">
        <f t="shared" si="316"/>
        <v>0.5</v>
      </c>
      <c r="Q775" s="40">
        <f t="shared" si="313"/>
        <v>0</v>
      </c>
      <c r="R775" s="21">
        <f>IF(D775&gt;21,VLOOKUP(D775,Barem!$T$1:$U$141,2,1),0)</f>
        <v>0</v>
      </c>
      <c r="S775" s="152">
        <f>IF(D775&lt;1.609,0,IF(B775="F",VLOOKUP(I775,Barem!$X$2:$Z$13,2,1),VLOOKUP(I775,Barem!$X$14:$Z$25,2,1)))</f>
        <v>0</v>
      </c>
      <c r="T775" s="21">
        <f>VLOOKUP(A775,Participanti!A:C,3,0)</f>
        <v>0.4</v>
      </c>
      <c r="U775" s="18">
        <f t="shared" si="314"/>
        <v>2.3708333333333331</v>
      </c>
      <c r="V775" s="58" t="s">
        <v>484</v>
      </c>
      <c r="W775" s="77">
        <f t="shared" si="317"/>
        <v>1</v>
      </c>
      <c r="X775" s="1" t="str">
        <f>VLOOKUP(A775,Data_Echipe!A:R,18,0)</f>
        <v>UltraHaita lu' Borcan</v>
      </c>
      <c r="Z775" s="115">
        <f t="shared" si="315"/>
        <v>1</v>
      </c>
    </row>
    <row r="776" spans="1:26" x14ac:dyDescent="0.3">
      <c r="A776" s="49" t="s">
        <v>364</v>
      </c>
      <c r="B776" s="1" t="str">
        <f>VLOOKUP(A776,Participanti!A:B,2,0)</f>
        <v>M</v>
      </c>
      <c r="C776" s="74">
        <v>9</v>
      </c>
      <c r="D776" s="50">
        <v>4.03</v>
      </c>
      <c r="E776" s="51">
        <v>1.511574074074074E-2</v>
      </c>
      <c r="F776" s="51">
        <v>1.511574074074074E-2</v>
      </c>
      <c r="G776" s="69">
        <f t="shared" si="310"/>
        <v>1.511574074074074E-2</v>
      </c>
      <c r="H776" s="52"/>
      <c r="I776" s="12">
        <f t="shared" si="311"/>
        <v>3.7508041540299602E-3</v>
      </c>
      <c r="J776" s="37">
        <f t="shared" si="312"/>
        <v>0.95952380952380956</v>
      </c>
      <c r="K776" s="37">
        <f>IF(J776=0,0,IF(B776="F",VLOOKUP(I776,Barem!$G$2:$H$16,2,1),VLOOKUP(I776,Barem!$G$17:$H$31,2,1)))</f>
        <v>2</v>
      </c>
      <c r="L776" s="50">
        <v>1.5</v>
      </c>
      <c r="M776" s="124" t="s">
        <v>207</v>
      </c>
      <c r="N776" s="10">
        <f t="shared" si="316"/>
        <v>0.25</v>
      </c>
      <c r="O776" s="10">
        <f t="shared" si="316"/>
        <v>0.25</v>
      </c>
      <c r="P776" s="10">
        <f t="shared" si="316"/>
        <v>0.5</v>
      </c>
      <c r="Q776" s="40">
        <f t="shared" si="313"/>
        <v>0</v>
      </c>
      <c r="R776" s="21">
        <f>IF(D776&gt;21,VLOOKUP(D776,Barem!$T$1:$U$141,2,1),0)</f>
        <v>0</v>
      </c>
      <c r="S776" s="152">
        <f>IF(D776&lt;1.609,0,IF(B776="F",VLOOKUP(I776,Barem!$X$2:$Z$13,2,1),VLOOKUP(I776,Barem!$X$14:$Z$25,2,1)))</f>
        <v>0</v>
      </c>
      <c r="T776" s="21">
        <f>VLOOKUP(A776,Participanti!A:C,3,0)</f>
        <v>0</v>
      </c>
      <c r="U776" s="18">
        <f t="shared" si="314"/>
        <v>1.4898809523809524</v>
      </c>
      <c r="V776" s="58" t="s">
        <v>484</v>
      </c>
      <c r="W776" s="77">
        <f t="shared" si="317"/>
        <v>1</v>
      </c>
      <c r="X776" s="1" t="e">
        <f>VLOOKUP(A776,Data_Echipe!A:R,18,0)</f>
        <v>#N/A</v>
      </c>
      <c r="Z776" s="115">
        <f t="shared" si="315"/>
        <v>1</v>
      </c>
    </row>
    <row r="777" spans="1:26" x14ac:dyDescent="0.3">
      <c r="A777" s="49" t="s">
        <v>49</v>
      </c>
      <c r="B777" s="1" t="str">
        <f>VLOOKUP(A777,Participanti!A:B,2,0)</f>
        <v>M</v>
      </c>
      <c r="C777" s="74">
        <v>9</v>
      </c>
      <c r="D777" s="50">
        <v>21.11</v>
      </c>
      <c r="E777" s="51">
        <v>6.1851851851851852E-2</v>
      </c>
      <c r="F777" s="51">
        <v>6.1851851851851852E-2</v>
      </c>
      <c r="G777" s="69">
        <f t="shared" si="310"/>
        <v>6.1851851851851852E-2</v>
      </c>
      <c r="H777" s="52"/>
      <c r="I777" s="12">
        <f t="shared" si="311"/>
        <v>2.9299787708124991E-3</v>
      </c>
      <c r="J777" s="37">
        <f t="shared" si="312"/>
        <v>5</v>
      </c>
      <c r="K777" s="37">
        <f>IF(J777=0,0,IF(B777="F",VLOOKUP(I777,Barem!$G$2:$H$16,2,1),VLOOKUP(I777,Barem!$G$17:$H$31,2,1)))</f>
        <v>4.5</v>
      </c>
      <c r="L777" s="50">
        <v>4.25</v>
      </c>
      <c r="M777" s="124" t="s">
        <v>107</v>
      </c>
      <c r="N777" s="10">
        <f t="shared" si="316"/>
        <v>0.25</v>
      </c>
      <c r="O777" s="10">
        <f t="shared" si="316"/>
        <v>0.5</v>
      </c>
      <c r="P777" s="10">
        <f t="shared" si="316"/>
        <v>0.25</v>
      </c>
      <c r="Q777" s="40">
        <f t="shared" si="313"/>
        <v>0</v>
      </c>
      <c r="R777" s="21">
        <f>IF(D777&gt;21,VLOOKUP(D777,Barem!$T$1:$U$141,2,1),0)</f>
        <v>0</v>
      </c>
      <c r="S777" s="152">
        <f>IF(D777&lt;1.609,0,IF(B777="F",VLOOKUP(I777,Barem!$X$2:$Z$13,2,1),VLOOKUP(I777,Barem!$X$14:$Z$25,2,1)))</f>
        <v>0</v>
      </c>
      <c r="T777" s="21">
        <f>VLOOKUP(A777,Participanti!A:C,3,0)</f>
        <v>0</v>
      </c>
      <c r="U777" s="18">
        <f t="shared" si="314"/>
        <v>4.5625</v>
      </c>
      <c r="V777" s="58" t="s">
        <v>484</v>
      </c>
      <c r="W777" s="77">
        <f t="shared" si="317"/>
        <v>1</v>
      </c>
      <c r="X777" s="1" t="str">
        <f>VLOOKUP(A777,Data_Echipe!A:R,18,0)</f>
        <v>The GOATs</v>
      </c>
      <c r="Z777" s="115">
        <f t="shared" si="315"/>
        <v>1</v>
      </c>
    </row>
    <row r="778" spans="1:26" x14ac:dyDescent="0.3">
      <c r="A778" s="49" t="s">
        <v>374</v>
      </c>
      <c r="B778" s="1" t="str">
        <f>VLOOKUP(A778,Participanti!A:B,2,0)</f>
        <v>M</v>
      </c>
      <c r="C778" s="74">
        <v>9</v>
      </c>
      <c r="D778" s="50">
        <v>24.75</v>
      </c>
      <c r="E778" s="51">
        <v>7.8263888888888897E-2</v>
      </c>
      <c r="F778" s="51">
        <v>7.9328703703703707E-2</v>
      </c>
      <c r="G778" s="69">
        <f t="shared" si="310"/>
        <v>7.8796296296296309E-2</v>
      </c>
      <c r="H778" s="52">
        <v>532</v>
      </c>
      <c r="I778" s="12">
        <f t="shared" si="311"/>
        <v>3.1836887392442952E-3</v>
      </c>
      <c r="J778" s="37">
        <f t="shared" si="312"/>
        <v>5</v>
      </c>
      <c r="K778" s="37">
        <f>IF(J778=0,0,IF(B778="F",VLOOKUP(I778,Barem!$G$2:$H$16,2,1),VLOOKUP(I778,Barem!$G$17:$H$31,2,1)))</f>
        <v>3.5</v>
      </c>
      <c r="L778" s="50">
        <v>1.5</v>
      </c>
      <c r="M778" s="124" t="s">
        <v>106</v>
      </c>
      <c r="N778" s="10">
        <f t="shared" si="316"/>
        <v>0.5</v>
      </c>
      <c r="O778" s="10">
        <f t="shared" si="316"/>
        <v>0.25</v>
      </c>
      <c r="P778" s="10">
        <f t="shared" si="316"/>
        <v>0.25</v>
      </c>
      <c r="Q778" s="40">
        <f t="shared" si="313"/>
        <v>0.35466666666666669</v>
      </c>
      <c r="R778" s="21">
        <f>IF(D778&gt;21,VLOOKUP(D778,Barem!$T$1:$U$141,2,1),0)</f>
        <v>0.1</v>
      </c>
      <c r="S778" s="152">
        <f>IF(D778&lt;1.609,0,IF(B778="F",VLOOKUP(I778,Barem!$X$2:$Z$13,2,1),VLOOKUP(I778,Barem!$X$14:$Z$25,2,1)))</f>
        <v>0</v>
      </c>
      <c r="T778" s="21">
        <f>VLOOKUP(A778,Participanti!A:C,3,0)</f>
        <v>0</v>
      </c>
      <c r="U778" s="18">
        <f t="shared" si="314"/>
        <v>4.2046666666666663</v>
      </c>
      <c r="V778" s="58" t="s">
        <v>484</v>
      </c>
      <c r="W778" s="77">
        <f t="shared" si="317"/>
        <v>1</v>
      </c>
      <c r="X778" s="1" t="e">
        <f>VLOOKUP(A778,Data_Echipe!A:R,18,0)</f>
        <v>#N/A</v>
      </c>
      <c r="Z778" s="115">
        <f t="shared" si="315"/>
        <v>1</v>
      </c>
    </row>
    <row r="779" spans="1:26" x14ac:dyDescent="0.3">
      <c r="A779" s="49" t="s">
        <v>331</v>
      </c>
      <c r="B779" s="1" t="str">
        <f>VLOOKUP(A779,Participanti!A:B,2,0)</f>
        <v>F</v>
      </c>
      <c r="C779" s="74">
        <v>9</v>
      </c>
      <c r="D779" s="50">
        <v>10.01</v>
      </c>
      <c r="E779" s="51">
        <v>4.1979166666666672E-2</v>
      </c>
      <c r="F779" s="51">
        <v>4.2731481481481481E-2</v>
      </c>
      <c r="G779" s="69">
        <f t="shared" si="310"/>
        <v>4.235532407407408E-2</v>
      </c>
      <c r="H779" s="52"/>
      <c r="I779" s="12">
        <f t="shared" si="311"/>
        <v>4.2313011063011066E-3</v>
      </c>
      <c r="J779" s="37">
        <f t="shared" si="312"/>
        <v>2.5024999999999999</v>
      </c>
      <c r="K779" s="37">
        <f>IF(J779=0,0,IF(B779="F",VLOOKUP(I779,Barem!$G$2:$H$16,2,1),VLOOKUP(I779,Barem!$G$17:$H$31,2,1)))</f>
        <v>1.75</v>
      </c>
      <c r="L779" s="50">
        <v>3</v>
      </c>
      <c r="M779" s="124" t="s">
        <v>106</v>
      </c>
      <c r="N779" s="10">
        <f t="shared" si="316"/>
        <v>0.5</v>
      </c>
      <c r="O779" s="10">
        <f t="shared" si="316"/>
        <v>0.25</v>
      </c>
      <c r="P779" s="10">
        <f t="shared" si="316"/>
        <v>0.25</v>
      </c>
      <c r="Q779" s="40">
        <f t="shared" si="313"/>
        <v>0</v>
      </c>
      <c r="R779" s="21">
        <f>IF(D779&gt;21,VLOOKUP(D779,Barem!$T$1:$U$141,2,1),0)</f>
        <v>0</v>
      </c>
      <c r="S779" s="152">
        <f>IF(D779&lt;1.609,0,IF(B779="F",VLOOKUP(I779,Barem!$X$2:$Z$13,2,1),VLOOKUP(I779,Barem!$X$14:$Z$25,2,1)))</f>
        <v>0</v>
      </c>
      <c r="T779" s="21">
        <f>VLOOKUP(A779,Participanti!A:C,3,0)</f>
        <v>0</v>
      </c>
      <c r="U779" s="18">
        <f t="shared" si="314"/>
        <v>2.4387499999999998</v>
      </c>
      <c r="V779" s="58" t="s">
        <v>484</v>
      </c>
      <c r="W779" s="77">
        <f t="shared" si="317"/>
        <v>1</v>
      </c>
      <c r="X779" s="1" t="str">
        <f>VLOOKUP(A779,Data_Echipe!A:R,18,0)</f>
        <v>MedgidiaRunning</v>
      </c>
      <c r="Z779" s="115">
        <f t="shared" si="315"/>
        <v>1</v>
      </c>
    </row>
    <row r="780" spans="1:26" x14ac:dyDescent="0.3">
      <c r="A780" s="49" t="s">
        <v>58</v>
      </c>
      <c r="B780" s="1" t="str">
        <f>VLOOKUP(A780,Participanti!A:B,2,0)</f>
        <v>M</v>
      </c>
      <c r="C780" s="74">
        <v>9</v>
      </c>
      <c r="D780" s="50">
        <v>8.23</v>
      </c>
      <c r="E780" s="51">
        <v>4.0393518518518516E-2</v>
      </c>
      <c r="F780" s="51">
        <v>4.1365740740740745E-2</v>
      </c>
      <c r="G780" s="69">
        <f t="shared" si="310"/>
        <v>4.0879629629629627E-2</v>
      </c>
      <c r="H780" s="52"/>
      <c r="I780" s="12">
        <f t="shared" si="311"/>
        <v>4.9671481931506225E-3</v>
      </c>
      <c r="J780" s="37">
        <f t="shared" si="312"/>
        <v>1.9595238095238094</v>
      </c>
      <c r="K780" s="37">
        <f>IF(J780=0,0,IF(B780="F",VLOOKUP(I780,Barem!$G$2:$H$16,2,1),VLOOKUP(I780,Barem!$G$17:$H$31,2,1)))</f>
        <v>0.25</v>
      </c>
      <c r="L780" s="50">
        <v>0.5</v>
      </c>
      <c r="M780" s="124" t="s">
        <v>207</v>
      </c>
      <c r="N780" s="10">
        <f t="shared" si="316"/>
        <v>0.25</v>
      </c>
      <c r="O780" s="10">
        <f t="shared" si="316"/>
        <v>0.25</v>
      </c>
      <c r="P780" s="10">
        <f t="shared" si="316"/>
        <v>0.5</v>
      </c>
      <c r="Q780" s="40">
        <f t="shared" si="313"/>
        <v>0</v>
      </c>
      <c r="R780" s="21">
        <f>IF(D780&gt;21,VLOOKUP(D780,Barem!$T$1:$U$141,2,1),0)</f>
        <v>0</v>
      </c>
      <c r="S780" s="152">
        <f>IF(D780&lt;1.609,0,IF(B780="F",VLOOKUP(I780,Barem!$X$2:$Z$13,2,1),VLOOKUP(I780,Barem!$X$14:$Z$25,2,1)))</f>
        <v>0</v>
      </c>
      <c r="T780" s="21">
        <f>VLOOKUP(A780,Participanti!A:C,3,0)</f>
        <v>0</v>
      </c>
      <c r="U780" s="18">
        <f t="shared" si="314"/>
        <v>0.80238095238095242</v>
      </c>
      <c r="V780" s="58" t="s">
        <v>484</v>
      </c>
      <c r="W780" s="77">
        <f t="shared" si="317"/>
        <v>1</v>
      </c>
      <c r="X780" s="1" t="e">
        <f>VLOOKUP(A780,Data_Echipe!A:R,18,0)</f>
        <v>#N/A</v>
      </c>
      <c r="Z780" s="115">
        <f t="shared" si="315"/>
        <v>1</v>
      </c>
    </row>
    <row r="781" spans="1:26" x14ac:dyDescent="0.3">
      <c r="A781" s="49" t="s">
        <v>203</v>
      </c>
      <c r="B781" s="1" t="str">
        <f>VLOOKUP(A781,Participanti!A:B,2,0)</f>
        <v>M</v>
      </c>
      <c r="C781" s="74">
        <v>9</v>
      </c>
      <c r="D781" s="50">
        <v>3.01</v>
      </c>
      <c r="E781" s="51">
        <v>1.0277777777777778E-2</v>
      </c>
      <c r="F781" s="51">
        <v>1.0532407407407407E-2</v>
      </c>
      <c r="G781" s="69">
        <f t="shared" si="310"/>
        <v>1.0405092592592593E-2</v>
      </c>
      <c r="H781" s="52">
        <v>77</v>
      </c>
      <c r="I781" s="12">
        <f t="shared" si="311"/>
        <v>3.4568413928879049E-3</v>
      </c>
      <c r="J781" s="37">
        <f t="shared" si="312"/>
        <v>0.71666666666666656</v>
      </c>
      <c r="K781" s="37">
        <f>IF(J781=0,0,IF(B781="F",VLOOKUP(I781,Barem!$G$2:$H$16,2,1),VLOOKUP(I781,Barem!$G$17:$H$31,2,1)))</f>
        <v>3</v>
      </c>
      <c r="L781" s="50">
        <v>3.25</v>
      </c>
      <c r="M781" s="124" t="s">
        <v>207</v>
      </c>
      <c r="N781" s="10">
        <f t="shared" si="316"/>
        <v>0.25</v>
      </c>
      <c r="O781" s="10">
        <f t="shared" si="316"/>
        <v>0.25</v>
      </c>
      <c r="P781" s="10">
        <f t="shared" si="316"/>
        <v>0.5</v>
      </c>
      <c r="Q781" s="40">
        <f t="shared" si="313"/>
        <v>5.1333333333333335E-2</v>
      </c>
      <c r="R781" s="21">
        <f>IF(D781&gt;21,VLOOKUP(D781,Barem!$T$1:$U$141,2,1),0)</f>
        <v>0</v>
      </c>
      <c r="S781" s="152">
        <f>IF(D781&lt;1.609,0,IF(B781="F",VLOOKUP(I781,Barem!$X$2:$Z$13,2,1),VLOOKUP(I781,Barem!$X$14:$Z$25,2,1)))</f>
        <v>0</v>
      </c>
      <c r="T781" s="21">
        <f>VLOOKUP(A781,Participanti!A:C,3,0)</f>
        <v>0</v>
      </c>
      <c r="U781" s="18">
        <f t="shared" si="314"/>
        <v>2.6055000000000001</v>
      </c>
      <c r="V781" s="58" t="s">
        <v>484</v>
      </c>
      <c r="W781" s="77">
        <f t="shared" si="317"/>
        <v>1</v>
      </c>
      <c r="X781" s="1" t="str">
        <f>VLOOKUP(A781,Data_Echipe!A:R,18,0)</f>
        <v>The GOATs</v>
      </c>
      <c r="Z781" s="115">
        <f t="shared" si="315"/>
        <v>1</v>
      </c>
    </row>
    <row r="782" spans="1:26" x14ac:dyDescent="0.3">
      <c r="A782" s="49" t="s">
        <v>114</v>
      </c>
      <c r="B782" s="1" t="str">
        <f>VLOOKUP(A782,Participanti!A:B,2,0)</f>
        <v>M</v>
      </c>
      <c r="C782" s="74">
        <v>9</v>
      </c>
      <c r="D782" s="50">
        <v>13.71</v>
      </c>
      <c r="E782" s="51">
        <v>7.846064814814814E-2</v>
      </c>
      <c r="F782" s="51">
        <v>8.4768518518518521E-2</v>
      </c>
      <c r="G782" s="69">
        <f t="shared" si="310"/>
        <v>8.1614583333333324E-2</v>
      </c>
      <c r="H782" s="52">
        <v>543</v>
      </c>
      <c r="I782" s="12">
        <f t="shared" si="311"/>
        <v>5.9529236566982727E-3</v>
      </c>
      <c r="J782" s="37">
        <f t="shared" si="312"/>
        <v>3.2642857142857142</v>
      </c>
      <c r="K782" s="37">
        <f>IF(J782=0,0,IF(B782="F",VLOOKUP(I782,Barem!$G$2:$H$16,2,1),VLOOKUP(I782,Barem!$G$17:$H$31,2,1)))</f>
        <v>0</v>
      </c>
      <c r="L782" s="50">
        <v>3.5</v>
      </c>
      <c r="M782" s="124" t="s">
        <v>207</v>
      </c>
      <c r="N782" s="10">
        <f t="shared" si="316"/>
        <v>0.25</v>
      </c>
      <c r="O782" s="10">
        <f t="shared" si="316"/>
        <v>0.25</v>
      </c>
      <c r="P782" s="10">
        <f t="shared" si="316"/>
        <v>0.5</v>
      </c>
      <c r="Q782" s="40">
        <f t="shared" si="313"/>
        <v>0.36199999999999999</v>
      </c>
      <c r="R782" s="21">
        <f>IF(D782&gt;21,VLOOKUP(D782,Barem!$T$1:$U$141,2,1),0)</f>
        <v>0</v>
      </c>
      <c r="S782" s="152">
        <f>IF(D782&lt;1.609,0,IF(B782="F",VLOOKUP(I782,Barem!$X$2:$Z$13,2,1),VLOOKUP(I782,Barem!$X$14:$Z$25,2,1)))</f>
        <v>0</v>
      </c>
      <c r="T782" s="21">
        <f>VLOOKUP(A782,Participanti!A:C,3,0)</f>
        <v>0</v>
      </c>
      <c r="U782" s="18">
        <f t="shared" si="314"/>
        <v>2.9280714285714287</v>
      </c>
      <c r="V782" s="58" t="s">
        <v>484</v>
      </c>
      <c r="W782" s="77">
        <f t="shared" si="317"/>
        <v>1</v>
      </c>
      <c r="X782" s="1" t="str">
        <f>VLOOKUP(A782,Data_Echipe!A:R,18,0)</f>
        <v>#notSYRious</v>
      </c>
      <c r="Z782" s="115">
        <f t="shared" si="315"/>
        <v>0</v>
      </c>
    </row>
    <row r="783" spans="1:26" x14ac:dyDescent="0.3">
      <c r="A783" s="49" t="s">
        <v>248</v>
      </c>
      <c r="B783" s="1" t="str">
        <f>VLOOKUP(A783,Participanti!A:B,2,0)</f>
        <v>M</v>
      </c>
      <c r="C783" s="74">
        <v>9</v>
      </c>
      <c r="D783" s="50">
        <v>23.09</v>
      </c>
      <c r="E783" s="51">
        <v>8.2094907407407408E-2</v>
      </c>
      <c r="F783" s="51">
        <v>8.9884259259259261E-2</v>
      </c>
      <c r="G783" s="69">
        <f t="shared" si="310"/>
        <v>8.5989583333333341E-2</v>
      </c>
      <c r="H783" s="52"/>
      <c r="I783" s="12">
        <f t="shared" si="311"/>
        <v>3.7241049516385165E-3</v>
      </c>
      <c r="J783" s="37">
        <f t="shared" si="312"/>
        <v>5</v>
      </c>
      <c r="K783" s="37">
        <f>IF(J783=0,0,IF(B783="F",VLOOKUP(I783,Barem!$G$2:$H$16,2,1),VLOOKUP(I783,Barem!$G$17:$H$31,2,1)))</f>
        <v>2</v>
      </c>
      <c r="L783" s="50">
        <v>1.25</v>
      </c>
      <c r="M783" s="124" t="s">
        <v>106</v>
      </c>
      <c r="N783" s="10">
        <f t="shared" si="316"/>
        <v>0.5</v>
      </c>
      <c r="O783" s="10">
        <f t="shared" si="316"/>
        <v>0.25</v>
      </c>
      <c r="P783" s="10">
        <f t="shared" si="316"/>
        <v>0.25</v>
      </c>
      <c r="Q783" s="40">
        <f t="shared" si="313"/>
        <v>0</v>
      </c>
      <c r="R783" s="21">
        <f>IF(D783&gt;21,VLOOKUP(D783,Barem!$T$1:$U$141,2,1),0)</f>
        <v>0.1</v>
      </c>
      <c r="S783" s="152">
        <f>IF(D783&lt;1.609,0,IF(B783="F",VLOOKUP(I783,Barem!$X$2:$Z$13,2,1),VLOOKUP(I783,Barem!$X$14:$Z$25,2,1)))</f>
        <v>0</v>
      </c>
      <c r="T783" s="21">
        <f>VLOOKUP(A783,Participanti!A:C,3,0)</f>
        <v>0</v>
      </c>
      <c r="U783" s="18">
        <f t="shared" si="314"/>
        <v>3.4125000000000001</v>
      </c>
      <c r="V783" s="58" t="s">
        <v>484</v>
      </c>
      <c r="W783" s="77">
        <f t="shared" si="317"/>
        <v>1</v>
      </c>
      <c r="X783" s="1" t="str">
        <f>VLOOKUP(A783,Data_Echipe!A:R,18,0)</f>
        <v>Almost Kenyan Runners</v>
      </c>
      <c r="Z783" s="115">
        <f t="shared" si="315"/>
        <v>1</v>
      </c>
    </row>
    <row r="784" spans="1:26" x14ac:dyDescent="0.3">
      <c r="A784" s="49" t="s">
        <v>51</v>
      </c>
      <c r="B784" s="1" t="str">
        <f>VLOOKUP(A784,Participanti!A:B,2,0)</f>
        <v>M</v>
      </c>
      <c r="C784" s="74">
        <v>9</v>
      </c>
      <c r="D784" s="50">
        <v>15.3</v>
      </c>
      <c r="E784" s="51">
        <v>9.3032407407407411E-2</v>
      </c>
      <c r="F784" s="51">
        <v>9.8125000000000004E-2</v>
      </c>
      <c r="G784" s="69">
        <f t="shared" si="310"/>
        <v>9.5578703703703707E-2</v>
      </c>
      <c r="H784" s="52">
        <v>1032</v>
      </c>
      <c r="I784" s="12">
        <f t="shared" si="311"/>
        <v>6.2469740982812874E-3</v>
      </c>
      <c r="J784" s="37">
        <f t="shared" si="312"/>
        <v>3.6428571428571428</v>
      </c>
      <c r="K784" s="37">
        <f>IF(J784=0,0,IF(B784="F",VLOOKUP(I784,Barem!$G$2:$H$16,2,1),VLOOKUP(I784,Barem!$G$17:$H$31,2,1)))</f>
        <v>0</v>
      </c>
      <c r="L784" s="50">
        <v>3.75</v>
      </c>
      <c r="M784" s="124" t="s">
        <v>207</v>
      </c>
      <c r="N784" s="10">
        <f t="shared" si="316"/>
        <v>0.25</v>
      </c>
      <c r="O784" s="10">
        <f t="shared" si="316"/>
        <v>0.25</v>
      </c>
      <c r="P784" s="10">
        <f t="shared" si="316"/>
        <v>0.5</v>
      </c>
      <c r="Q784" s="40">
        <f t="shared" si="313"/>
        <v>0.68799999999999994</v>
      </c>
      <c r="R784" s="21">
        <f>IF(D784&gt;21,VLOOKUP(D784,Barem!$T$1:$U$141,2,1),0)</f>
        <v>0</v>
      </c>
      <c r="S784" s="152">
        <f>IF(D784&lt;1.609,0,IF(B784="F",VLOOKUP(I784,Barem!$X$2:$Z$13,2,1),VLOOKUP(I784,Barem!$X$14:$Z$25,2,1)))</f>
        <v>0</v>
      </c>
      <c r="T784" s="21">
        <f>VLOOKUP(A784,Participanti!A:C,3,0)</f>
        <v>0</v>
      </c>
      <c r="U784" s="18">
        <f t="shared" si="314"/>
        <v>3.4737142857142853</v>
      </c>
      <c r="V784" s="58" t="s">
        <v>484</v>
      </c>
      <c r="W784" s="77">
        <f t="shared" si="317"/>
        <v>1</v>
      </c>
      <c r="X784" s="1" t="str">
        <f>VLOOKUP(A784,Data_Echipe!A:R,18,0)</f>
        <v>The GOATs</v>
      </c>
      <c r="Z784" s="115">
        <f t="shared" si="315"/>
        <v>0</v>
      </c>
    </row>
    <row r="785" spans="1:26" x14ac:dyDescent="0.3">
      <c r="A785" s="49" t="s">
        <v>227</v>
      </c>
      <c r="B785" s="1" t="str">
        <f>VLOOKUP(A785,Participanti!A:B,2,0)</f>
        <v>M</v>
      </c>
      <c r="C785" s="74">
        <v>9</v>
      </c>
      <c r="D785" s="50">
        <v>44</v>
      </c>
      <c r="E785" s="51">
        <v>0.15991898148148148</v>
      </c>
      <c r="F785" s="51">
        <v>0.16359953703703703</v>
      </c>
      <c r="G785" s="69">
        <f t="shared" si="310"/>
        <v>0.16175925925925927</v>
      </c>
      <c r="H785" s="52">
        <v>201</v>
      </c>
      <c r="I785" s="12">
        <f t="shared" si="311"/>
        <v>3.6763468013468015E-3</v>
      </c>
      <c r="J785" s="37">
        <f t="shared" si="312"/>
        <v>5</v>
      </c>
      <c r="K785" s="37">
        <f>IF(J785=0,0,IF(B785="F",VLOOKUP(I785,Barem!$G$2:$H$16,2,1),VLOOKUP(I785,Barem!$G$17:$H$31,2,1)))</f>
        <v>2</v>
      </c>
      <c r="L785" s="50">
        <v>3.5</v>
      </c>
      <c r="M785" s="124" t="s">
        <v>107</v>
      </c>
      <c r="N785" s="10">
        <f t="shared" si="316"/>
        <v>0.25</v>
      </c>
      <c r="O785" s="10">
        <f t="shared" si="316"/>
        <v>0.5</v>
      </c>
      <c r="P785" s="10">
        <f t="shared" si="316"/>
        <v>0.25</v>
      </c>
      <c r="Q785" s="40">
        <f t="shared" si="313"/>
        <v>0.13400000000000001</v>
      </c>
      <c r="R785" s="21">
        <f>IF(D785&gt;21,VLOOKUP(D785,Barem!$T$1:$U$141,2,1),0)</f>
        <v>1.1000000000000001</v>
      </c>
      <c r="S785" s="152">
        <f>IF(D785&lt;1.609,0,IF(B785="F",VLOOKUP(I785,Barem!$X$2:$Z$13,2,1),VLOOKUP(I785,Barem!$X$14:$Z$25,2,1)))</f>
        <v>0</v>
      </c>
      <c r="T785" s="21">
        <f>VLOOKUP(A785,Participanti!A:C,3,0)</f>
        <v>0</v>
      </c>
      <c r="U785" s="18">
        <f t="shared" si="314"/>
        <v>4.359</v>
      </c>
      <c r="V785" s="58" t="s">
        <v>484</v>
      </c>
      <c r="W785" s="77">
        <f t="shared" si="317"/>
        <v>1</v>
      </c>
      <c r="X785" s="1" t="str">
        <f>VLOOKUP(A785,Data_Echipe!A:R,18,0)</f>
        <v>UltraHaita lu' Borcan</v>
      </c>
      <c r="Z785" s="115">
        <f t="shared" si="315"/>
        <v>1</v>
      </c>
    </row>
    <row r="786" spans="1:26" x14ac:dyDescent="0.3">
      <c r="A786" s="49" t="s">
        <v>45</v>
      </c>
      <c r="B786" s="1" t="str">
        <f>VLOOKUP(A786,Participanti!A:B,2,0)</f>
        <v>F</v>
      </c>
      <c r="C786" s="74">
        <v>9</v>
      </c>
      <c r="D786" s="50">
        <v>9.1</v>
      </c>
      <c r="E786" s="51">
        <v>3.6967592592592594E-2</v>
      </c>
      <c r="F786" s="51">
        <v>5.0856481481481482E-2</v>
      </c>
      <c r="G786" s="69">
        <f t="shared" si="310"/>
        <v>4.3912037037037041E-2</v>
      </c>
      <c r="H786" s="52"/>
      <c r="I786" s="12">
        <f t="shared" si="311"/>
        <v>4.825498575498576E-3</v>
      </c>
      <c r="J786" s="37">
        <f t="shared" si="312"/>
        <v>2.2749999999999999</v>
      </c>
      <c r="K786" s="37">
        <f>IF(J786=0,0,IF(B786="F",VLOOKUP(I786,Barem!$G$2:$H$16,2,1),VLOOKUP(I786,Barem!$G$17:$H$31,2,1)))</f>
        <v>1</v>
      </c>
      <c r="L786" s="50">
        <v>3.25</v>
      </c>
      <c r="M786" s="124" t="s">
        <v>107</v>
      </c>
      <c r="N786" s="10">
        <f t="shared" si="316"/>
        <v>0.25</v>
      </c>
      <c r="O786" s="10">
        <f t="shared" si="316"/>
        <v>0.5</v>
      </c>
      <c r="P786" s="10">
        <f t="shared" si="316"/>
        <v>0.25</v>
      </c>
      <c r="Q786" s="40">
        <f t="shared" si="313"/>
        <v>0</v>
      </c>
      <c r="R786" s="21">
        <f>IF(D786&gt;21,VLOOKUP(D786,Barem!$T$1:$U$141,2,1),0)</f>
        <v>0</v>
      </c>
      <c r="S786" s="152">
        <f>IF(D786&lt;1.609,0,IF(B786="F",VLOOKUP(I786,Barem!$X$2:$Z$13,2,1),VLOOKUP(I786,Barem!$X$14:$Z$25,2,1)))</f>
        <v>0</v>
      </c>
      <c r="T786" s="21">
        <f>VLOOKUP(A786,Participanti!A:C,3,0)</f>
        <v>0</v>
      </c>
      <c r="U786" s="18">
        <f t="shared" si="314"/>
        <v>1.8812500000000001</v>
      </c>
      <c r="V786" s="58" t="s">
        <v>484</v>
      </c>
      <c r="W786" s="77">
        <f t="shared" si="317"/>
        <v>1</v>
      </c>
      <c r="X786" s="1" t="e">
        <f>VLOOKUP(A786,Data_Echipe!A:R,18,0)</f>
        <v>#N/A</v>
      </c>
      <c r="Z786" s="115">
        <f t="shared" si="315"/>
        <v>1</v>
      </c>
    </row>
    <row r="787" spans="1:26" x14ac:dyDescent="0.3">
      <c r="A787" s="49" t="s">
        <v>137</v>
      </c>
      <c r="B787" s="1" t="str">
        <f>VLOOKUP(A787,Participanti!A:B,2,0)</f>
        <v>M</v>
      </c>
      <c r="C787" s="74">
        <v>9</v>
      </c>
      <c r="D787" s="50">
        <v>11.14</v>
      </c>
      <c r="E787" s="51">
        <v>3.7175925925925925E-2</v>
      </c>
      <c r="F787" s="51">
        <v>4.0081018518518523E-2</v>
      </c>
      <c r="G787" s="69">
        <f t="shared" si="310"/>
        <v>3.8628472222222224E-2</v>
      </c>
      <c r="H787" s="52">
        <v>60</v>
      </c>
      <c r="I787" s="12">
        <f t="shared" si="311"/>
        <v>3.4675468781168962E-3</v>
      </c>
      <c r="J787" s="37">
        <f t="shared" si="312"/>
        <v>2.6523809523809523</v>
      </c>
      <c r="K787" s="37">
        <f>IF(J787=0,0,IF(B787="F",VLOOKUP(I787,Barem!$G$2:$H$16,2,1),VLOOKUP(I787,Barem!$G$17:$H$31,2,1)))</f>
        <v>3</v>
      </c>
      <c r="L787" s="50">
        <v>2</v>
      </c>
      <c r="M787" s="124" t="s">
        <v>107</v>
      </c>
      <c r="N787" s="10">
        <f t="shared" si="316"/>
        <v>0.25</v>
      </c>
      <c r="O787" s="10">
        <f t="shared" si="316"/>
        <v>0.5</v>
      </c>
      <c r="P787" s="10">
        <f t="shared" si="316"/>
        <v>0.25</v>
      </c>
      <c r="Q787" s="40">
        <f t="shared" si="313"/>
        <v>0.04</v>
      </c>
      <c r="R787" s="21">
        <f>IF(D787&gt;21,VLOOKUP(D787,Barem!$T$1:$U$141,2,1),0)</f>
        <v>0</v>
      </c>
      <c r="S787" s="152">
        <f>IF(D787&lt;1.609,0,IF(B787="F",VLOOKUP(I787,Barem!$X$2:$Z$13,2,1),VLOOKUP(I787,Barem!$X$14:$Z$25,2,1)))</f>
        <v>0</v>
      </c>
      <c r="T787" s="21">
        <f>VLOOKUP(A787,Participanti!A:C,3,0)</f>
        <v>0</v>
      </c>
      <c r="U787" s="18">
        <f t="shared" si="314"/>
        <v>2.703095238095238</v>
      </c>
      <c r="V787" s="58" t="s">
        <v>484</v>
      </c>
      <c r="W787" s="77">
        <f t="shared" si="317"/>
        <v>1</v>
      </c>
      <c r="X787" s="1" t="str">
        <f>VLOOKUP(A787,Data_Echipe!A:R,18,0)</f>
        <v>The GOATs</v>
      </c>
      <c r="Z787" s="115">
        <f t="shared" si="315"/>
        <v>1</v>
      </c>
    </row>
    <row r="788" spans="1:26" x14ac:dyDescent="0.3">
      <c r="A788" s="49" t="s">
        <v>376</v>
      </c>
      <c r="B788" s="1" t="str">
        <f>VLOOKUP(A788,Participanti!A:B,2,0)</f>
        <v>M</v>
      </c>
      <c r="C788" s="74">
        <v>9</v>
      </c>
      <c r="D788" s="50">
        <v>13.38</v>
      </c>
      <c r="E788" s="51">
        <v>5.2627314814814814E-2</v>
      </c>
      <c r="F788" s="51">
        <v>7.1018518518518522E-2</v>
      </c>
      <c r="G788" s="69">
        <f t="shared" si="310"/>
        <v>6.1822916666666672E-2</v>
      </c>
      <c r="H788" s="52">
        <v>541</v>
      </c>
      <c r="I788" s="12">
        <f t="shared" si="311"/>
        <v>4.620546836073742E-3</v>
      </c>
      <c r="J788" s="37">
        <f t="shared" si="312"/>
        <v>3.1857142857142859</v>
      </c>
      <c r="K788" s="37">
        <f>IF(J788=0,0,IF(B788="F",VLOOKUP(I788,Barem!$G$2:$H$16,2,1),VLOOKUP(I788,Barem!$G$17:$H$31,2,1)))</f>
        <v>0.75</v>
      </c>
      <c r="L788" s="50">
        <v>2.25</v>
      </c>
      <c r="M788" s="124" t="s">
        <v>207</v>
      </c>
      <c r="N788" s="10">
        <f t="shared" si="316"/>
        <v>0.25</v>
      </c>
      <c r="O788" s="10">
        <f t="shared" si="316"/>
        <v>0.25</v>
      </c>
      <c r="P788" s="10">
        <f t="shared" si="316"/>
        <v>0.5</v>
      </c>
      <c r="Q788" s="40">
        <f t="shared" si="313"/>
        <v>0.36066666666666669</v>
      </c>
      <c r="R788" s="21">
        <f>IF(D788&gt;21,VLOOKUP(D788,Barem!$T$1:$U$141,2,1),0)</f>
        <v>0</v>
      </c>
      <c r="S788" s="152">
        <f>IF(D788&lt;1.609,0,IF(B788="F",VLOOKUP(I788,Barem!$X$2:$Z$13,2,1),VLOOKUP(I788,Barem!$X$14:$Z$25,2,1)))</f>
        <v>0</v>
      </c>
      <c r="T788" s="21">
        <f>VLOOKUP(A788,Participanti!A:C,3,0)</f>
        <v>0</v>
      </c>
      <c r="U788" s="18">
        <f t="shared" si="314"/>
        <v>2.4695952380952386</v>
      </c>
      <c r="V788" s="58" t="s">
        <v>484</v>
      </c>
      <c r="W788" s="77">
        <f t="shared" si="317"/>
        <v>1</v>
      </c>
      <c r="X788" s="1" t="e">
        <f>VLOOKUP(A788,Data_Echipe!A:R,18,0)</f>
        <v>#N/A</v>
      </c>
      <c r="Z788" s="115">
        <f t="shared" si="315"/>
        <v>1</v>
      </c>
    </row>
    <row r="789" spans="1:26" x14ac:dyDescent="0.3">
      <c r="A789" s="49" t="s">
        <v>383</v>
      </c>
      <c r="B789" s="1" t="str">
        <f>VLOOKUP(A789,Participanti!A:B,2,0)</f>
        <v>F</v>
      </c>
      <c r="C789" s="74">
        <v>9</v>
      </c>
      <c r="D789" s="50">
        <v>14.02</v>
      </c>
      <c r="E789" s="51">
        <v>6.0810185185185182E-2</v>
      </c>
      <c r="F789" s="51">
        <v>9.5127314814814803E-2</v>
      </c>
      <c r="G789" s="69">
        <f t="shared" si="310"/>
        <v>7.7968749999999989E-2</v>
      </c>
      <c r="H789" s="52"/>
      <c r="I789" s="12">
        <f t="shared" si="311"/>
        <v>5.5612517831669034E-3</v>
      </c>
      <c r="J789" s="37">
        <f t="shared" si="312"/>
        <v>3.5049999999999999</v>
      </c>
      <c r="K789" s="37">
        <f>IF(J789=0,0,IF(B789="F",VLOOKUP(I789,Barem!$G$2:$H$16,2,1),VLOOKUP(I789,Barem!$G$17:$H$31,2,1)))</f>
        <v>0.25</v>
      </c>
      <c r="L789" s="50">
        <v>2</v>
      </c>
      <c r="M789" s="124" t="s">
        <v>106</v>
      </c>
      <c r="N789" s="10">
        <f t="shared" si="316"/>
        <v>0.5</v>
      </c>
      <c r="O789" s="10">
        <f t="shared" si="316"/>
        <v>0.25</v>
      </c>
      <c r="P789" s="10">
        <f t="shared" si="316"/>
        <v>0.25</v>
      </c>
      <c r="Q789" s="40">
        <f t="shared" si="313"/>
        <v>0</v>
      </c>
      <c r="R789" s="21">
        <f>IF(D789&gt;21,VLOOKUP(D789,Barem!$T$1:$U$141,2,1),0)</f>
        <v>0</v>
      </c>
      <c r="S789" s="152">
        <f>IF(D789&lt;1.609,0,IF(B789="F",VLOOKUP(I789,Barem!$X$2:$Z$13,2,1),VLOOKUP(I789,Barem!$X$14:$Z$25,2,1)))</f>
        <v>0</v>
      </c>
      <c r="T789" s="21">
        <f>VLOOKUP(A789,Participanti!A:C,3,0)</f>
        <v>0</v>
      </c>
      <c r="U789" s="18">
        <f t="shared" si="314"/>
        <v>2.3149999999999999</v>
      </c>
      <c r="V789" s="58" t="s">
        <v>484</v>
      </c>
      <c r="W789" s="77">
        <f t="shared" si="317"/>
        <v>1</v>
      </c>
      <c r="X789" s="1" t="str">
        <f>VLOOKUP(A789,Data_Echipe!A:R,18,0)</f>
        <v>The GOATs</v>
      </c>
      <c r="Z789" s="115">
        <f t="shared" si="315"/>
        <v>1</v>
      </c>
    </row>
    <row r="790" spans="1:26" x14ac:dyDescent="0.3">
      <c r="A790" s="49" t="s">
        <v>291</v>
      </c>
      <c r="B790" s="1" t="str">
        <f>VLOOKUP(A790,Participanti!A:B,2,0)</f>
        <v>F</v>
      </c>
      <c r="C790" s="74">
        <v>9</v>
      </c>
      <c r="D790" s="50">
        <v>10.14</v>
      </c>
      <c r="E790" s="51">
        <v>7.211805555555556E-2</v>
      </c>
      <c r="F790" s="51">
        <v>7.930555555555556E-2</v>
      </c>
      <c r="G790" s="69">
        <f t="shared" si="310"/>
        <v>7.5711805555555567E-2</v>
      </c>
      <c r="H790" s="52">
        <v>530</v>
      </c>
      <c r="I790" s="12">
        <f t="shared" si="311"/>
        <v>7.4666474906859527E-3</v>
      </c>
      <c r="J790" s="37">
        <f t="shared" si="312"/>
        <v>2.5350000000000001</v>
      </c>
      <c r="K790" s="37">
        <f>IF(J790=0,0,IF(B790="F",VLOOKUP(I790,Barem!$G$2:$H$16,2,1),VLOOKUP(I790,Barem!$G$17:$H$31,2,1)))</f>
        <v>0</v>
      </c>
      <c r="L790" s="50">
        <v>3.25</v>
      </c>
      <c r="M790" s="124" t="s">
        <v>207</v>
      </c>
      <c r="N790" s="10">
        <f t="shared" si="316"/>
        <v>0.25</v>
      </c>
      <c r="O790" s="10">
        <f t="shared" si="316"/>
        <v>0.25</v>
      </c>
      <c r="P790" s="10">
        <f t="shared" si="316"/>
        <v>0.5</v>
      </c>
      <c r="Q790" s="40">
        <f t="shared" si="313"/>
        <v>0.35333333333333333</v>
      </c>
      <c r="R790" s="21">
        <f>IF(D790&gt;21,VLOOKUP(D790,Barem!$T$1:$U$141,2,1),0)</f>
        <v>0</v>
      </c>
      <c r="S790" s="152">
        <f>IF(D790&lt;1.609,0,IF(B790="F",VLOOKUP(I790,Barem!$X$2:$Z$13,2,1),VLOOKUP(I790,Barem!$X$14:$Z$25,2,1)))</f>
        <v>0</v>
      </c>
      <c r="T790" s="21">
        <f>VLOOKUP(A790,Participanti!A:C,3,0)</f>
        <v>0</v>
      </c>
      <c r="U790" s="18">
        <f t="shared" si="314"/>
        <v>2.6120833333333335</v>
      </c>
      <c r="V790" s="58" t="s">
        <v>484</v>
      </c>
      <c r="W790" s="77">
        <f t="shared" si="317"/>
        <v>1</v>
      </c>
      <c r="X790" s="1" t="str">
        <f>VLOOKUP(A790,Data_Echipe!A:R,18,0)</f>
        <v>#notSYRious</v>
      </c>
      <c r="Z790" s="115">
        <f t="shared" si="315"/>
        <v>0</v>
      </c>
    </row>
    <row r="791" spans="1:26" x14ac:dyDescent="0.3">
      <c r="A791" s="49" t="s">
        <v>125</v>
      </c>
      <c r="B791" s="1" t="str">
        <f>VLOOKUP(A791,Participanti!A:B,2,0)</f>
        <v>M</v>
      </c>
      <c r="C791" s="74">
        <v>9</v>
      </c>
      <c r="D791" s="50">
        <v>10.1</v>
      </c>
      <c r="E791" s="51">
        <v>2.8703703703703703E-2</v>
      </c>
      <c r="F791" s="51">
        <v>2.8703703703703703E-2</v>
      </c>
      <c r="G791" s="69">
        <f t="shared" si="310"/>
        <v>2.8703703703703703E-2</v>
      </c>
      <c r="H791" s="52"/>
      <c r="I791" s="12">
        <f t="shared" si="311"/>
        <v>2.841950861752842E-3</v>
      </c>
      <c r="J791" s="37">
        <f t="shared" si="312"/>
        <v>2.4047619047619047</v>
      </c>
      <c r="K791" s="37">
        <f>IF(J791=0,0,IF(B791="F",VLOOKUP(I791,Barem!$G$2:$H$16,2,1),VLOOKUP(I791,Barem!$G$17:$H$31,2,1)))</f>
        <v>4.5</v>
      </c>
      <c r="L791" s="50">
        <v>0</v>
      </c>
      <c r="M791" s="124" t="s">
        <v>106</v>
      </c>
      <c r="N791" s="10">
        <f t="shared" si="316"/>
        <v>0.5</v>
      </c>
      <c r="O791" s="10">
        <f t="shared" si="316"/>
        <v>0.25</v>
      </c>
      <c r="P791" s="10">
        <f t="shared" si="316"/>
        <v>0.25</v>
      </c>
      <c r="Q791" s="40">
        <f t="shared" si="313"/>
        <v>0</v>
      </c>
      <c r="R791" s="21">
        <f>IF(D791&gt;21,VLOOKUP(D791,Barem!$T$1:$U$141,2,1),0)</f>
        <v>0</v>
      </c>
      <c r="S791" s="152">
        <f>IF(D791&lt;1.609,0,IF(B791="F",VLOOKUP(I791,Barem!$X$2:$Z$13,2,1),VLOOKUP(I791,Barem!$X$14:$Z$25,2,1)))</f>
        <v>0</v>
      </c>
      <c r="T791" s="21">
        <f>VLOOKUP(A791,Participanti!A:C,3,0)</f>
        <v>0</v>
      </c>
      <c r="U791" s="18">
        <f t="shared" si="314"/>
        <v>2.3273809523809526</v>
      </c>
      <c r="V791" s="58" t="s">
        <v>484</v>
      </c>
      <c r="W791" s="77">
        <f t="shared" si="317"/>
        <v>1</v>
      </c>
      <c r="X791" s="1" t="str">
        <f>VLOOKUP(A791,Data_Echipe!A:R,18,0)</f>
        <v>The GOATs</v>
      </c>
      <c r="Z791" s="115">
        <f t="shared" si="315"/>
        <v>1</v>
      </c>
    </row>
    <row r="792" spans="1:26" x14ac:dyDescent="0.3">
      <c r="A792" s="49" t="s">
        <v>100</v>
      </c>
      <c r="B792" s="1" t="str">
        <f>VLOOKUP(A792,Participanti!A:B,2,0)</f>
        <v>F</v>
      </c>
      <c r="C792" s="74">
        <v>9</v>
      </c>
      <c r="D792" s="50">
        <v>15.02</v>
      </c>
      <c r="E792" s="51">
        <v>6.6111111111111107E-2</v>
      </c>
      <c r="F792" s="51">
        <v>7.8263888888888897E-2</v>
      </c>
      <c r="G792" s="69">
        <f t="shared" si="310"/>
        <v>7.2187500000000002E-2</v>
      </c>
      <c r="H792" s="52"/>
      <c r="I792" s="12">
        <f t="shared" si="311"/>
        <v>4.806091877496671E-3</v>
      </c>
      <c r="J792" s="37">
        <f t="shared" si="312"/>
        <v>3.7549999999999999</v>
      </c>
      <c r="K792" s="37">
        <f>IF(J792=0,0,IF(B792="F",VLOOKUP(I792,Barem!$G$2:$H$16,2,1),VLOOKUP(I792,Barem!$G$17:$H$31,2,1)))</f>
        <v>1</v>
      </c>
      <c r="L792" s="50">
        <v>3</v>
      </c>
      <c r="M792" s="124" t="s">
        <v>207</v>
      </c>
      <c r="N792" s="10">
        <f t="shared" si="316"/>
        <v>0.25</v>
      </c>
      <c r="O792" s="10">
        <f t="shared" si="316"/>
        <v>0.25</v>
      </c>
      <c r="P792" s="10">
        <f t="shared" si="316"/>
        <v>0.5</v>
      </c>
      <c r="Q792" s="40">
        <f t="shared" si="313"/>
        <v>0</v>
      </c>
      <c r="R792" s="21">
        <f>IF(D792&gt;21,VLOOKUP(D792,Barem!$T$1:$U$141,2,1),0)</f>
        <v>0</v>
      </c>
      <c r="S792" s="152">
        <f>IF(D792&lt;1.609,0,IF(B792="F",VLOOKUP(I792,Barem!$X$2:$Z$13,2,1),VLOOKUP(I792,Barem!$X$14:$Z$25,2,1)))</f>
        <v>0</v>
      </c>
      <c r="T792" s="21">
        <f>VLOOKUP(A792,Participanti!A:C,3,0)</f>
        <v>0</v>
      </c>
      <c r="U792" s="18">
        <f t="shared" si="314"/>
        <v>2.6887499999999998</v>
      </c>
      <c r="V792" s="58" t="s">
        <v>484</v>
      </c>
      <c r="W792" s="77">
        <f t="shared" si="317"/>
        <v>1</v>
      </c>
      <c r="X792" s="1" t="e">
        <f>VLOOKUP(A792,Data_Echipe!A:R,18,0)</f>
        <v>#N/A</v>
      </c>
      <c r="Z792" s="115">
        <f t="shared" si="315"/>
        <v>1</v>
      </c>
    </row>
    <row r="793" spans="1:26" x14ac:dyDescent="0.3">
      <c r="A793" s="49" t="s">
        <v>241</v>
      </c>
      <c r="B793" s="1" t="str">
        <f>VLOOKUP(A793,Participanti!A:B,2,0)</f>
        <v>F</v>
      </c>
      <c r="C793" s="74">
        <v>9</v>
      </c>
      <c r="D793" s="50">
        <v>4.01</v>
      </c>
      <c r="E793" s="51">
        <v>1.5196759259259259E-2</v>
      </c>
      <c r="F793" s="51">
        <v>1.5381944444444443E-2</v>
      </c>
      <c r="G793" s="69">
        <f t="shared" si="310"/>
        <v>1.5289351851851851E-2</v>
      </c>
      <c r="H793" s="52"/>
      <c r="I793" s="12">
        <f t="shared" si="311"/>
        <v>3.8128059480927309E-3</v>
      </c>
      <c r="J793" s="37">
        <f t="shared" si="312"/>
        <v>1.0024999999999999</v>
      </c>
      <c r="K793" s="37">
        <f>IF(J793=0,0,IF(B793="F",VLOOKUP(I793,Barem!$G$2:$H$16,2,1),VLOOKUP(I793,Barem!$G$17:$H$31,2,1)))</f>
        <v>3</v>
      </c>
      <c r="L793" s="50">
        <v>3</v>
      </c>
      <c r="M793" s="124" t="s">
        <v>207</v>
      </c>
      <c r="N793" s="10">
        <f t="shared" si="316"/>
        <v>0.25</v>
      </c>
      <c r="O793" s="10">
        <f t="shared" si="316"/>
        <v>0.25</v>
      </c>
      <c r="P793" s="10">
        <f t="shared" si="316"/>
        <v>0.5</v>
      </c>
      <c r="Q793" s="40">
        <f t="shared" si="313"/>
        <v>0</v>
      </c>
      <c r="R793" s="21">
        <f>IF(D793&gt;21,VLOOKUP(D793,Barem!$T$1:$U$141,2,1),0)</f>
        <v>0</v>
      </c>
      <c r="S793" s="152">
        <f>IF(D793&lt;1.609,0,IF(B793="F",VLOOKUP(I793,Barem!$X$2:$Z$13,2,1),VLOOKUP(I793,Barem!$X$14:$Z$25,2,1)))</f>
        <v>0</v>
      </c>
      <c r="T793" s="21">
        <f>VLOOKUP(A793,Participanti!A:C,3,0)</f>
        <v>0</v>
      </c>
      <c r="U793" s="18">
        <f t="shared" si="314"/>
        <v>2.5006249999999999</v>
      </c>
      <c r="V793" s="58" t="s">
        <v>484</v>
      </c>
      <c r="W793" s="77">
        <f t="shared" si="317"/>
        <v>1</v>
      </c>
      <c r="X793" s="1" t="str">
        <f>VLOOKUP(A793,Data_Echipe!A:R,18,0)</f>
        <v>Almost Kenyan Runners</v>
      </c>
      <c r="Z793" s="115">
        <f t="shared" si="315"/>
        <v>1</v>
      </c>
    </row>
    <row r="794" spans="1:26" x14ac:dyDescent="0.3">
      <c r="A794" s="49" t="s">
        <v>368</v>
      </c>
      <c r="B794" s="1" t="str">
        <f>VLOOKUP(A794,Participanti!A:B,2,0)</f>
        <v>M</v>
      </c>
      <c r="C794" s="74">
        <v>10</v>
      </c>
      <c r="D794" s="50">
        <v>21.42</v>
      </c>
      <c r="E794" s="51">
        <v>7.2222222222222229E-2</v>
      </c>
      <c r="F794" s="51">
        <v>7.2824074074074083E-2</v>
      </c>
      <c r="G794" s="69">
        <f t="shared" si="310"/>
        <v>7.2523148148148156E-2</v>
      </c>
      <c r="H794" s="52"/>
      <c r="I794" s="12">
        <f t="shared" si="311"/>
        <v>3.3857678874018742E-3</v>
      </c>
      <c r="J794" s="37">
        <f t="shared" si="312"/>
        <v>5</v>
      </c>
      <c r="K794" s="37">
        <f>IF(J794=0,0,IF(B794="F",VLOOKUP(I794,Barem!$G$2:$H$16,2,1),VLOOKUP(I794,Barem!$G$17:$H$31,2,1)))</f>
        <v>3</v>
      </c>
      <c r="L794" s="50">
        <v>2.5</v>
      </c>
      <c r="M794" s="124" t="s">
        <v>106</v>
      </c>
      <c r="N794" s="10">
        <f t="shared" si="316"/>
        <v>0.5</v>
      </c>
      <c r="O794" s="10">
        <f t="shared" si="316"/>
        <v>0.25</v>
      </c>
      <c r="P794" s="10">
        <f t="shared" si="316"/>
        <v>0.25</v>
      </c>
      <c r="Q794" s="40">
        <f t="shared" si="313"/>
        <v>0</v>
      </c>
      <c r="R794" s="21">
        <f>IF(D794&gt;21,VLOOKUP(D794,Barem!$T$1:$U$141,2,1),0)</f>
        <v>0</v>
      </c>
      <c r="S794" s="152">
        <f>IF(D794&lt;1.609,0,IF(B794="F",VLOOKUP(I794,Barem!$X$2:$Z$13,2,1),VLOOKUP(I794,Barem!$X$14:$Z$25,2,1)))</f>
        <v>0</v>
      </c>
      <c r="T794" s="21">
        <f>VLOOKUP(A794,Participanti!A:C,3,0)</f>
        <v>0</v>
      </c>
      <c r="U794" s="18">
        <f t="shared" si="314"/>
        <v>3.875</v>
      </c>
      <c r="V794" s="58" t="s">
        <v>485</v>
      </c>
      <c r="W794" s="77">
        <f t="shared" si="317"/>
        <v>1</v>
      </c>
      <c r="X794" s="1" t="str">
        <f>VLOOKUP(A794,Data_Echipe!A:R,18,0)</f>
        <v>Almost Kenyan Runners</v>
      </c>
      <c r="Z794" s="115">
        <f t="shared" si="315"/>
        <v>1</v>
      </c>
    </row>
    <row r="795" spans="1:26" x14ac:dyDescent="0.3">
      <c r="A795" s="49" t="s">
        <v>461</v>
      </c>
      <c r="B795" s="1" t="str">
        <f>VLOOKUP(A795,Participanti!A:B,2,0)</f>
        <v>M</v>
      </c>
      <c r="C795" s="74">
        <v>10</v>
      </c>
      <c r="D795" s="50">
        <v>10.01</v>
      </c>
      <c r="E795" s="51">
        <v>4.0185185185185185E-2</v>
      </c>
      <c r="F795" s="51">
        <v>4.987268518518518E-2</v>
      </c>
      <c r="G795" s="69">
        <f t="shared" si="310"/>
        <v>4.5028935185185179E-2</v>
      </c>
      <c r="H795" s="52"/>
      <c r="I795" s="12">
        <f t="shared" si="311"/>
        <v>4.4983951233951228E-3</v>
      </c>
      <c r="J795" s="37">
        <f t="shared" si="312"/>
        <v>2.3833333333333333</v>
      </c>
      <c r="K795" s="37">
        <f>IF(J795=0,0,IF(B795="F",VLOOKUP(I795,Barem!$G$2:$H$16,2,1),VLOOKUP(I795,Barem!$G$17:$H$31,2,1)))</f>
        <v>1</v>
      </c>
      <c r="L795" s="50">
        <v>0.25</v>
      </c>
      <c r="M795" s="124" t="s">
        <v>106</v>
      </c>
      <c r="N795" s="10">
        <f t="shared" si="316"/>
        <v>0.5</v>
      </c>
      <c r="O795" s="10">
        <f t="shared" si="316"/>
        <v>0.25</v>
      </c>
      <c r="P795" s="10">
        <f t="shared" si="316"/>
        <v>0.25</v>
      </c>
      <c r="Q795" s="40">
        <f t="shared" si="313"/>
        <v>0</v>
      </c>
      <c r="R795" s="21">
        <f>IF(D795&gt;21,VLOOKUP(D795,Barem!$T$1:$U$141,2,1),0)</f>
        <v>0</v>
      </c>
      <c r="S795" s="152">
        <f>IF(D795&lt;1.609,0,IF(B795="F",VLOOKUP(I795,Barem!$X$2:$Z$13,2,1),VLOOKUP(I795,Barem!$X$14:$Z$25,2,1)))</f>
        <v>0</v>
      </c>
      <c r="T795" s="21">
        <f>VLOOKUP(A795,Participanti!A:C,3,0)</f>
        <v>0</v>
      </c>
      <c r="U795" s="18">
        <f t="shared" si="314"/>
        <v>1.5041666666666667</v>
      </c>
      <c r="V795" s="58" t="s">
        <v>485</v>
      </c>
      <c r="W795" s="77">
        <f t="shared" si="317"/>
        <v>1</v>
      </c>
      <c r="X795" s="1" t="e">
        <f>VLOOKUP(A795,Data_Echipe!A:R,18,0)</f>
        <v>#N/A</v>
      </c>
      <c r="Z795" s="115">
        <f t="shared" si="315"/>
        <v>1</v>
      </c>
    </row>
    <row r="796" spans="1:26" x14ac:dyDescent="0.3">
      <c r="A796" s="49" t="s">
        <v>336</v>
      </c>
      <c r="B796" s="1" t="str">
        <f>VLOOKUP(A796,Participanti!A:B,2,0)</f>
        <v>M</v>
      </c>
      <c r="C796" s="74">
        <v>10</v>
      </c>
      <c r="D796" s="50">
        <v>25.1</v>
      </c>
      <c r="E796" s="51">
        <v>0.1034375</v>
      </c>
      <c r="F796" s="51">
        <v>0.1034375</v>
      </c>
      <c r="G796" s="69">
        <f t="shared" si="310"/>
        <v>0.1034375</v>
      </c>
      <c r="H796" s="52"/>
      <c r="I796" s="12">
        <f t="shared" si="311"/>
        <v>4.1210159362549802E-3</v>
      </c>
      <c r="J796" s="37">
        <f t="shared" si="312"/>
        <v>5</v>
      </c>
      <c r="K796" s="37">
        <f>IF(J796=0,0,IF(B796="F",VLOOKUP(I796,Barem!$G$2:$H$16,2,1),VLOOKUP(I796,Barem!$G$17:$H$31,2,1)))</f>
        <v>1.5</v>
      </c>
      <c r="L796" s="50">
        <v>0.5</v>
      </c>
      <c r="M796" s="124" t="s">
        <v>106</v>
      </c>
      <c r="N796" s="10">
        <f t="shared" si="316"/>
        <v>0.5</v>
      </c>
      <c r="O796" s="10">
        <f t="shared" si="316"/>
        <v>0.25</v>
      </c>
      <c r="P796" s="10">
        <f t="shared" si="316"/>
        <v>0.25</v>
      </c>
      <c r="Q796" s="40">
        <f t="shared" si="313"/>
        <v>0</v>
      </c>
      <c r="R796" s="21">
        <f>IF(D796&gt;21,VLOOKUP(D796,Barem!$T$1:$U$141,2,1),0)</f>
        <v>0.2</v>
      </c>
      <c r="S796" s="152">
        <f>IF(D796&lt;1.609,0,IF(B796="F",VLOOKUP(I796,Barem!$X$2:$Z$13,2,1),VLOOKUP(I796,Barem!$X$14:$Z$25,2,1)))</f>
        <v>0</v>
      </c>
      <c r="T796" s="21">
        <f>VLOOKUP(A796,Participanti!A:C,3,0)</f>
        <v>0</v>
      </c>
      <c r="U796" s="18">
        <f t="shared" si="314"/>
        <v>3.2</v>
      </c>
      <c r="V796" s="58" t="s">
        <v>485</v>
      </c>
      <c r="W796" s="77">
        <f t="shared" si="317"/>
        <v>1</v>
      </c>
      <c r="X796" s="1" t="e">
        <f>VLOOKUP(A796,Data_Echipe!A:R,18,0)</f>
        <v>#N/A</v>
      </c>
      <c r="Z796" s="115">
        <f t="shared" si="315"/>
        <v>1</v>
      </c>
    </row>
    <row r="797" spans="1:26" x14ac:dyDescent="0.3">
      <c r="A797" s="49" t="s">
        <v>47</v>
      </c>
      <c r="B797" s="1" t="str">
        <f>VLOOKUP(A797,Participanti!A:B,2,0)</f>
        <v>M</v>
      </c>
      <c r="C797" s="74">
        <v>10</v>
      </c>
      <c r="D797" s="50">
        <v>5.03</v>
      </c>
      <c r="E797" s="51">
        <v>1.4270833333333335E-2</v>
      </c>
      <c r="F797" s="51">
        <v>1.4502314814814815E-2</v>
      </c>
      <c r="G797" s="69">
        <f t="shared" si="310"/>
        <v>1.4386574074074076E-2</v>
      </c>
      <c r="H797" s="52"/>
      <c r="I797" s="12">
        <f t="shared" si="311"/>
        <v>2.8601538914660189E-3</v>
      </c>
      <c r="J797" s="37">
        <f t="shared" si="312"/>
        <v>1.1976190476190476</v>
      </c>
      <c r="K797" s="37">
        <f>IF(J797=0,0,IF(B797="F",VLOOKUP(I797,Barem!$G$2:$H$16,2,1),VLOOKUP(I797,Barem!$G$17:$H$31,2,1)))</f>
        <v>4.5</v>
      </c>
      <c r="L797" s="50">
        <v>2.75</v>
      </c>
      <c r="M797" s="124" t="s">
        <v>107</v>
      </c>
      <c r="N797" s="10">
        <f t="shared" si="316"/>
        <v>0.25</v>
      </c>
      <c r="O797" s="10">
        <f t="shared" si="316"/>
        <v>0.5</v>
      </c>
      <c r="P797" s="10">
        <f t="shared" si="316"/>
        <v>0.25</v>
      </c>
      <c r="Q797" s="40">
        <f t="shared" si="313"/>
        <v>0</v>
      </c>
      <c r="R797" s="21">
        <f>IF(D797&gt;21,VLOOKUP(D797,Barem!$T$1:$U$141,2,1),0)</f>
        <v>0</v>
      </c>
      <c r="S797" s="152">
        <f>IF(D797&lt;1.609,0,IF(B797="F",VLOOKUP(I797,Barem!$X$2:$Z$13,2,1),VLOOKUP(I797,Barem!$X$14:$Z$25,2,1)))</f>
        <v>0</v>
      </c>
      <c r="T797" s="21">
        <f>VLOOKUP(A797,Participanti!A:C,3,0)</f>
        <v>0</v>
      </c>
      <c r="U797" s="18">
        <f t="shared" si="314"/>
        <v>3.236904761904762</v>
      </c>
      <c r="V797" s="58" t="s">
        <v>485</v>
      </c>
      <c r="W797" s="77">
        <f t="shared" si="317"/>
        <v>1</v>
      </c>
      <c r="X797" s="1" t="str">
        <f>VLOOKUP(A797,Data_Echipe!A:R,18,0)</f>
        <v>The GOATs</v>
      </c>
      <c r="Z797" s="115">
        <f t="shared" si="315"/>
        <v>1</v>
      </c>
    </row>
    <row r="798" spans="1:26" x14ac:dyDescent="0.3">
      <c r="A798" s="49" t="s">
        <v>333</v>
      </c>
      <c r="B798" s="1" t="str">
        <f>VLOOKUP(A798,Participanti!A:B,2,0)</f>
        <v>M</v>
      </c>
      <c r="C798" s="74">
        <v>10</v>
      </c>
      <c r="D798" s="50">
        <v>11.31</v>
      </c>
      <c r="E798" s="51">
        <v>4.1967592592592591E-2</v>
      </c>
      <c r="F798" s="51">
        <v>4.2037037037037039E-2</v>
      </c>
      <c r="G798" s="69">
        <f t="shared" si="310"/>
        <v>4.2002314814814812E-2</v>
      </c>
      <c r="H798" s="52"/>
      <c r="I798" s="12">
        <f t="shared" si="311"/>
        <v>3.713732521203785E-3</v>
      </c>
      <c r="J798" s="37">
        <f t="shared" si="312"/>
        <v>2.6928571428571431</v>
      </c>
      <c r="K798" s="37">
        <f>IF(J798=0,0,IF(B798="F",VLOOKUP(I798,Barem!$G$2:$H$16,2,1),VLOOKUP(I798,Barem!$G$17:$H$31,2,1)))</f>
        <v>2</v>
      </c>
      <c r="L798" s="50">
        <v>0.75</v>
      </c>
      <c r="M798" s="124" t="s">
        <v>107</v>
      </c>
      <c r="N798" s="10">
        <f t="shared" si="316"/>
        <v>0.25</v>
      </c>
      <c r="O798" s="10">
        <f t="shared" si="316"/>
        <v>0.5</v>
      </c>
      <c r="P798" s="10">
        <f t="shared" si="316"/>
        <v>0.25</v>
      </c>
      <c r="Q798" s="40">
        <f t="shared" si="313"/>
        <v>0</v>
      </c>
      <c r="R798" s="21">
        <f>IF(D798&gt;21,VLOOKUP(D798,Barem!$T$1:$U$141,2,1),0)</f>
        <v>0</v>
      </c>
      <c r="S798" s="152">
        <f>IF(D798&lt;1.609,0,IF(B798="F",VLOOKUP(I798,Barem!$X$2:$Z$13,2,1),VLOOKUP(I798,Barem!$X$14:$Z$25,2,1)))</f>
        <v>0</v>
      </c>
      <c r="T798" s="21">
        <f>VLOOKUP(A798,Participanti!A:C,3,0)</f>
        <v>0</v>
      </c>
      <c r="U798" s="18">
        <f t="shared" si="314"/>
        <v>1.8607142857142858</v>
      </c>
      <c r="V798" s="58" t="s">
        <v>485</v>
      </c>
      <c r="W798" s="77">
        <f t="shared" si="317"/>
        <v>1</v>
      </c>
      <c r="X798" s="1" t="str">
        <f>VLOOKUP(A798,Data_Echipe!A:R,18,0)</f>
        <v>UltraHaita lu' Borcan</v>
      </c>
      <c r="Z798" s="115">
        <f t="shared" si="315"/>
        <v>1</v>
      </c>
    </row>
    <row r="799" spans="1:26" x14ac:dyDescent="0.3">
      <c r="A799" s="49" t="s">
        <v>288</v>
      </c>
      <c r="B799" s="1" t="str">
        <f>VLOOKUP(A799,Participanti!A:B,2,0)</f>
        <v>M</v>
      </c>
      <c r="C799" s="74">
        <v>10</v>
      </c>
      <c r="D799" s="50">
        <v>6.01</v>
      </c>
      <c r="E799" s="51">
        <v>1.9386574074074073E-2</v>
      </c>
      <c r="F799" s="51">
        <v>2.1770833333333336E-2</v>
      </c>
      <c r="G799" s="69">
        <f t="shared" si="310"/>
        <v>2.0578703703703703E-2</v>
      </c>
      <c r="H799" s="52"/>
      <c r="I799" s="12">
        <f t="shared" si="311"/>
        <v>3.4240771553583535E-3</v>
      </c>
      <c r="J799" s="37">
        <f t="shared" si="312"/>
        <v>1.4309523809523808</v>
      </c>
      <c r="K799" s="37">
        <f>IF(J799=0,0,IF(B799="F",VLOOKUP(I799,Barem!$G$2:$H$16,2,1),VLOOKUP(I799,Barem!$G$17:$H$31,2,1)))</f>
        <v>3</v>
      </c>
      <c r="L799" s="50">
        <v>1.5</v>
      </c>
      <c r="M799" s="124" t="s">
        <v>107</v>
      </c>
      <c r="N799" s="10">
        <f t="shared" si="316"/>
        <v>0.25</v>
      </c>
      <c r="O799" s="10">
        <f t="shared" si="316"/>
        <v>0.5</v>
      </c>
      <c r="P799" s="10">
        <f t="shared" si="316"/>
        <v>0.25</v>
      </c>
      <c r="Q799" s="40">
        <f t="shared" si="313"/>
        <v>0</v>
      </c>
      <c r="R799" s="21">
        <f>IF(D799&gt;21,VLOOKUP(D799,Barem!$T$1:$U$141,2,1),0)</f>
        <v>0</v>
      </c>
      <c r="S799" s="152">
        <f>IF(D799&lt;1.609,0,IF(B799="F",VLOOKUP(I799,Barem!$X$2:$Z$13,2,1),VLOOKUP(I799,Barem!$X$14:$Z$25,2,1)))</f>
        <v>0</v>
      </c>
      <c r="T799" s="21">
        <f>VLOOKUP(A799,Participanti!A:C,3,0)</f>
        <v>0</v>
      </c>
      <c r="U799" s="18">
        <f t="shared" si="314"/>
        <v>2.2327380952380951</v>
      </c>
      <c r="V799" s="58" t="s">
        <v>485</v>
      </c>
      <c r="W799" s="77">
        <f t="shared" si="317"/>
        <v>1</v>
      </c>
      <c r="X799" s="1" t="e">
        <f>VLOOKUP(A799,Data_Echipe!A:R,18,0)</f>
        <v>#N/A</v>
      </c>
      <c r="Z799" s="115">
        <f t="shared" si="315"/>
        <v>1</v>
      </c>
    </row>
    <row r="800" spans="1:26" x14ac:dyDescent="0.3">
      <c r="A800" s="49" t="s">
        <v>339</v>
      </c>
      <c r="B800" s="1" t="str">
        <f>VLOOKUP(A800,Participanti!A:B,2,0)</f>
        <v>M</v>
      </c>
      <c r="C800" s="74">
        <v>10</v>
      </c>
      <c r="D800" s="50">
        <v>16.010000000000002</v>
      </c>
      <c r="E800" s="51">
        <v>5.4988425925925927E-2</v>
      </c>
      <c r="F800" s="51">
        <v>5.5266203703703699E-2</v>
      </c>
      <c r="G800" s="69">
        <f t="shared" si="310"/>
        <v>5.512731481481481E-2</v>
      </c>
      <c r="H800" s="52">
        <v>158</v>
      </c>
      <c r="I800" s="12">
        <f t="shared" si="311"/>
        <v>3.4433051102320303E-3</v>
      </c>
      <c r="J800" s="37">
        <f t="shared" si="312"/>
        <v>3.8119047619047621</v>
      </c>
      <c r="K800" s="37">
        <f>IF(J800=0,0,IF(B800="F",VLOOKUP(I800,Barem!$G$2:$H$16,2,1),VLOOKUP(I800,Barem!$G$17:$H$31,2,1)))</f>
        <v>3</v>
      </c>
      <c r="L800" s="50">
        <v>1.25</v>
      </c>
      <c r="M800" s="124" t="s">
        <v>106</v>
      </c>
      <c r="N800" s="10">
        <f t="shared" si="316"/>
        <v>0.5</v>
      </c>
      <c r="O800" s="10">
        <f t="shared" si="316"/>
        <v>0.25</v>
      </c>
      <c r="P800" s="10">
        <f t="shared" si="316"/>
        <v>0.25</v>
      </c>
      <c r="Q800" s="40">
        <f t="shared" si="313"/>
        <v>0.10533333333333333</v>
      </c>
      <c r="R800" s="21">
        <f>IF(D800&gt;21,VLOOKUP(D800,Barem!$T$1:$U$141,2,1),0)</f>
        <v>0</v>
      </c>
      <c r="S800" s="152">
        <f>IF(D800&lt;1.609,0,IF(B800="F",VLOOKUP(I800,Barem!$X$2:$Z$13,2,1),VLOOKUP(I800,Barem!$X$14:$Z$25,2,1)))</f>
        <v>0</v>
      </c>
      <c r="T800" s="21">
        <f>VLOOKUP(A800,Participanti!A:C,3,0)</f>
        <v>0</v>
      </c>
      <c r="U800" s="18">
        <f t="shared" si="314"/>
        <v>3.0737857142857141</v>
      </c>
      <c r="V800" s="58" t="s">
        <v>485</v>
      </c>
      <c r="W800" s="77">
        <f t="shared" si="317"/>
        <v>1</v>
      </c>
      <c r="X800" s="1" t="str">
        <f>VLOOKUP(A800,Data_Echipe!A:R,18,0)</f>
        <v>MedgidiaRunning</v>
      </c>
      <c r="Z800" s="115">
        <f t="shared" si="315"/>
        <v>1</v>
      </c>
    </row>
    <row r="801" spans="1:26" x14ac:dyDescent="0.3">
      <c r="A801" s="49" t="s">
        <v>363</v>
      </c>
      <c r="B801" s="1" t="str">
        <f>VLOOKUP(A801,Participanti!A:B,2,0)</f>
        <v>F</v>
      </c>
      <c r="C801" s="74">
        <v>10</v>
      </c>
      <c r="D801" s="50">
        <v>10</v>
      </c>
      <c r="E801" s="51">
        <v>4.2638888888888893E-2</v>
      </c>
      <c r="F801" s="51">
        <v>4.4398148148148152E-2</v>
      </c>
      <c r="G801" s="69">
        <f t="shared" si="310"/>
        <v>4.3518518518518526E-2</v>
      </c>
      <c r="H801" s="52"/>
      <c r="I801" s="12">
        <f t="shared" si="311"/>
        <v>4.3518518518518524E-3</v>
      </c>
      <c r="J801" s="37">
        <f t="shared" si="312"/>
        <v>2.5</v>
      </c>
      <c r="K801" s="37">
        <f>IF(J801=0,0,IF(B801="F",VLOOKUP(I801,Barem!$G$2:$H$16,2,1),VLOOKUP(I801,Barem!$G$17:$H$31,2,1)))</f>
        <v>1.5</v>
      </c>
      <c r="L801" s="50">
        <v>1.25</v>
      </c>
      <c r="M801" s="124" t="s">
        <v>106</v>
      </c>
      <c r="N801" s="10">
        <f t="shared" si="316"/>
        <v>0.5</v>
      </c>
      <c r="O801" s="10">
        <f t="shared" si="316"/>
        <v>0.25</v>
      </c>
      <c r="P801" s="10">
        <f t="shared" si="316"/>
        <v>0.25</v>
      </c>
      <c r="Q801" s="40">
        <f t="shared" si="313"/>
        <v>0</v>
      </c>
      <c r="R801" s="21">
        <f>IF(D801&gt;21,VLOOKUP(D801,Barem!$T$1:$U$141,2,1),0)</f>
        <v>0</v>
      </c>
      <c r="S801" s="152">
        <f>IF(D801&lt;1.609,0,IF(B801="F",VLOOKUP(I801,Barem!$X$2:$Z$13,2,1),VLOOKUP(I801,Barem!$X$14:$Z$25,2,1)))</f>
        <v>0</v>
      </c>
      <c r="T801" s="21">
        <f>VLOOKUP(A801,Participanti!A:C,3,0)</f>
        <v>0</v>
      </c>
      <c r="U801" s="18">
        <f t="shared" si="314"/>
        <v>1.9375</v>
      </c>
      <c r="V801" s="58" t="s">
        <v>485</v>
      </c>
      <c r="W801" s="77">
        <f t="shared" si="317"/>
        <v>1</v>
      </c>
      <c r="X801" s="1" t="e">
        <f>VLOOKUP(A801,Data_Echipe!A:R,18,0)</f>
        <v>#N/A</v>
      </c>
      <c r="Z801" s="115">
        <f t="shared" si="315"/>
        <v>1</v>
      </c>
    </row>
    <row r="802" spans="1:26" x14ac:dyDescent="0.3">
      <c r="A802" s="49" t="s">
        <v>469</v>
      </c>
      <c r="B802" s="1" t="str">
        <f>VLOOKUP(A802,Participanti!A:B,2,0)</f>
        <v>M</v>
      </c>
      <c r="C802" s="74">
        <v>10</v>
      </c>
      <c r="D802" s="50">
        <v>10.52</v>
      </c>
      <c r="E802" s="51">
        <v>2.960648148148148E-2</v>
      </c>
      <c r="F802" s="51">
        <v>3.1365740740740743E-2</v>
      </c>
      <c r="G802" s="69">
        <f t="shared" si="310"/>
        <v>3.048611111111111E-2</v>
      </c>
      <c r="H802" s="52">
        <v>77</v>
      </c>
      <c r="I802" s="12">
        <f t="shared" si="311"/>
        <v>2.8979193071398393E-3</v>
      </c>
      <c r="J802" s="37">
        <f t="shared" si="312"/>
        <v>2.5047619047619047</v>
      </c>
      <c r="K802" s="37">
        <f>IF(J802=0,0,IF(B802="F",VLOOKUP(I802,Barem!$G$2:$H$16,2,1),VLOOKUP(I802,Barem!$G$17:$H$31,2,1)))</f>
        <v>4.5</v>
      </c>
      <c r="L802" s="50">
        <v>1.75</v>
      </c>
      <c r="M802" s="124" t="s">
        <v>107</v>
      </c>
      <c r="N802" s="10">
        <f t="shared" si="316"/>
        <v>0.25</v>
      </c>
      <c r="O802" s="10">
        <f t="shared" si="316"/>
        <v>0.5</v>
      </c>
      <c r="P802" s="10">
        <f t="shared" si="316"/>
        <v>0.25</v>
      </c>
      <c r="Q802" s="40">
        <f t="shared" si="313"/>
        <v>5.1333333333333335E-2</v>
      </c>
      <c r="R802" s="21">
        <f>IF(D802&gt;21,VLOOKUP(D802,Barem!$T$1:$U$141,2,1),0)</f>
        <v>0</v>
      </c>
      <c r="S802" s="152">
        <f>IF(D802&lt;1.609,0,IF(B802="F",VLOOKUP(I802,Barem!$X$2:$Z$13,2,1),VLOOKUP(I802,Barem!$X$14:$Z$25,2,1)))</f>
        <v>0</v>
      </c>
      <c r="T802" s="21">
        <f>VLOOKUP(A802,Participanti!A:C,3,0)</f>
        <v>0</v>
      </c>
      <c r="U802" s="18">
        <f t="shared" si="314"/>
        <v>3.3650238095238096</v>
      </c>
      <c r="V802" s="58" t="s">
        <v>485</v>
      </c>
      <c r="W802" s="77">
        <f t="shared" si="317"/>
        <v>1</v>
      </c>
      <c r="X802" s="1" t="e">
        <f>VLOOKUP(A802,Data_Echipe!A:R,18,0)</f>
        <v>#N/A</v>
      </c>
      <c r="Z802" s="115">
        <f t="shared" si="315"/>
        <v>1</v>
      </c>
    </row>
    <row r="803" spans="1:26" x14ac:dyDescent="0.3">
      <c r="A803" s="49" t="s">
        <v>351</v>
      </c>
      <c r="B803" s="1" t="str">
        <f>VLOOKUP(A803,Participanti!A:B,2,0)</f>
        <v>F</v>
      </c>
      <c r="C803" s="74">
        <v>10</v>
      </c>
      <c r="D803" s="50">
        <v>21.15</v>
      </c>
      <c r="E803" s="51">
        <v>8.3310185185185182E-2</v>
      </c>
      <c r="F803" s="51">
        <v>8.5879629629629625E-2</v>
      </c>
      <c r="G803" s="69">
        <f t="shared" si="310"/>
        <v>8.459490740740741E-2</v>
      </c>
      <c r="H803" s="52">
        <v>50</v>
      </c>
      <c r="I803" s="12">
        <f t="shared" si="311"/>
        <v>3.9997592154802563E-3</v>
      </c>
      <c r="J803" s="37">
        <f t="shared" si="312"/>
        <v>5</v>
      </c>
      <c r="K803" s="37">
        <f>IF(J803=0,0,IF(B803="F",VLOOKUP(I803,Barem!$G$2:$H$16,2,1),VLOOKUP(I803,Barem!$G$17:$H$31,2,1)))</f>
        <v>2.5</v>
      </c>
      <c r="L803" s="50">
        <v>2</v>
      </c>
      <c r="M803" s="124" t="s">
        <v>106</v>
      </c>
      <c r="N803" s="10">
        <f t="shared" si="316"/>
        <v>0.5</v>
      </c>
      <c r="O803" s="10">
        <f t="shared" si="316"/>
        <v>0.25</v>
      </c>
      <c r="P803" s="10">
        <f t="shared" si="316"/>
        <v>0.25</v>
      </c>
      <c r="Q803" s="40">
        <f t="shared" si="313"/>
        <v>3.3333333333333333E-2</v>
      </c>
      <c r="R803" s="21">
        <f>IF(D803&gt;21,VLOOKUP(D803,Barem!$T$1:$U$141,2,1),0)</f>
        <v>0</v>
      </c>
      <c r="S803" s="152">
        <f>IF(D803&lt;1.609,0,IF(B803="F",VLOOKUP(I803,Barem!$X$2:$Z$13,2,1),VLOOKUP(I803,Barem!$X$14:$Z$25,2,1)))</f>
        <v>0</v>
      </c>
      <c r="T803" s="21">
        <f>VLOOKUP(A803,Participanti!A:C,3,0)</f>
        <v>0</v>
      </c>
      <c r="U803" s="18">
        <f t="shared" si="314"/>
        <v>3.6583333333333332</v>
      </c>
      <c r="V803" s="58" t="s">
        <v>486</v>
      </c>
      <c r="W803" s="77">
        <f t="shared" si="317"/>
        <v>1</v>
      </c>
      <c r="X803" s="1" t="e">
        <f>VLOOKUP(A803,Data_Echipe!A:R,18,0)</f>
        <v>#N/A</v>
      </c>
      <c r="Z803" s="115">
        <f t="shared" si="315"/>
        <v>1</v>
      </c>
    </row>
    <row r="804" spans="1:26" x14ac:dyDescent="0.3">
      <c r="A804" s="49" t="s">
        <v>275</v>
      </c>
      <c r="B804" s="1" t="str">
        <f>VLOOKUP(A804,Participanti!A:B,2,0)</f>
        <v>M</v>
      </c>
      <c r="C804" s="74">
        <v>10</v>
      </c>
      <c r="D804" s="50">
        <v>11</v>
      </c>
      <c r="E804" s="51">
        <v>3.9687500000000001E-2</v>
      </c>
      <c r="F804" s="51">
        <v>5.393518518518519E-2</v>
      </c>
      <c r="G804" s="69">
        <f t="shared" si="310"/>
        <v>4.6811342592592592E-2</v>
      </c>
      <c r="H804" s="52"/>
      <c r="I804" s="12">
        <f t="shared" si="311"/>
        <v>4.2555765993265993E-3</v>
      </c>
      <c r="J804" s="37">
        <f t="shared" si="312"/>
        <v>2.6190476190476191</v>
      </c>
      <c r="K804" s="37">
        <f>IF(J804=0,0,IF(B804="F",VLOOKUP(I804,Barem!$G$2:$H$16,2,1),VLOOKUP(I804,Barem!$G$17:$H$31,2,1)))</f>
        <v>1.25</v>
      </c>
      <c r="L804" s="50">
        <v>1</v>
      </c>
      <c r="M804" s="124" t="s">
        <v>107</v>
      </c>
      <c r="N804" s="10">
        <f t="shared" si="316"/>
        <v>0.25</v>
      </c>
      <c r="O804" s="10">
        <f t="shared" si="316"/>
        <v>0.5</v>
      </c>
      <c r="P804" s="10">
        <f t="shared" si="316"/>
        <v>0.25</v>
      </c>
      <c r="Q804" s="40">
        <f t="shared" si="313"/>
        <v>0</v>
      </c>
      <c r="R804" s="21">
        <f>IF(D804&gt;21,VLOOKUP(D804,Barem!$T$1:$U$141,2,1),0)</f>
        <v>0</v>
      </c>
      <c r="S804" s="152">
        <f>IF(D804&lt;1.609,0,IF(B804="F",VLOOKUP(I804,Barem!$X$2:$Z$13,2,1),VLOOKUP(I804,Barem!$X$14:$Z$25,2,1)))</f>
        <v>0</v>
      </c>
      <c r="T804" s="21">
        <f>VLOOKUP(A804,Participanti!A:C,3,0)</f>
        <v>0</v>
      </c>
      <c r="U804" s="18">
        <f t="shared" si="314"/>
        <v>1.5297619047619047</v>
      </c>
      <c r="V804" s="58" t="s">
        <v>485</v>
      </c>
      <c r="W804" s="77">
        <f t="shared" si="317"/>
        <v>1</v>
      </c>
      <c r="X804" s="1" t="e">
        <f>VLOOKUP(A804,Data_Echipe!A:R,18,0)</f>
        <v>#N/A</v>
      </c>
      <c r="Z804" s="115">
        <f t="shared" si="315"/>
        <v>1</v>
      </c>
    </row>
    <row r="805" spans="1:26" x14ac:dyDescent="0.3">
      <c r="A805" s="49" t="s">
        <v>204</v>
      </c>
      <c r="B805" s="1" t="str">
        <f>VLOOKUP(A805,Participanti!A:B,2,0)</f>
        <v>M</v>
      </c>
      <c r="C805" s="74">
        <v>10</v>
      </c>
      <c r="D805" s="50">
        <v>12.54</v>
      </c>
      <c r="E805" s="51">
        <v>5.0671296296296298E-2</v>
      </c>
      <c r="F805" s="51">
        <v>5.4189814814814809E-2</v>
      </c>
      <c r="G805" s="69">
        <f t="shared" si="310"/>
        <v>5.243055555555555E-2</v>
      </c>
      <c r="H805" s="52"/>
      <c r="I805" s="12">
        <f t="shared" si="311"/>
        <v>4.1810650363281942E-3</v>
      </c>
      <c r="J805" s="37">
        <f t="shared" si="312"/>
        <v>2.9857142857142853</v>
      </c>
      <c r="K805" s="37">
        <f>IF(J805=0,0,IF(B805="F",VLOOKUP(I805,Barem!$G$2:$H$16,2,1),VLOOKUP(I805,Barem!$G$17:$H$31,2,1)))</f>
        <v>1.25</v>
      </c>
      <c r="L805" s="50">
        <v>2</v>
      </c>
      <c r="M805" s="124" t="s">
        <v>106</v>
      </c>
      <c r="N805" s="10">
        <f t="shared" si="316"/>
        <v>0.5</v>
      </c>
      <c r="O805" s="10">
        <f t="shared" si="316"/>
        <v>0.25</v>
      </c>
      <c r="P805" s="10">
        <f t="shared" si="316"/>
        <v>0.25</v>
      </c>
      <c r="Q805" s="40">
        <f t="shared" si="313"/>
        <v>0</v>
      </c>
      <c r="R805" s="21">
        <f>IF(D805&gt;21,VLOOKUP(D805,Barem!$T$1:$U$141,2,1),0)</f>
        <v>0</v>
      </c>
      <c r="S805" s="152">
        <f>IF(D805&lt;1.609,0,IF(B805="F",VLOOKUP(I805,Barem!$X$2:$Z$13,2,1),VLOOKUP(I805,Barem!$X$14:$Z$25,2,1)))</f>
        <v>0</v>
      </c>
      <c r="T805" s="21">
        <f>VLOOKUP(A805,Participanti!A:C,3,0)</f>
        <v>0</v>
      </c>
      <c r="U805" s="18">
        <f t="shared" si="314"/>
        <v>2.3053571428571429</v>
      </c>
      <c r="V805" s="58" t="s">
        <v>485</v>
      </c>
      <c r="W805" s="77">
        <f t="shared" si="317"/>
        <v>1</v>
      </c>
      <c r="X805" s="1" t="e">
        <f>VLOOKUP(A805,Data_Echipe!A:R,18,0)</f>
        <v>#N/A</v>
      </c>
      <c r="Z805" s="115">
        <f t="shared" si="315"/>
        <v>1</v>
      </c>
    </row>
    <row r="806" spans="1:26" x14ac:dyDescent="0.3">
      <c r="A806" s="49" t="s">
        <v>303</v>
      </c>
      <c r="B806" s="1" t="str">
        <f>VLOOKUP(A806,Participanti!A:B,2,0)</f>
        <v>F</v>
      </c>
      <c r="C806" s="74">
        <v>10</v>
      </c>
      <c r="D806" s="50">
        <v>10.02</v>
      </c>
      <c r="E806" s="51">
        <v>4.3368055555555556E-2</v>
      </c>
      <c r="F806" s="51">
        <v>4.3402777777777783E-2</v>
      </c>
      <c r="G806" s="69">
        <f t="shared" si="310"/>
        <v>4.3385416666666669E-2</v>
      </c>
      <c r="H806" s="52">
        <v>101</v>
      </c>
      <c r="I806" s="12">
        <f t="shared" si="311"/>
        <v>4.3298819028609456E-3</v>
      </c>
      <c r="J806" s="37">
        <f t="shared" si="312"/>
        <v>2.5049999999999999</v>
      </c>
      <c r="K806" s="37">
        <f>IF(J806=0,0,IF(B806="F",VLOOKUP(I806,Barem!$G$2:$H$16,2,1),VLOOKUP(I806,Barem!$G$17:$H$31,2,1)))</f>
        <v>1.75</v>
      </c>
      <c r="L806" s="50">
        <v>2</v>
      </c>
      <c r="M806" s="124" t="s">
        <v>106</v>
      </c>
      <c r="N806" s="10">
        <f t="shared" si="316"/>
        <v>0.5</v>
      </c>
      <c r="O806" s="10">
        <f t="shared" si="316"/>
        <v>0.25</v>
      </c>
      <c r="P806" s="10">
        <f t="shared" si="316"/>
        <v>0.25</v>
      </c>
      <c r="Q806" s="40">
        <f t="shared" si="313"/>
        <v>6.7333333333333328E-2</v>
      </c>
      <c r="R806" s="21">
        <f>IF(D806&gt;21,VLOOKUP(D806,Barem!$T$1:$U$141,2,1),0)</f>
        <v>0</v>
      </c>
      <c r="S806" s="152">
        <f>IF(D806&lt;1.609,0,IF(B806="F",VLOOKUP(I806,Barem!$X$2:$Z$13,2,1),VLOOKUP(I806,Barem!$X$14:$Z$25,2,1)))</f>
        <v>0</v>
      </c>
      <c r="T806" s="21">
        <f>VLOOKUP(A806,Participanti!A:C,3,0)</f>
        <v>0</v>
      </c>
      <c r="U806" s="18">
        <f t="shared" si="314"/>
        <v>2.2573333333333334</v>
      </c>
      <c r="V806" s="58" t="s">
        <v>485</v>
      </c>
      <c r="W806" s="77">
        <f t="shared" si="317"/>
        <v>1</v>
      </c>
      <c r="X806" s="1" t="e">
        <f>VLOOKUP(A806,Data_Echipe!A:R,18,0)</f>
        <v>#N/A</v>
      </c>
      <c r="Z806" s="115">
        <f t="shared" si="315"/>
        <v>1</v>
      </c>
    </row>
    <row r="807" spans="1:26" x14ac:dyDescent="0.3">
      <c r="A807" s="49" t="s">
        <v>430</v>
      </c>
      <c r="B807" s="1" t="str">
        <f>VLOOKUP(A807,Participanti!A:B,2,0)</f>
        <v>M</v>
      </c>
      <c r="C807" s="74">
        <v>10</v>
      </c>
      <c r="D807" s="50">
        <v>16</v>
      </c>
      <c r="E807" s="51">
        <v>5.3055555555555557E-2</v>
      </c>
      <c r="F807" s="51">
        <v>5.3055555555555557E-2</v>
      </c>
      <c r="G807" s="69">
        <f t="shared" si="310"/>
        <v>5.3055555555555557E-2</v>
      </c>
      <c r="H807" s="52">
        <v>186</v>
      </c>
      <c r="I807" s="12">
        <f t="shared" si="311"/>
        <v>3.3159722222222223E-3</v>
      </c>
      <c r="J807" s="37">
        <f t="shared" si="312"/>
        <v>3.8095238095238093</v>
      </c>
      <c r="K807" s="37">
        <f>IF(J807=0,0,IF(B807="F",VLOOKUP(I807,Barem!$G$2:$H$16,2,1),VLOOKUP(I807,Barem!$G$17:$H$31,2,1)))</f>
        <v>3</v>
      </c>
      <c r="L807" s="50">
        <v>1.5</v>
      </c>
      <c r="M807" s="124" t="s">
        <v>106</v>
      </c>
      <c r="N807" s="10">
        <f t="shared" si="316"/>
        <v>0.5</v>
      </c>
      <c r="O807" s="10">
        <f t="shared" si="316"/>
        <v>0.25</v>
      </c>
      <c r="P807" s="10">
        <f t="shared" si="316"/>
        <v>0.25</v>
      </c>
      <c r="Q807" s="40">
        <f t="shared" si="313"/>
        <v>0.124</v>
      </c>
      <c r="R807" s="21">
        <f>IF(D807&gt;21,VLOOKUP(D807,Barem!$T$1:$U$141,2,1),0)</f>
        <v>0</v>
      </c>
      <c r="S807" s="152">
        <f>IF(D807&lt;1.609,0,IF(B807="F",VLOOKUP(I807,Barem!$X$2:$Z$13,2,1),VLOOKUP(I807,Barem!$X$14:$Z$25,2,1)))</f>
        <v>0</v>
      </c>
      <c r="T807" s="21">
        <f>VLOOKUP(A807,Participanti!A:C,3,0)</f>
        <v>0</v>
      </c>
      <c r="U807" s="18">
        <f t="shared" si="314"/>
        <v>3.1537619047619048</v>
      </c>
      <c r="V807" s="58" t="s">
        <v>485</v>
      </c>
      <c r="W807" s="77">
        <f t="shared" si="317"/>
        <v>1</v>
      </c>
      <c r="X807" s="1" t="e">
        <f>VLOOKUP(A807,Data_Echipe!A:R,18,0)</f>
        <v>#N/A</v>
      </c>
      <c r="Z807" s="115">
        <f t="shared" si="315"/>
        <v>1</v>
      </c>
    </row>
    <row r="808" spans="1:26" x14ac:dyDescent="0.3">
      <c r="A808" s="49" t="s">
        <v>353</v>
      </c>
      <c r="B808" s="1" t="str">
        <f>VLOOKUP(A808,Participanti!A:B,2,0)</f>
        <v>M</v>
      </c>
      <c r="C808" s="74">
        <v>10</v>
      </c>
      <c r="D808" s="50">
        <v>23.01</v>
      </c>
      <c r="E808" s="51">
        <v>8.3113425925925924E-2</v>
      </c>
      <c r="F808" s="51">
        <v>8.3518518518518506E-2</v>
      </c>
      <c r="G808" s="69">
        <f t="shared" si="310"/>
        <v>8.3315972222222215E-2</v>
      </c>
      <c r="H808" s="52">
        <v>1</v>
      </c>
      <c r="I808" s="12">
        <f t="shared" si="311"/>
        <v>3.6208592882321692E-3</v>
      </c>
      <c r="J808" s="37">
        <f t="shared" si="312"/>
        <v>5</v>
      </c>
      <c r="K808" s="37">
        <f>IF(J808=0,0,IF(B808="F",VLOOKUP(I808,Barem!$G$2:$H$16,2,1),VLOOKUP(I808,Barem!$G$17:$H$31,2,1)))</f>
        <v>2.5</v>
      </c>
      <c r="L808" s="50">
        <v>1.75</v>
      </c>
      <c r="M808" s="124" t="s">
        <v>107</v>
      </c>
      <c r="N808" s="10">
        <f t="shared" si="316"/>
        <v>0.25</v>
      </c>
      <c r="O808" s="10">
        <f t="shared" si="316"/>
        <v>0.5</v>
      </c>
      <c r="P808" s="10">
        <f t="shared" si="316"/>
        <v>0.25</v>
      </c>
      <c r="Q808" s="40">
        <f t="shared" si="313"/>
        <v>0</v>
      </c>
      <c r="R808" s="21">
        <f>IF(D808&gt;21,VLOOKUP(D808,Barem!$T$1:$U$141,2,1),0)</f>
        <v>0.1</v>
      </c>
      <c r="S808" s="152">
        <f>IF(D808&lt;1.609,0,IF(B808="F",VLOOKUP(I808,Barem!$X$2:$Z$13,2,1),VLOOKUP(I808,Barem!$X$14:$Z$25,2,1)))</f>
        <v>0</v>
      </c>
      <c r="T808" s="21">
        <f>VLOOKUP(A808,Participanti!A:C,3,0)</f>
        <v>0</v>
      </c>
      <c r="U808" s="18">
        <f t="shared" si="314"/>
        <v>3.0375000000000001</v>
      </c>
      <c r="V808" s="58" t="s">
        <v>485</v>
      </c>
      <c r="W808" s="77">
        <f t="shared" si="317"/>
        <v>1</v>
      </c>
      <c r="X808" s="1" t="e">
        <f>VLOOKUP(A808,Data_Echipe!A:R,18,0)</f>
        <v>#N/A</v>
      </c>
      <c r="Z808" s="115">
        <f t="shared" si="315"/>
        <v>1</v>
      </c>
    </row>
    <row r="809" spans="1:26" x14ac:dyDescent="0.3">
      <c r="A809" s="49" t="s">
        <v>357</v>
      </c>
      <c r="B809" s="1" t="str">
        <f>VLOOKUP(A809,Participanti!A:B,2,0)</f>
        <v>M</v>
      </c>
      <c r="C809" s="74">
        <v>10</v>
      </c>
      <c r="D809" s="50">
        <v>12</v>
      </c>
      <c r="E809" s="51">
        <v>4.1712962962962959E-2</v>
      </c>
      <c r="F809" s="51">
        <v>4.1712962962962959E-2</v>
      </c>
      <c r="G809" s="69">
        <f t="shared" si="310"/>
        <v>4.1712962962962959E-2</v>
      </c>
      <c r="H809" s="52"/>
      <c r="I809" s="12">
        <f t="shared" si="311"/>
        <v>3.4760802469135797E-3</v>
      </c>
      <c r="J809" s="37">
        <f t="shared" si="312"/>
        <v>2.8571428571428572</v>
      </c>
      <c r="K809" s="37">
        <f>IF(J809=0,0,IF(B809="F",VLOOKUP(I809,Barem!$G$2:$H$16,2,1),VLOOKUP(I809,Barem!$G$17:$H$31,2,1)))</f>
        <v>3</v>
      </c>
      <c r="L809" s="50">
        <v>1.5</v>
      </c>
      <c r="M809" s="124" t="s">
        <v>107</v>
      </c>
      <c r="N809" s="10">
        <f t="shared" si="316"/>
        <v>0.25</v>
      </c>
      <c r="O809" s="10">
        <f t="shared" si="316"/>
        <v>0.5</v>
      </c>
      <c r="P809" s="10">
        <f t="shared" si="316"/>
        <v>0.25</v>
      </c>
      <c r="Q809" s="40">
        <f t="shared" si="313"/>
        <v>0</v>
      </c>
      <c r="R809" s="21">
        <f>IF(D809&gt;21,VLOOKUP(D809,Barem!$T$1:$U$141,2,1),0)</f>
        <v>0</v>
      </c>
      <c r="S809" s="152">
        <f>IF(D809&lt;1.609,0,IF(B809="F",VLOOKUP(I809,Barem!$X$2:$Z$13,2,1),VLOOKUP(I809,Barem!$X$14:$Z$25,2,1)))</f>
        <v>0</v>
      </c>
      <c r="T809" s="21">
        <f>VLOOKUP(A809,Participanti!A:C,3,0)</f>
        <v>0</v>
      </c>
      <c r="U809" s="18">
        <f t="shared" si="314"/>
        <v>2.5892857142857144</v>
      </c>
      <c r="V809" s="58" t="s">
        <v>485</v>
      </c>
      <c r="W809" s="77">
        <f t="shared" si="317"/>
        <v>1</v>
      </c>
      <c r="X809" s="1" t="e">
        <f>VLOOKUP(A809,Data_Echipe!A:R,18,0)</f>
        <v>#N/A</v>
      </c>
      <c r="Z809" s="115">
        <f t="shared" si="315"/>
        <v>1</v>
      </c>
    </row>
    <row r="810" spans="1:26" x14ac:dyDescent="0.3">
      <c r="A810" s="49" t="s">
        <v>375</v>
      </c>
      <c r="B810" s="1" t="str">
        <f>VLOOKUP(A810,Participanti!A:B,2,0)</f>
        <v>M</v>
      </c>
      <c r="C810" s="74">
        <v>10</v>
      </c>
      <c r="D810" s="50">
        <v>4.01</v>
      </c>
      <c r="E810" s="51">
        <v>1.1689814814814814E-2</v>
      </c>
      <c r="F810" s="51">
        <v>1.1689814814814814E-2</v>
      </c>
      <c r="G810" s="69">
        <f t="shared" si="310"/>
        <v>1.1689814814814814E-2</v>
      </c>
      <c r="H810" s="52"/>
      <c r="I810" s="12">
        <f t="shared" si="311"/>
        <v>2.915165789230627E-3</v>
      </c>
      <c r="J810" s="37">
        <f t="shared" si="312"/>
        <v>0.9547619047619047</v>
      </c>
      <c r="K810" s="37">
        <f>IF(J810=0,0,IF(B810="F",VLOOKUP(I810,Barem!$G$2:$H$16,2,1),VLOOKUP(I810,Barem!$G$17:$H$31,2,1)))</f>
        <v>4.5</v>
      </c>
      <c r="L810" s="50">
        <v>0.75</v>
      </c>
      <c r="M810" s="124" t="s">
        <v>107</v>
      </c>
      <c r="N810" s="10">
        <f t="shared" si="316"/>
        <v>0.25</v>
      </c>
      <c r="O810" s="10">
        <f t="shared" si="316"/>
        <v>0.5</v>
      </c>
      <c r="P810" s="10">
        <f t="shared" si="316"/>
        <v>0.25</v>
      </c>
      <c r="Q810" s="40">
        <f t="shared" si="313"/>
        <v>0</v>
      </c>
      <c r="R810" s="21">
        <f>IF(D810&gt;21,VLOOKUP(D810,Barem!$T$1:$U$141,2,1),0)</f>
        <v>0</v>
      </c>
      <c r="S810" s="152">
        <f>IF(D810&lt;1.609,0,IF(B810="F",VLOOKUP(I810,Barem!$X$2:$Z$13,2,1),VLOOKUP(I810,Barem!$X$14:$Z$25,2,1)))</f>
        <v>0</v>
      </c>
      <c r="T810" s="21">
        <f>VLOOKUP(A810,Participanti!A:C,3,0)</f>
        <v>0</v>
      </c>
      <c r="U810" s="18">
        <f t="shared" si="314"/>
        <v>2.676190476190476</v>
      </c>
      <c r="V810" s="58" t="s">
        <v>485</v>
      </c>
      <c r="W810" s="77">
        <f t="shared" si="317"/>
        <v>1</v>
      </c>
      <c r="X810" s="1" t="e">
        <f>VLOOKUP(A810,Data_Echipe!A:R,18,0)</f>
        <v>#N/A</v>
      </c>
      <c r="Z810" s="115">
        <f t="shared" si="315"/>
        <v>1</v>
      </c>
    </row>
    <row r="811" spans="1:26" x14ac:dyDescent="0.3">
      <c r="A811" s="49" t="s">
        <v>252</v>
      </c>
      <c r="B811" s="1" t="str">
        <f>VLOOKUP(A811,Participanti!A:B,2,0)</f>
        <v>M</v>
      </c>
      <c r="C811" s="74">
        <v>10</v>
      </c>
      <c r="D811" s="50">
        <v>22.2</v>
      </c>
      <c r="E811" s="51">
        <v>8.5451388888888882E-2</v>
      </c>
      <c r="F811" s="51">
        <v>8.6041666666666669E-2</v>
      </c>
      <c r="G811" s="69">
        <f t="shared" si="310"/>
        <v>8.5746527777777776E-2</v>
      </c>
      <c r="H811" s="52">
        <v>204</v>
      </c>
      <c r="I811" s="12">
        <f t="shared" si="311"/>
        <v>3.8624562062062064E-3</v>
      </c>
      <c r="J811" s="37">
        <f t="shared" si="312"/>
        <v>5</v>
      </c>
      <c r="K811" s="37">
        <f>IF(J811=0,0,IF(B811="F",VLOOKUP(I811,Barem!$G$2:$H$16,2,1),VLOOKUP(I811,Barem!$G$17:$H$31,2,1)))</f>
        <v>1.75</v>
      </c>
      <c r="L811" s="50">
        <v>0.5</v>
      </c>
      <c r="M811" s="124" t="s">
        <v>106</v>
      </c>
      <c r="N811" s="10">
        <f t="shared" si="316"/>
        <v>0.5</v>
      </c>
      <c r="O811" s="10">
        <f t="shared" si="316"/>
        <v>0.25</v>
      </c>
      <c r="P811" s="10">
        <f t="shared" si="316"/>
        <v>0.25</v>
      </c>
      <c r="Q811" s="40">
        <f t="shared" si="313"/>
        <v>0.13600000000000001</v>
      </c>
      <c r="R811" s="21">
        <f>IF(D811&gt;21,VLOOKUP(D811,Barem!$T$1:$U$141,2,1),0)</f>
        <v>0</v>
      </c>
      <c r="S811" s="152">
        <f>IF(D811&lt;1.609,0,IF(B811="F",VLOOKUP(I811,Barem!$X$2:$Z$13,2,1),VLOOKUP(I811,Barem!$X$14:$Z$25,2,1)))</f>
        <v>0</v>
      </c>
      <c r="T811" s="21">
        <f>VLOOKUP(A811,Participanti!A:C,3,0)</f>
        <v>0</v>
      </c>
      <c r="U811" s="18">
        <f t="shared" si="314"/>
        <v>3.1985000000000001</v>
      </c>
      <c r="V811" s="58" t="s">
        <v>485</v>
      </c>
      <c r="W811" s="77">
        <f t="shared" si="317"/>
        <v>1</v>
      </c>
      <c r="X811" s="1" t="str">
        <f>VLOOKUP(A811,Data_Echipe!A:R,18,0)</f>
        <v>UltraHaita lu' Borcan</v>
      </c>
      <c r="Z811" s="115">
        <f t="shared" si="315"/>
        <v>1</v>
      </c>
    </row>
    <row r="812" spans="1:26" x14ac:dyDescent="0.3">
      <c r="A812" s="49" t="s">
        <v>283</v>
      </c>
      <c r="B812" s="1" t="str">
        <f>VLOOKUP(A812,Participanti!A:B,2,0)</f>
        <v>M</v>
      </c>
      <c r="C812" s="74">
        <v>10</v>
      </c>
      <c r="D812" s="50">
        <v>61</v>
      </c>
      <c r="E812" s="51">
        <v>0.26912037037037034</v>
      </c>
      <c r="F812" s="51">
        <v>0.31603009259259257</v>
      </c>
      <c r="G812" s="69">
        <f t="shared" si="310"/>
        <v>0.29257523148148146</v>
      </c>
      <c r="H812" s="52">
        <v>161</v>
      </c>
      <c r="I812" s="12">
        <f t="shared" si="311"/>
        <v>4.7963152701882205E-3</v>
      </c>
      <c r="J812" s="37">
        <f t="shared" si="312"/>
        <v>5</v>
      </c>
      <c r="K812" s="37">
        <f>IF(J812=0,0,IF(B812="F",VLOOKUP(I812,Barem!$G$2:$H$16,2,1),VLOOKUP(I812,Barem!$G$17:$H$31,2,1)))</f>
        <v>0.5</v>
      </c>
      <c r="L812" s="50">
        <v>4.5</v>
      </c>
      <c r="M812" s="124" t="s">
        <v>106</v>
      </c>
      <c r="N812" s="10">
        <f t="shared" si="316"/>
        <v>0.5</v>
      </c>
      <c r="O812" s="10">
        <f t="shared" si="316"/>
        <v>0.25</v>
      </c>
      <c r="P812" s="10">
        <f t="shared" si="316"/>
        <v>0.25</v>
      </c>
      <c r="Q812" s="40">
        <f t="shared" si="313"/>
        <v>0.10733333333333334</v>
      </c>
      <c r="R812" s="21">
        <f>IF(D812&gt;21,VLOOKUP(D812,Barem!$T$1:$U$141,2,1),0)</f>
        <v>2</v>
      </c>
      <c r="S812" s="152">
        <f>IF(D812&lt;1.609,0,IF(B812="F",VLOOKUP(I812,Barem!$X$2:$Z$13,2,1),VLOOKUP(I812,Barem!$X$14:$Z$25,2,1)))</f>
        <v>0</v>
      </c>
      <c r="T812" s="21">
        <f>VLOOKUP(A812,Participanti!A:C,3,0)</f>
        <v>0</v>
      </c>
      <c r="U812" s="18">
        <f t="shared" si="314"/>
        <v>5.8573333333333331</v>
      </c>
      <c r="V812" s="58" t="s">
        <v>485</v>
      </c>
      <c r="W812" s="77">
        <f t="shared" si="317"/>
        <v>1</v>
      </c>
      <c r="X812" s="1" t="str">
        <f>VLOOKUP(A812,Data_Echipe!A:R,18,0)</f>
        <v>The GOATs</v>
      </c>
      <c r="Z812" s="115">
        <f t="shared" si="315"/>
        <v>1</v>
      </c>
    </row>
    <row r="813" spans="1:26" x14ac:dyDescent="0.3">
      <c r="A813" s="49" t="s">
        <v>347</v>
      </c>
      <c r="B813" s="1" t="str">
        <f>VLOOKUP(A813,Participanti!A:B,2,0)</f>
        <v>F</v>
      </c>
      <c r="C813" s="74">
        <v>10</v>
      </c>
      <c r="D813" s="50">
        <v>2.61</v>
      </c>
      <c r="E813" s="51">
        <v>8.2291666666666659E-3</v>
      </c>
      <c r="F813" s="51">
        <v>8.2291666666666659E-3</v>
      </c>
      <c r="G813" s="69">
        <f t="shared" si="310"/>
        <v>8.2291666666666659E-3</v>
      </c>
      <c r="H813" s="52"/>
      <c r="I813" s="12">
        <f t="shared" si="311"/>
        <v>3.1529374201787995E-3</v>
      </c>
      <c r="J813" s="37">
        <f t="shared" si="312"/>
        <v>0.65249999999999997</v>
      </c>
      <c r="K813" s="37">
        <f>IF(J813=0,0,IF(B813="F",VLOOKUP(I813,Barem!$G$2:$H$16,2,1),VLOOKUP(I813,Barem!$G$17:$H$31,2,1)))</f>
        <v>4.5</v>
      </c>
      <c r="L813" s="50">
        <v>2</v>
      </c>
      <c r="M813" s="124" t="s">
        <v>107</v>
      </c>
      <c r="N813" s="10">
        <f t="shared" si="316"/>
        <v>0.25</v>
      </c>
      <c r="O813" s="10">
        <f t="shared" si="316"/>
        <v>0.5</v>
      </c>
      <c r="P813" s="10">
        <f t="shared" si="316"/>
        <v>0.25</v>
      </c>
      <c r="Q813" s="40">
        <f t="shared" si="313"/>
        <v>0</v>
      </c>
      <c r="R813" s="21">
        <f>IF(D813&gt;21,VLOOKUP(D813,Barem!$T$1:$U$141,2,1),0)</f>
        <v>0</v>
      </c>
      <c r="S813" s="152">
        <f>IF(D813&lt;1.609,0,IF(B813="F",VLOOKUP(I813,Barem!$X$2:$Z$13,2,1),VLOOKUP(I813,Barem!$X$14:$Z$25,2,1)))</f>
        <v>0</v>
      </c>
      <c r="T813" s="21">
        <f>VLOOKUP(A813,Participanti!A:C,3,0)</f>
        <v>0</v>
      </c>
      <c r="U813" s="18">
        <f t="shared" si="314"/>
        <v>2.913125</v>
      </c>
      <c r="V813" s="58" t="s">
        <v>485</v>
      </c>
      <c r="W813" s="77">
        <f t="shared" si="317"/>
        <v>1</v>
      </c>
      <c r="X813" s="1" t="str">
        <f>VLOOKUP(A813,Data_Echipe!A:R,18,0)</f>
        <v>MedgidiaRunning</v>
      </c>
      <c r="Z813" s="115">
        <f t="shared" si="315"/>
        <v>1</v>
      </c>
    </row>
    <row r="814" spans="1:26" x14ac:dyDescent="0.3">
      <c r="A814" s="49" t="s">
        <v>177</v>
      </c>
      <c r="B814" s="1" t="str">
        <f>VLOOKUP(A814,Participanti!A:B,2,0)</f>
        <v>F</v>
      </c>
      <c r="C814" s="74">
        <v>10</v>
      </c>
      <c r="D814" s="50">
        <v>3.01</v>
      </c>
      <c r="E814" s="51">
        <v>1.1620370370370371E-2</v>
      </c>
      <c r="F814" s="51">
        <v>1.1643518518518518E-2</v>
      </c>
      <c r="G814" s="69">
        <f t="shared" si="310"/>
        <v>1.1631944444444445E-2</v>
      </c>
      <c r="H814" s="52"/>
      <c r="I814" s="12">
        <f t="shared" si="311"/>
        <v>3.8644333702473241E-3</v>
      </c>
      <c r="J814" s="37">
        <f t="shared" si="312"/>
        <v>0.75249999999999995</v>
      </c>
      <c r="K814" s="37">
        <f>IF(J814=0,0,IF(B814="F",VLOOKUP(I814,Barem!$G$2:$H$16,2,1),VLOOKUP(I814,Barem!$G$17:$H$31,2,1)))</f>
        <v>2.5</v>
      </c>
      <c r="L814" s="50">
        <v>3</v>
      </c>
      <c r="M814" s="124" t="s">
        <v>107</v>
      </c>
      <c r="N814" s="10">
        <f t="shared" si="316"/>
        <v>0.25</v>
      </c>
      <c r="O814" s="10">
        <f t="shared" si="316"/>
        <v>0.5</v>
      </c>
      <c r="P814" s="10">
        <f t="shared" si="316"/>
        <v>0.25</v>
      </c>
      <c r="Q814" s="40">
        <f t="shared" si="313"/>
        <v>0</v>
      </c>
      <c r="R814" s="21">
        <f>IF(D814&gt;21,VLOOKUP(D814,Barem!$T$1:$U$141,2,1),0)</f>
        <v>0</v>
      </c>
      <c r="S814" s="152">
        <f>IF(D814&lt;1.609,0,IF(B814="F",VLOOKUP(I814,Barem!$X$2:$Z$13,2,1),VLOOKUP(I814,Barem!$X$14:$Z$25,2,1)))</f>
        <v>0</v>
      </c>
      <c r="T814" s="21">
        <f>VLOOKUP(A814,Participanti!A:C,3,0)</f>
        <v>0</v>
      </c>
      <c r="U814" s="18">
        <f t="shared" si="314"/>
        <v>2.1881249999999999</v>
      </c>
      <c r="V814" s="58" t="s">
        <v>485</v>
      </c>
      <c r="W814" s="77">
        <f t="shared" si="317"/>
        <v>1</v>
      </c>
      <c r="X814" s="1" t="str">
        <f>VLOOKUP(A814,Data_Echipe!A:R,18,0)</f>
        <v>UltraHaita lu' Borcan</v>
      </c>
      <c r="Z814" s="115">
        <f t="shared" si="315"/>
        <v>1</v>
      </c>
    </row>
    <row r="815" spans="1:26" x14ac:dyDescent="0.3">
      <c r="A815" s="49" t="s">
        <v>355</v>
      </c>
      <c r="B815" s="1" t="str">
        <f>VLOOKUP(A815,Participanti!A:B,2,0)</f>
        <v>F</v>
      </c>
      <c r="C815" s="74">
        <v>10</v>
      </c>
      <c r="D815" s="50">
        <v>7.06</v>
      </c>
      <c r="E815" s="51">
        <v>3.8715277777777779E-2</v>
      </c>
      <c r="F815" s="51">
        <v>4.2199074074074076E-2</v>
      </c>
      <c r="G815" s="69">
        <f t="shared" si="310"/>
        <v>4.0457175925925931E-2</v>
      </c>
      <c r="H815" s="52">
        <v>102</v>
      </c>
      <c r="I815" s="12">
        <f t="shared" si="311"/>
        <v>5.7304781764767609E-3</v>
      </c>
      <c r="J815" s="37">
        <f t="shared" si="312"/>
        <v>1.7649999999999999</v>
      </c>
      <c r="K815" s="37">
        <f>IF(J815=0,0,IF(B815="F",VLOOKUP(I815,Barem!$G$2:$H$16,2,1),VLOOKUP(I815,Barem!$G$17:$H$31,2,1)))</f>
        <v>0.25</v>
      </c>
      <c r="L815" s="50">
        <v>3.5</v>
      </c>
      <c r="M815" s="124" t="s">
        <v>106</v>
      </c>
      <c r="N815" s="10">
        <f t="shared" si="316"/>
        <v>0.5</v>
      </c>
      <c r="O815" s="10">
        <f t="shared" si="316"/>
        <v>0.25</v>
      </c>
      <c r="P815" s="10">
        <f t="shared" si="316"/>
        <v>0.25</v>
      </c>
      <c r="Q815" s="40">
        <f t="shared" si="313"/>
        <v>6.8000000000000005E-2</v>
      </c>
      <c r="R815" s="21">
        <f>IF(D815&gt;21,VLOOKUP(D815,Barem!$T$1:$U$141,2,1),0)</f>
        <v>0</v>
      </c>
      <c r="S815" s="152">
        <f>IF(D815&lt;1.609,0,IF(B815="F",VLOOKUP(I815,Barem!$X$2:$Z$13,2,1),VLOOKUP(I815,Barem!$X$14:$Z$25,2,1)))</f>
        <v>0</v>
      </c>
      <c r="T815" s="21">
        <f>VLOOKUP(A815,Participanti!A:C,3,0)</f>
        <v>0</v>
      </c>
      <c r="U815" s="18">
        <f t="shared" si="314"/>
        <v>1.8879999999999999</v>
      </c>
      <c r="V815" s="58" t="s">
        <v>485</v>
      </c>
      <c r="W815" s="77">
        <f t="shared" si="317"/>
        <v>1</v>
      </c>
      <c r="X815" s="1" t="str">
        <f>VLOOKUP(A815,Data_Echipe!A:R,18,0)</f>
        <v>#notSYRious</v>
      </c>
      <c r="Z815" s="115">
        <f t="shared" si="315"/>
        <v>1</v>
      </c>
    </row>
    <row r="816" spans="1:26" x14ac:dyDescent="0.3">
      <c r="A816" s="49" t="s">
        <v>483</v>
      </c>
      <c r="B816" s="1" t="str">
        <f>VLOOKUP(A816,Participanti!A:B,2,0)</f>
        <v>M</v>
      </c>
      <c r="C816" s="74">
        <v>10</v>
      </c>
      <c r="D816" s="50">
        <v>15.45</v>
      </c>
      <c r="E816" s="51">
        <v>6.5740740740740738E-2</v>
      </c>
      <c r="F816" s="51">
        <v>7.2476851851851862E-2</v>
      </c>
      <c r="G816" s="69">
        <f t="shared" si="310"/>
        <v>6.9108796296296293E-2</v>
      </c>
      <c r="H816" s="52">
        <v>555</v>
      </c>
      <c r="I816" s="12">
        <f t="shared" si="311"/>
        <v>4.4730612489512168E-3</v>
      </c>
      <c r="J816" s="37">
        <f t="shared" si="312"/>
        <v>3.6785714285714284</v>
      </c>
      <c r="K816" s="37">
        <f>IF(J816=0,0,IF(B816="F",VLOOKUP(I816,Barem!$G$2:$H$16,2,1),VLOOKUP(I816,Barem!$G$17:$H$31,2,1)))</f>
        <v>1</v>
      </c>
      <c r="L816" s="50">
        <v>0.75</v>
      </c>
      <c r="M816" s="124" t="s">
        <v>106</v>
      </c>
      <c r="N816" s="10">
        <f t="shared" si="316"/>
        <v>0.5</v>
      </c>
      <c r="O816" s="10">
        <f t="shared" si="316"/>
        <v>0.25</v>
      </c>
      <c r="P816" s="10">
        <f t="shared" si="316"/>
        <v>0.25</v>
      </c>
      <c r="Q816" s="40">
        <f t="shared" si="313"/>
        <v>0.37</v>
      </c>
      <c r="R816" s="21">
        <f>IF(D816&gt;21,VLOOKUP(D816,Barem!$T$1:$U$141,2,1),0)</f>
        <v>0</v>
      </c>
      <c r="S816" s="152">
        <f>IF(D816&lt;1.609,0,IF(B816="F",VLOOKUP(I816,Barem!$X$2:$Z$13,2,1),VLOOKUP(I816,Barem!$X$14:$Z$25,2,1)))</f>
        <v>0</v>
      </c>
      <c r="T816" s="21">
        <f>VLOOKUP(A816,Participanti!A:C,3,0)</f>
        <v>0</v>
      </c>
      <c r="U816" s="18">
        <f t="shared" si="314"/>
        <v>2.6467857142857145</v>
      </c>
      <c r="V816" s="58" t="s">
        <v>485</v>
      </c>
      <c r="W816" s="77">
        <f t="shared" si="317"/>
        <v>1</v>
      </c>
      <c r="X816" s="1" t="e">
        <f>VLOOKUP(A816,Data_Echipe!A:R,18,0)</f>
        <v>#N/A</v>
      </c>
      <c r="Z816" s="115">
        <f t="shared" si="315"/>
        <v>1</v>
      </c>
    </row>
    <row r="817" spans="1:26" x14ac:dyDescent="0.3">
      <c r="A817" s="49" t="s">
        <v>403</v>
      </c>
      <c r="B817" s="1" t="str">
        <f>VLOOKUP(A817,Participanti!A:B,2,0)</f>
        <v>M</v>
      </c>
      <c r="C817" s="74">
        <v>10</v>
      </c>
      <c r="D817" s="50">
        <v>28.38</v>
      </c>
      <c r="E817" s="51">
        <v>0.13721064814814815</v>
      </c>
      <c r="F817" s="51">
        <v>0.14278935185185185</v>
      </c>
      <c r="G817" s="69">
        <f t="shared" si="310"/>
        <v>0.14000000000000001</v>
      </c>
      <c r="H817" s="52">
        <v>555</v>
      </c>
      <c r="I817" s="12">
        <f t="shared" si="311"/>
        <v>4.9330514446793523E-3</v>
      </c>
      <c r="J817" s="37">
        <f t="shared" si="312"/>
        <v>5</v>
      </c>
      <c r="K817" s="37">
        <f>IF(J817=0,0,IF(B817="F",VLOOKUP(I817,Barem!$G$2:$H$16,2,1),VLOOKUP(I817,Barem!$G$17:$H$31,2,1)))</f>
        <v>0.25</v>
      </c>
      <c r="L817" s="50">
        <v>3</v>
      </c>
      <c r="M817" s="124" t="s">
        <v>207</v>
      </c>
      <c r="N817" s="10">
        <f t="shared" si="316"/>
        <v>0.25</v>
      </c>
      <c r="O817" s="10">
        <f t="shared" si="316"/>
        <v>0.25</v>
      </c>
      <c r="P817" s="10">
        <f t="shared" si="316"/>
        <v>0.5</v>
      </c>
      <c r="Q817" s="40">
        <f t="shared" si="313"/>
        <v>0.37</v>
      </c>
      <c r="R817" s="21">
        <f>IF(D817&gt;21,VLOOKUP(D817,Barem!$T$1:$U$141,2,1),0)</f>
        <v>0.3</v>
      </c>
      <c r="S817" s="152">
        <f>IF(D817&lt;1.609,0,IF(B817="F",VLOOKUP(I817,Barem!$X$2:$Z$13,2,1),VLOOKUP(I817,Barem!$X$14:$Z$25,2,1)))</f>
        <v>0</v>
      </c>
      <c r="T817" s="21">
        <f>VLOOKUP(A817,Participanti!A:C,3,0)</f>
        <v>0</v>
      </c>
      <c r="U817" s="18">
        <f t="shared" si="314"/>
        <v>3.4824999999999999</v>
      </c>
      <c r="V817" s="58" t="s">
        <v>485</v>
      </c>
      <c r="W817" s="77">
        <f t="shared" si="317"/>
        <v>1</v>
      </c>
      <c r="X817" s="1" t="str">
        <f>VLOOKUP(A817,Data_Echipe!A:R,18,0)</f>
        <v>The GOATs</v>
      </c>
      <c r="Z817" s="115">
        <f t="shared" si="315"/>
        <v>1</v>
      </c>
    </row>
    <row r="818" spans="1:26" x14ac:dyDescent="0.3">
      <c r="A818" s="49" t="s">
        <v>227</v>
      </c>
      <c r="B818" s="1" t="str">
        <f>VLOOKUP(A818,Participanti!A:B,2,0)</f>
        <v>M</v>
      </c>
      <c r="C818" s="74">
        <v>10</v>
      </c>
      <c r="D818" s="50">
        <v>90.08</v>
      </c>
      <c r="E818" s="51">
        <v>0.34150462962962963</v>
      </c>
      <c r="F818" s="51">
        <v>0.34487268518518516</v>
      </c>
      <c r="G818" s="69">
        <f t="shared" si="310"/>
        <v>0.34318865740740739</v>
      </c>
      <c r="H818" s="52">
        <v>866</v>
      </c>
      <c r="I818" s="12">
        <f t="shared" si="311"/>
        <v>3.809820797151503E-3</v>
      </c>
      <c r="J818" s="37">
        <f t="shared" si="312"/>
        <v>5</v>
      </c>
      <c r="K818" s="37">
        <f>IF(J818=0,0,IF(B818="F",VLOOKUP(I818,Barem!$G$2:$H$16,2,1),VLOOKUP(I818,Barem!$G$17:$H$31,2,1)))</f>
        <v>2</v>
      </c>
      <c r="L818" s="50">
        <v>4</v>
      </c>
      <c r="M818" s="124" t="s">
        <v>106</v>
      </c>
      <c r="N818" s="10">
        <f t="shared" si="316"/>
        <v>0.5</v>
      </c>
      <c r="O818" s="10">
        <f t="shared" si="316"/>
        <v>0.25</v>
      </c>
      <c r="P818" s="10">
        <f t="shared" si="316"/>
        <v>0.25</v>
      </c>
      <c r="Q818" s="40">
        <f t="shared" si="313"/>
        <v>0.57733333333333337</v>
      </c>
      <c r="R818" s="21">
        <f>IF(D818&gt;21,VLOOKUP(D818,Barem!$T$1:$U$141,2,1),0)</f>
        <v>3.4</v>
      </c>
      <c r="S818" s="152">
        <f>IF(D818&lt;1.609,0,IF(B818="F",VLOOKUP(I818,Barem!$X$2:$Z$13,2,1),VLOOKUP(I818,Barem!$X$14:$Z$25,2,1)))</f>
        <v>0</v>
      </c>
      <c r="T818" s="21">
        <f>VLOOKUP(A818,Participanti!A:C,3,0)</f>
        <v>0</v>
      </c>
      <c r="U818" s="18">
        <f t="shared" si="314"/>
        <v>7.9773333333333341</v>
      </c>
      <c r="V818" s="58" t="s">
        <v>485</v>
      </c>
      <c r="W818" s="77">
        <f t="shared" si="317"/>
        <v>1</v>
      </c>
      <c r="X818" s="1" t="str">
        <f>VLOOKUP(A818,Data_Echipe!A:R,18,0)</f>
        <v>UltraHaita lu' Borcan</v>
      </c>
      <c r="Z818" s="115">
        <f t="shared" si="315"/>
        <v>1</v>
      </c>
    </row>
    <row r="819" spans="1:26" x14ac:dyDescent="0.3">
      <c r="A819" s="49" t="s">
        <v>279</v>
      </c>
      <c r="B819" s="1" t="str">
        <f>VLOOKUP(A819,Participanti!A:B,2,0)</f>
        <v>M</v>
      </c>
      <c r="C819" s="74">
        <v>10</v>
      </c>
      <c r="D819" s="50">
        <v>24.08</v>
      </c>
      <c r="E819" s="51">
        <v>8.2002314814814806E-2</v>
      </c>
      <c r="F819" s="51">
        <v>0.11222222222222222</v>
      </c>
      <c r="G819" s="69">
        <f t="shared" si="310"/>
        <v>9.7112268518518507E-2</v>
      </c>
      <c r="H819" s="52">
        <v>160</v>
      </c>
      <c r="I819" s="12">
        <f t="shared" si="311"/>
        <v>4.0329015165497719E-3</v>
      </c>
      <c r="J819" s="37">
        <f t="shared" si="312"/>
        <v>5</v>
      </c>
      <c r="K819" s="37">
        <f>IF(J819=0,0,IF(B819="F",VLOOKUP(I819,Barem!$G$2:$H$16,2,1),VLOOKUP(I819,Barem!$G$17:$H$31,2,1)))</f>
        <v>1.5</v>
      </c>
      <c r="L819" s="50">
        <v>4.5</v>
      </c>
      <c r="M819" s="124" t="s">
        <v>207</v>
      </c>
      <c r="N819" s="10">
        <f t="shared" si="316"/>
        <v>0.25</v>
      </c>
      <c r="O819" s="10">
        <f t="shared" si="316"/>
        <v>0.25</v>
      </c>
      <c r="P819" s="10">
        <f t="shared" si="316"/>
        <v>0.5</v>
      </c>
      <c r="Q819" s="40">
        <f t="shared" si="313"/>
        <v>0.10666666666666667</v>
      </c>
      <c r="R819" s="21">
        <f>IF(D819&gt;21,VLOOKUP(D819,Barem!$T$1:$U$141,2,1),0)</f>
        <v>0.1</v>
      </c>
      <c r="S819" s="152">
        <f>IF(D819&lt;1.609,0,IF(B819="F",VLOOKUP(I819,Barem!$X$2:$Z$13,2,1),VLOOKUP(I819,Barem!$X$14:$Z$25,2,1)))</f>
        <v>0</v>
      </c>
      <c r="T819" s="21">
        <f>VLOOKUP(A819,Participanti!A:C,3,0)</f>
        <v>0</v>
      </c>
      <c r="U819" s="18">
        <f t="shared" si="314"/>
        <v>4.0816666666666661</v>
      </c>
      <c r="V819" s="58" t="s">
        <v>485</v>
      </c>
      <c r="W819" s="77">
        <f t="shared" si="317"/>
        <v>1</v>
      </c>
      <c r="X819" s="1" t="str">
        <f>VLOOKUP(A819,Data_Echipe!A:R,18,0)</f>
        <v>Almost Kenyan Runners</v>
      </c>
      <c r="Z819" s="115">
        <f t="shared" si="315"/>
        <v>1</v>
      </c>
    </row>
    <row r="820" spans="1:26" x14ac:dyDescent="0.3">
      <c r="A820" s="49" t="s">
        <v>292</v>
      </c>
      <c r="B820" s="1" t="str">
        <f>VLOOKUP(A820,Participanti!A:B,2,0)</f>
        <v>F</v>
      </c>
      <c r="C820" s="74">
        <v>10</v>
      </c>
      <c r="D820" s="50">
        <v>21.87</v>
      </c>
      <c r="E820" s="51">
        <v>0.11640046296296297</v>
      </c>
      <c r="F820" s="51">
        <v>0.12209490740740742</v>
      </c>
      <c r="G820" s="69">
        <f t="shared" ref="G820:G838" si="318">AVERAGE(E820:F820)</f>
        <v>0.11924768518518519</v>
      </c>
      <c r="H820" s="52">
        <v>713</v>
      </c>
      <c r="I820" s="12">
        <f t="shared" ref="I820:I838" si="319">G820/D820</f>
        <v>5.4525690528205387E-3</v>
      </c>
      <c r="J820" s="37">
        <f t="shared" ref="J820:J838" si="320">IF(B820="F",IF(D820&lt;2.5,0,IF(D820&gt;19.99,5,D820/4)),IF(D820&lt;3,0, IF(D820&gt;20.99,5,D820/4.2)))</f>
        <v>5</v>
      </c>
      <c r="K820" s="37">
        <f>IF(J820=0,0,IF(B820="F",VLOOKUP(I820,Barem!$G$2:$H$16,2,1),VLOOKUP(I820,Barem!$G$17:$H$31,2,1)))</f>
        <v>0.25</v>
      </c>
      <c r="L820" s="50">
        <v>1</v>
      </c>
      <c r="M820" s="124" t="s">
        <v>106</v>
      </c>
      <c r="N820" s="10">
        <f t="shared" si="316"/>
        <v>0.5</v>
      </c>
      <c r="O820" s="10">
        <f t="shared" si="316"/>
        <v>0.25</v>
      </c>
      <c r="P820" s="10">
        <f t="shared" si="316"/>
        <v>0.25</v>
      </c>
      <c r="Q820" s="40">
        <f t="shared" ref="Q820:Q838" si="321">IF(H820&gt;49,H820/1500,0)</f>
        <v>0.47533333333333333</v>
      </c>
      <c r="R820" s="21">
        <f>IF(D820&gt;21,VLOOKUP(D820,Barem!$T$1:$U$141,2,1),0)</f>
        <v>0</v>
      </c>
      <c r="S820" s="152">
        <f>IF(D820&lt;1.609,0,IF(B820="F",VLOOKUP(I820,Barem!$X$2:$Z$13,2,1),VLOOKUP(I820,Barem!$X$14:$Z$25,2,1)))</f>
        <v>0</v>
      </c>
      <c r="T820" s="21">
        <f>VLOOKUP(A820,Participanti!A:C,3,0)</f>
        <v>0</v>
      </c>
      <c r="U820" s="18">
        <f t="shared" ref="U820:U838" si="322">IF(H820&lt;0,0,J820*N820+K820*O820+L820*P820+Q820+R820+S820+T820)</f>
        <v>3.2878333333333334</v>
      </c>
      <c r="V820" s="58" t="s">
        <v>485</v>
      </c>
      <c r="W820" s="77">
        <f t="shared" si="317"/>
        <v>1</v>
      </c>
      <c r="X820" s="1" t="e">
        <f>VLOOKUP(A820,Data_Echipe!A:R,18,0)</f>
        <v>#N/A</v>
      </c>
      <c r="Z820" s="115">
        <f t="shared" ref="Z820:Z838" si="323">IF(K820&gt;0,1,0)</f>
        <v>1</v>
      </c>
    </row>
    <row r="821" spans="1:26" x14ac:dyDescent="0.3">
      <c r="A821" s="49" t="s">
        <v>344</v>
      </c>
      <c r="B821" s="1" t="str">
        <f>VLOOKUP(A821,Participanti!A:B,2,0)</f>
        <v>F</v>
      </c>
      <c r="C821" s="74">
        <v>10</v>
      </c>
      <c r="D821" s="50">
        <v>9.16</v>
      </c>
      <c r="E821" s="51">
        <v>3.4108796296296297E-2</v>
      </c>
      <c r="F821" s="51">
        <v>3.4201388888888885E-2</v>
      </c>
      <c r="G821" s="69">
        <f t="shared" si="318"/>
        <v>3.4155092592592591E-2</v>
      </c>
      <c r="H821" s="52"/>
      <c r="I821" s="12">
        <f t="shared" si="319"/>
        <v>3.7287218987546496E-3</v>
      </c>
      <c r="J821" s="37">
        <f t="shared" si="320"/>
        <v>2.29</v>
      </c>
      <c r="K821" s="37">
        <f>IF(J821=0,0,IF(B821="F",VLOOKUP(I821,Barem!$G$2:$H$16,2,1),VLOOKUP(I821,Barem!$G$17:$H$31,2,1)))</f>
        <v>3</v>
      </c>
      <c r="L821" s="50">
        <v>4.25</v>
      </c>
      <c r="M821" s="124" t="s">
        <v>207</v>
      </c>
      <c r="N821" s="10">
        <f t="shared" ref="N821:P839" si="324">IF($M821=N$1,50%,25%)</f>
        <v>0.25</v>
      </c>
      <c r="O821" s="10">
        <f t="shared" si="324"/>
        <v>0.25</v>
      </c>
      <c r="P821" s="10">
        <f t="shared" si="324"/>
        <v>0.5</v>
      </c>
      <c r="Q821" s="40">
        <f t="shared" si="321"/>
        <v>0</v>
      </c>
      <c r="R821" s="21">
        <f>IF(D821&gt;21,VLOOKUP(D821,Barem!$T$1:$U$141,2,1),0)</f>
        <v>0</v>
      </c>
      <c r="S821" s="152">
        <f>IF(D821&lt;1.609,0,IF(B821="F",VLOOKUP(I821,Barem!$X$2:$Z$13,2,1),VLOOKUP(I821,Barem!$X$14:$Z$25,2,1)))</f>
        <v>0</v>
      </c>
      <c r="T821" s="21">
        <f>VLOOKUP(A821,Participanti!A:C,3,0)</f>
        <v>0</v>
      </c>
      <c r="U821" s="18">
        <f t="shared" si="322"/>
        <v>3.4474999999999998</v>
      </c>
      <c r="V821" s="58" t="s">
        <v>487</v>
      </c>
      <c r="W821" s="77">
        <f t="shared" si="317"/>
        <v>1</v>
      </c>
      <c r="X821" s="1" t="e">
        <f>VLOOKUP(A821,Data_Echipe!A:R,18,0)</f>
        <v>#N/A</v>
      </c>
      <c r="Z821" s="115">
        <f t="shared" si="323"/>
        <v>1</v>
      </c>
    </row>
    <row r="822" spans="1:26" x14ac:dyDescent="0.3">
      <c r="A822" s="49" t="s">
        <v>448</v>
      </c>
      <c r="B822" s="1" t="str">
        <f>VLOOKUP(A822,Participanti!A:B,2,0)</f>
        <v>M</v>
      </c>
      <c r="C822" s="74">
        <v>10</v>
      </c>
      <c r="D822" s="50">
        <v>18.059999999999999</v>
      </c>
      <c r="E822" s="51">
        <v>7.3333333333333334E-2</v>
      </c>
      <c r="F822" s="51">
        <v>7.5057870370370372E-2</v>
      </c>
      <c r="G822" s="69">
        <f t="shared" si="318"/>
        <v>7.4195601851851853E-2</v>
      </c>
      <c r="H822" s="52">
        <v>141</v>
      </c>
      <c r="I822" s="12">
        <f t="shared" si="319"/>
        <v>4.1082836019851526E-3</v>
      </c>
      <c r="J822" s="37">
        <f t="shared" si="320"/>
        <v>4.3</v>
      </c>
      <c r="K822" s="37">
        <f>IF(J822=0,0,IF(B822="F",VLOOKUP(I822,Barem!$G$2:$H$16,2,1),VLOOKUP(I822,Barem!$G$17:$H$31,2,1)))</f>
        <v>1.5</v>
      </c>
      <c r="L822" s="50">
        <v>1.25</v>
      </c>
      <c r="M822" s="124" t="s">
        <v>207</v>
      </c>
      <c r="N822" s="10">
        <f t="shared" si="324"/>
        <v>0.25</v>
      </c>
      <c r="O822" s="10">
        <f t="shared" si="324"/>
        <v>0.25</v>
      </c>
      <c r="P822" s="10">
        <f t="shared" si="324"/>
        <v>0.5</v>
      </c>
      <c r="Q822" s="40">
        <f t="shared" si="321"/>
        <v>9.4E-2</v>
      </c>
      <c r="R822" s="21">
        <f>IF(D822&gt;21,VLOOKUP(D822,Barem!$T$1:$U$141,2,1),0)</f>
        <v>0</v>
      </c>
      <c r="S822" s="152">
        <f>IF(D822&lt;1.609,0,IF(B822="F",VLOOKUP(I822,Barem!$X$2:$Z$13,2,1),VLOOKUP(I822,Barem!$X$14:$Z$25,2,1)))</f>
        <v>0</v>
      </c>
      <c r="T822" s="21">
        <f>VLOOKUP(A822,Participanti!A:C,3,0)</f>
        <v>0</v>
      </c>
      <c r="U822" s="18">
        <f t="shared" si="322"/>
        <v>2.169</v>
      </c>
      <c r="V822" s="58" t="s">
        <v>487</v>
      </c>
      <c r="W822" s="77">
        <f t="shared" si="317"/>
        <v>1</v>
      </c>
      <c r="X822" s="1" t="e">
        <f>VLOOKUP(A822,Data_Echipe!A:R,18,0)</f>
        <v>#N/A</v>
      </c>
      <c r="Z822" s="115">
        <f t="shared" si="323"/>
        <v>1</v>
      </c>
    </row>
    <row r="823" spans="1:26" x14ac:dyDescent="0.3">
      <c r="A823" s="49" t="s">
        <v>296</v>
      </c>
      <c r="B823" s="1" t="str">
        <f>VLOOKUP(A823,Participanti!A:B,2,0)</f>
        <v>M</v>
      </c>
      <c r="C823" s="74">
        <v>10</v>
      </c>
      <c r="D823" s="50">
        <v>14.45</v>
      </c>
      <c r="E823" s="51">
        <v>8.1122685185185187E-2</v>
      </c>
      <c r="F823" s="51">
        <v>8.3043981481481483E-2</v>
      </c>
      <c r="G823" s="69">
        <f t="shared" si="318"/>
        <v>8.2083333333333341E-2</v>
      </c>
      <c r="H823" s="52">
        <v>199</v>
      </c>
      <c r="I823" s="12">
        <f t="shared" si="319"/>
        <v>5.6805074971164942E-3</v>
      </c>
      <c r="J823" s="37">
        <f t="shared" si="320"/>
        <v>3.4404761904761902</v>
      </c>
      <c r="K823" s="37">
        <f>IF(J823=0,0,IF(B823="F",VLOOKUP(I823,Barem!$G$2:$H$16,2,1),VLOOKUP(I823,Barem!$G$17:$H$31,2,1)))</f>
        <v>0</v>
      </c>
      <c r="L823" s="50">
        <v>2.75</v>
      </c>
      <c r="M823" s="124" t="s">
        <v>106</v>
      </c>
      <c r="N823" s="10">
        <f t="shared" si="324"/>
        <v>0.5</v>
      </c>
      <c r="O823" s="10">
        <f t="shared" si="324"/>
        <v>0.25</v>
      </c>
      <c r="P823" s="10">
        <f t="shared" si="324"/>
        <v>0.25</v>
      </c>
      <c r="Q823" s="40">
        <f t="shared" si="321"/>
        <v>0.13266666666666665</v>
      </c>
      <c r="R823" s="21">
        <f>IF(D823&gt;21,VLOOKUP(D823,Barem!$T$1:$U$141,2,1),0)</f>
        <v>0</v>
      </c>
      <c r="S823" s="152">
        <f>IF(D823&lt;1.609,0,IF(B823="F",VLOOKUP(I823,Barem!$X$2:$Z$13,2,1),VLOOKUP(I823,Barem!$X$14:$Z$25,2,1)))</f>
        <v>0</v>
      </c>
      <c r="T823" s="21">
        <f>VLOOKUP(A823,Participanti!A:C,3,0)</f>
        <v>0</v>
      </c>
      <c r="U823" s="18">
        <f t="shared" si="322"/>
        <v>2.5404047619047616</v>
      </c>
      <c r="V823" s="58" t="s">
        <v>487</v>
      </c>
      <c r="W823" s="77">
        <f t="shared" si="317"/>
        <v>1</v>
      </c>
      <c r="X823" s="1" t="str">
        <f>VLOOKUP(A823,Data_Echipe!A:R,18,0)</f>
        <v>MedgidiaRunning</v>
      </c>
      <c r="Z823" s="115">
        <f t="shared" si="323"/>
        <v>0</v>
      </c>
    </row>
    <row r="824" spans="1:26" x14ac:dyDescent="0.3">
      <c r="A824" s="49" t="s">
        <v>393</v>
      </c>
      <c r="B824" s="1" t="str">
        <f>VLOOKUP(A824,Participanti!A:B,2,0)</f>
        <v>M</v>
      </c>
      <c r="C824" s="74">
        <v>10</v>
      </c>
      <c r="D824" s="50">
        <v>15.25</v>
      </c>
      <c r="E824" s="51">
        <v>7.9166666666666663E-2</v>
      </c>
      <c r="F824" s="51">
        <v>0.10229166666666667</v>
      </c>
      <c r="G824" s="69">
        <f t="shared" si="318"/>
        <v>9.0729166666666666E-2</v>
      </c>
      <c r="H824" s="52">
        <v>511</v>
      </c>
      <c r="I824" s="12">
        <f t="shared" si="319"/>
        <v>5.9494535519125681E-3</v>
      </c>
      <c r="J824" s="37">
        <f t="shared" si="320"/>
        <v>3.6309523809523809</v>
      </c>
      <c r="K824" s="37">
        <f>IF(J824=0,0,IF(B824="F",VLOOKUP(I824,Barem!$G$2:$H$16,2,1),VLOOKUP(I824,Barem!$G$17:$H$31,2,1)))</f>
        <v>0</v>
      </c>
      <c r="L824" s="50">
        <v>3</v>
      </c>
      <c r="M824" s="124" t="s">
        <v>106</v>
      </c>
      <c r="N824" s="10">
        <f t="shared" si="324"/>
        <v>0.5</v>
      </c>
      <c r="O824" s="10">
        <f t="shared" si="324"/>
        <v>0.25</v>
      </c>
      <c r="P824" s="10">
        <f t="shared" si="324"/>
        <v>0.25</v>
      </c>
      <c r="Q824" s="40">
        <f t="shared" si="321"/>
        <v>0.34066666666666667</v>
      </c>
      <c r="R824" s="21">
        <f>IF(D824&gt;21,VLOOKUP(D824,Barem!$T$1:$U$141,2,1),0)</f>
        <v>0</v>
      </c>
      <c r="S824" s="152">
        <f>IF(D824&lt;1.609,0,IF(B824="F",VLOOKUP(I824,Barem!$X$2:$Z$13,2,1),VLOOKUP(I824,Barem!$X$14:$Z$25,2,1)))</f>
        <v>0</v>
      </c>
      <c r="T824" s="21">
        <f>VLOOKUP(A824,Participanti!A:C,3,0)</f>
        <v>0</v>
      </c>
      <c r="U824" s="18">
        <f t="shared" si="322"/>
        <v>2.9061428571428571</v>
      </c>
      <c r="V824" s="58" t="s">
        <v>487</v>
      </c>
      <c r="W824" s="77">
        <f t="shared" si="317"/>
        <v>1</v>
      </c>
      <c r="X824" s="1" t="e">
        <f>VLOOKUP(A824,Data_Echipe!A:R,18,0)</f>
        <v>#N/A</v>
      </c>
      <c r="Z824" s="115">
        <f t="shared" si="323"/>
        <v>0</v>
      </c>
    </row>
    <row r="825" spans="1:26" x14ac:dyDescent="0.3">
      <c r="A825" s="49" t="s">
        <v>431</v>
      </c>
      <c r="B825" s="1" t="str">
        <f>VLOOKUP(A825,Participanti!A:B,2,0)</f>
        <v>F</v>
      </c>
      <c r="C825" s="74">
        <v>10</v>
      </c>
      <c r="D825" s="50">
        <v>20</v>
      </c>
      <c r="E825" s="51">
        <v>0.10208333333333335</v>
      </c>
      <c r="F825" s="51">
        <v>0.10208333333333335</v>
      </c>
      <c r="G825" s="69">
        <f t="shared" si="318"/>
        <v>0.10208333333333335</v>
      </c>
      <c r="H825" s="52"/>
      <c r="I825" s="12">
        <f t="shared" si="319"/>
        <v>5.1041666666666674E-3</v>
      </c>
      <c r="J825" s="37">
        <f t="shared" si="320"/>
        <v>5</v>
      </c>
      <c r="K825" s="37">
        <f>IF(J825=0,0,IF(B825="F",VLOOKUP(I825,Barem!$G$2:$H$16,2,1),VLOOKUP(I825,Barem!$G$17:$H$31,2,1)))</f>
        <v>0.5</v>
      </c>
      <c r="L825" s="50">
        <v>2.75</v>
      </c>
      <c r="M825" s="124" t="s">
        <v>106</v>
      </c>
      <c r="N825" s="10">
        <f t="shared" si="324"/>
        <v>0.5</v>
      </c>
      <c r="O825" s="10">
        <f t="shared" si="324"/>
        <v>0.25</v>
      </c>
      <c r="P825" s="10">
        <f t="shared" si="324"/>
        <v>0.25</v>
      </c>
      <c r="Q825" s="40">
        <f t="shared" si="321"/>
        <v>0</v>
      </c>
      <c r="R825" s="21">
        <f>IF(D825&gt;21,VLOOKUP(D825,Barem!$T$1:$U$141,2,1),0)</f>
        <v>0</v>
      </c>
      <c r="S825" s="152">
        <f>IF(D825&lt;1.609,0,IF(B825="F",VLOOKUP(I825,Barem!$X$2:$Z$13,2,1),VLOOKUP(I825,Barem!$X$14:$Z$25,2,1)))</f>
        <v>0</v>
      </c>
      <c r="T825" s="21">
        <f>VLOOKUP(A825,Participanti!A:C,3,0)</f>
        <v>0.4</v>
      </c>
      <c r="U825" s="18">
        <f t="shared" si="322"/>
        <v>3.7124999999999999</v>
      </c>
      <c r="V825" s="58" t="s">
        <v>487</v>
      </c>
      <c r="W825" s="77">
        <f t="shared" si="317"/>
        <v>1</v>
      </c>
      <c r="X825" s="1" t="e">
        <f>VLOOKUP(A825,Data_Echipe!A:R,18,0)</f>
        <v>#N/A</v>
      </c>
      <c r="Z825" s="115">
        <f t="shared" si="323"/>
        <v>1</v>
      </c>
    </row>
    <row r="826" spans="1:26" x14ac:dyDescent="0.3">
      <c r="A826" s="49" t="s">
        <v>136</v>
      </c>
      <c r="B826" s="1" t="str">
        <f>VLOOKUP(A826,Participanti!A:B,2,0)</f>
        <v>F</v>
      </c>
      <c r="C826" s="74">
        <v>10</v>
      </c>
      <c r="D826" s="50">
        <v>20.100000000000001</v>
      </c>
      <c r="E826" s="51">
        <v>0.11439814814814815</v>
      </c>
      <c r="F826" s="51">
        <v>0.11496527777777778</v>
      </c>
      <c r="G826" s="69">
        <f t="shared" si="318"/>
        <v>0.11468171296296296</v>
      </c>
      <c r="H826" s="52">
        <v>761</v>
      </c>
      <c r="I826" s="12">
        <f t="shared" si="319"/>
        <v>5.7055578588538786E-3</v>
      </c>
      <c r="J826" s="37">
        <f t="shared" si="320"/>
        <v>5</v>
      </c>
      <c r="K826" s="37">
        <f>IF(J826=0,0,IF(B826="F",VLOOKUP(I826,Barem!$G$2:$H$16,2,1),VLOOKUP(I826,Barem!$G$17:$H$31,2,1)))</f>
        <v>0.25</v>
      </c>
      <c r="L826" s="50">
        <v>3.25</v>
      </c>
      <c r="M826" s="124" t="s">
        <v>106</v>
      </c>
      <c r="N826" s="10">
        <f t="shared" si="324"/>
        <v>0.5</v>
      </c>
      <c r="O826" s="10">
        <f t="shared" si="324"/>
        <v>0.25</v>
      </c>
      <c r="P826" s="10">
        <f t="shared" si="324"/>
        <v>0.25</v>
      </c>
      <c r="Q826" s="40">
        <f t="shared" si="321"/>
        <v>0.5073333333333333</v>
      </c>
      <c r="R826" s="21">
        <f>IF(D826&gt;21,VLOOKUP(D826,Barem!$T$1:$U$141,2,1),0)</f>
        <v>0</v>
      </c>
      <c r="S826" s="152">
        <f>IF(D826&lt;1.609,0,IF(B826="F",VLOOKUP(I826,Barem!$X$2:$Z$13,2,1),VLOOKUP(I826,Barem!$X$14:$Z$25,2,1)))</f>
        <v>0</v>
      </c>
      <c r="T826" s="21">
        <f>VLOOKUP(A826,Participanti!A:C,3,0)</f>
        <v>0</v>
      </c>
      <c r="U826" s="18">
        <f t="shared" si="322"/>
        <v>3.8823333333333334</v>
      </c>
      <c r="V826" s="58" t="s">
        <v>487</v>
      </c>
      <c r="W826" s="77">
        <f t="shared" si="317"/>
        <v>1</v>
      </c>
      <c r="X826" s="1" t="e">
        <f>VLOOKUP(A826,Data_Echipe!A:R,18,0)</f>
        <v>#N/A</v>
      </c>
      <c r="Z826" s="115">
        <f t="shared" si="323"/>
        <v>1</v>
      </c>
    </row>
    <row r="827" spans="1:26" x14ac:dyDescent="0.3">
      <c r="A827" s="49" t="s">
        <v>356</v>
      </c>
      <c r="B827" s="1" t="str">
        <f>VLOOKUP(A827,Participanti!A:B,2,0)</f>
        <v>M</v>
      </c>
      <c r="C827" s="74">
        <v>10</v>
      </c>
      <c r="D827" s="50">
        <v>4.79</v>
      </c>
      <c r="E827" s="51">
        <v>1.5960648148148151E-2</v>
      </c>
      <c r="F827" s="51">
        <v>1.5960648148148151E-2</v>
      </c>
      <c r="G827" s="69">
        <f t="shared" si="318"/>
        <v>1.5960648148148151E-2</v>
      </c>
      <c r="H827" s="52"/>
      <c r="I827" s="12">
        <f t="shared" si="319"/>
        <v>3.3320768576509709E-3</v>
      </c>
      <c r="J827" s="37">
        <f t="shared" si="320"/>
        <v>1.1404761904761904</v>
      </c>
      <c r="K827" s="37">
        <f>IF(J827=0,0,IF(B827="F",VLOOKUP(I827,Barem!$G$2:$H$16,2,1),VLOOKUP(I827,Barem!$G$17:$H$31,2,1)))</f>
        <v>3</v>
      </c>
      <c r="L827" s="50">
        <v>2.5</v>
      </c>
      <c r="M827" s="124" t="s">
        <v>107</v>
      </c>
      <c r="N827" s="10">
        <f t="shared" si="324"/>
        <v>0.25</v>
      </c>
      <c r="O827" s="10">
        <f t="shared" si="324"/>
        <v>0.5</v>
      </c>
      <c r="P827" s="10">
        <f t="shared" si="324"/>
        <v>0.25</v>
      </c>
      <c r="Q827" s="40">
        <f t="shared" si="321"/>
        <v>0</v>
      </c>
      <c r="R827" s="21">
        <f>IF(D827&gt;21,VLOOKUP(D827,Barem!$T$1:$U$141,2,1),0)</f>
        <v>0</v>
      </c>
      <c r="S827" s="152">
        <f>IF(D827&lt;1.609,0,IF(B827="F",VLOOKUP(I827,Barem!$X$2:$Z$13,2,1),VLOOKUP(I827,Barem!$X$14:$Z$25,2,1)))</f>
        <v>0</v>
      </c>
      <c r="T827" s="21">
        <f>VLOOKUP(A827,Participanti!A:C,3,0)</f>
        <v>0</v>
      </c>
      <c r="U827" s="18">
        <f t="shared" si="322"/>
        <v>2.4101190476190477</v>
      </c>
      <c r="V827" s="58" t="s">
        <v>487</v>
      </c>
      <c r="W827" s="77">
        <f t="shared" si="317"/>
        <v>1</v>
      </c>
      <c r="X827" s="1" t="str">
        <f>VLOOKUP(A827,Data_Echipe!A:R,18,0)</f>
        <v>MedgidiaRunning</v>
      </c>
      <c r="Z827" s="115">
        <f t="shared" si="323"/>
        <v>1</v>
      </c>
    </row>
    <row r="828" spans="1:26" x14ac:dyDescent="0.3">
      <c r="A828" s="49" t="s">
        <v>300</v>
      </c>
      <c r="B828" s="1" t="str">
        <f>VLOOKUP(A828,Participanti!A:B,2,0)</f>
        <v>M</v>
      </c>
      <c r="C828" s="74">
        <v>10</v>
      </c>
      <c r="D828" s="50">
        <v>7.76</v>
      </c>
      <c r="E828" s="51">
        <v>4.0682870370370376E-2</v>
      </c>
      <c r="F828" s="51">
        <v>4.8576388888888884E-2</v>
      </c>
      <c r="G828" s="69">
        <f t="shared" si="318"/>
        <v>4.462962962962963E-2</v>
      </c>
      <c r="H828" s="52"/>
      <c r="I828" s="12">
        <f t="shared" si="319"/>
        <v>5.7512409316533026E-3</v>
      </c>
      <c r="J828" s="37">
        <f t="shared" si="320"/>
        <v>1.8476190476190475</v>
      </c>
      <c r="K828" s="37">
        <f>IF(J828=0,0,IF(B828="F",VLOOKUP(I828,Barem!$G$2:$H$16,2,1),VLOOKUP(I828,Barem!$G$17:$H$31,2,1)))</f>
        <v>0</v>
      </c>
      <c r="L828" s="50">
        <v>2.75</v>
      </c>
      <c r="M828" s="124" t="s">
        <v>207</v>
      </c>
      <c r="N828" s="10">
        <f t="shared" si="324"/>
        <v>0.25</v>
      </c>
      <c r="O828" s="10">
        <f t="shared" si="324"/>
        <v>0.25</v>
      </c>
      <c r="P828" s="10">
        <f t="shared" si="324"/>
        <v>0.5</v>
      </c>
      <c r="Q828" s="40">
        <f t="shared" si="321"/>
        <v>0</v>
      </c>
      <c r="R828" s="21">
        <f>IF(D828&gt;21,VLOOKUP(D828,Barem!$T$1:$U$141,2,1),0)</f>
        <v>0</v>
      </c>
      <c r="S828" s="152">
        <f>IF(D828&lt;1.609,0,IF(B828="F",VLOOKUP(I828,Barem!$X$2:$Z$13,2,1),VLOOKUP(I828,Barem!$X$14:$Z$25,2,1)))</f>
        <v>0</v>
      </c>
      <c r="T828" s="21">
        <f>VLOOKUP(A828,Participanti!A:C,3,0)</f>
        <v>0</v>
      </c>
      <c r="U828" s="18">
        <f t="shared" si="322"/>
        <v>1.8369047619047618</v>
      </c>
      <c r="V828" s="58" t="s">
        <v>487</v>
      </c>
      <c r="W828" s="77">
        <f t="shared" si="317"/>
        <v>1</v>
      </c>
      <c r="X828" s="1" t="str">
        <f>VLOOKUP(A828,Data_Echipe!A:R,18,0)</f>
        <v>#notSYRious</v>
      </c>
      <c r="Z828" s="115">
        <f t="shared" si="323"/>
        <v>0</v>
      </c>
    </row>
    <row r="829" spans="1:26" x14ac:dyDescent="0.3">
      <c r="A829" s="49" t="s">
        <v>332</v>
      </c>
      <c r="B829" s="1" t="str">
        <f>VLOOKUP(A829,Participanti!A:B,2,0)</f>
        <v>M</v>
      </c>
      <c r="C829" s="74">
        <v>10</v>
      </c>
      <c r="D829" s="50">
        <v>10.01</v>
      </c>
      <c r="E829" s="51">
        <v>3.4490740740740738E-2</v>
      </c>
      <c r="F829" s="51">
        <v>3.4560185185185187E-2</v>
      </c>
      <c r="G829" s="69">
        <f t="shared" si="318"/>
        <v>3.4525462962962966E-2</v>
      </c>
      <c r="H829" s="52"/>
      <c r="I829" s="12">
        <f t="shared" si="319"/>
        <v>3.4490971990971996E-3</v>
      </c>
      <c r="J829" s="37">
        <f t="shared" si="320"/>
        <v>2.3833333333333333</v>
      </c>
      <c r="K829" s="37">
        <f>IF(J829=0,0,IF(B829="F",VLOOKUP(I829,Barem!$G$2:$H$16,2,1),VLOOKUP(I829,Barem!$G$17:$H$31,2,1)))</f>
        <v>3</v>
      </c>
      <c r="L829" s="50">
        <v>3</v>
      </c>
      <c r="M829" s="124" t="s">
        <v>107</v>
      </c>
      <c r="N829" s="10">
        <f t="shared" si="324"/>
        <v>0.25</v>
      </c>
      <c r="O829" s="10">
        <f t="shared" si="324"/>
        <v>0.5</v>
      </c>
      <c r="P829" s="10">
        <f t="shared" si="324"/>
        <v>0.25</v>
      </c>
      <c r="Q829" s="40">
        <f t="shared" si="321"/>
        <v>0</v>
      </c>
      <c r="R829" s="21">
        <f>IF(D829&gt;21,VLOOKUP(D829,Barem!$T$1:$U$141,2,1),0)</f>
        <v>0</v>
      </c>
      <c r="S829" s="152">
        <f>IF(D829&lt;1.609,0,IF(B829="F",VLOOKUP(I829,Barem!$X$2:$Z$13,2,1),VLOOKUP(I829,Barem!$X$14:$Z$25,2,1)))</f>
        <v>0</v>
      </c>
      <c r="T829" s="21">
        <f>VLOOKUP(A829,Participanti!A:C,3,0)</f>
        <v>0.4</v>
      </c>
      <c r="U829" s="18">
        <f t="shared" si="322"/>
        <v>3.2458333333333331</v>
      </c>
      <c r="V829" s="58" t="s">
        <v>487</v>
      </c>
      <c r="W829" s="77">
        <f t="shared" si="317"/>
        <v>1</v>
      </c>
      <c r="X829" s="1" t="str">
        <f>VLOOKUP(A829,Data_Echipe!A:R,18,0)</f>
        <v>MedgidiaRunning</v>
      </c>
      <c r="Z829" s="115">
        <f t="shared" si="323"/>
        <v>1</v>
      </c>
    </row>
    <row r="830" spans="1:26" x14ac:dyDescent="0.3">
      <c r="A830" s="49" t="s">
        <v>335</v>
      </c>
      <c r="B830" s="1" t="str">
        <f>VLOOKUP(A830,Participanti!A:B,2,0)</f>
        <v>M</v>
      </c>
      <c r="C830" s="74">
        <v>10</v>
      </c>
      <c r="D830" s="50">
        <v>42.2</v>
      </c>
      <c r="E830" s="51">
        <v>0.16342592592592595</v>
      </c>
      <c r="F830" s="51">
        <v>0.16358796296296296</v>
      </c>
      <c r="G830" s="69">
        <f t="shared" si="318"/>
        <v>0.16350694444444447</v>
      </c>
      <c r="H830" s="52"/>
      <c r="I830" s="12">
        <f t="shared" si="319"/>
        <v>3.8745721432332809E-3</v>
      </c>
      <c r="J830" s="37">
        <f t="shared" si="320"/>
        <v>5</v>
      </c>
      <c r="K830" s="37">
        <f>IF(J830=0,0,IF(B830="F",VLOOKUP(I830,Barem!$G$2:$H$16,2,1),VLOOKUP(I830,Barem!$G$17:$H$31,2,1)))</f>
        <v>1.75</v>
      </c>
      <c r="L830" s="50">
        <v>1.5</v>
      </c>
      <c r="M830" s="124" t="s">
        <v>106</v>
      </c>
      <c r="N830" s="10">
        <f t="shared" si="324"/>
        <v>0.5</v>
      </c>
      <c r="O830" s="10">
        <f t="shared" si="324"/>
        <v>0.25</v>
      </c>
      <c r="P830" s="10">
        <f t="shared" si="324"/>
        <v>0.25</v>
      </c>
      <c r="Q830" s="40">
        <f t="shared" si="321"/>
        <v>0</v>
      </c>
      <c r="R830" s="21">
        <f>IF(D830&gt;21,VLOOKUP(D830,Barem!$T$1:$U$141,2,1),0)</f>
        <v>1</v>
      </c>
      <c r="S830" s="152">
        <f>IF(D830&lt;1.609,0,IF(B830="F",VLOOKUP(I830,Barem!$X$2:$Z$13,2,1),VLOOKUP(I830,Barem!$X$14:$Z$25,2,1)))</f>
        <v>0</v>
      </c>
      <c r="T830" s="21">
        <f>VLOOKUP(A830,Participanti!A:C,3,0)</f>
        <v>0.4</v>
      </c>
      <c r="U830" s="18">
        <f t="shared" si="322"/>
        <v>4.7125000000000004</v>
      </c>
      <c r="V830" s="58" t="s">
        <v>487</v>
      </c>
      <c r="W830" s="77">
        <f t="shared" si="317"/>
        <v>1</v>
      </c>
      <c r="X830" s="1" t="e">
        <f>VLOOKUP(A830,Data_Echipe!A:R,18,0)</f>
        <v>#N/A</v>
      </c>
      <c r="Z830" s="115">
        <f t="shared" si="323"/>
        <v>1</v>
      </c>
    </row>
    <row r="831" spans="1:26" x14ac:dyDescent="0.3">
      <c r="A831" s="49" t="s">
        <v>341</v>
      </c>
      <c r="B831" s="1" t="str">
        <f>VLOOKUP(A831,Participanti!A:B,2,0)</f>
        <v>M</v>
      </c>
      <c r="C831" s="74">
        <v>10</v>
      </c>
      <c r="D831" s="50">
        <v>65.099999999999994</v>
      </c>
      <c r="E831" s="51">
        <v>0.26045138888888891</v>
      </c>
      <c r="F831" s="51">
        <v>0.2666203703703704</v>
      </c>
      <c r="G831" s="69">
        <f t="shared" si="318"/>
        <v>0.26353587962962965</v>
      </c>
      <c r="H831" s="52">
        <v>87</v>
      </c>
      <c r="I831" s="12">
        <f t="shared" si="319"/>
        <v>4.0481701940035279E-3</v>
      </c>
      <c r="J831" s="37">
        <f t="shared" si="320"/>
        <v>5</v>
      </c>
      <c r="K831" s="37">
        <f>IF(J831=0,0,IF(B831="F",VLOOKUP(I831,Barem!$G$2:$H$16,2,1),VLOOKUP(I831,Barem!$G$17:$H$31,2,1)))</f>
        <v>1.5</v>
      </c>
      <c r="L831" s="50">
        <v>2</v>
      </c>
      <c r="M831" s="124" t="s">
        <v>106</v>
      </c>
      <c r="N831" s="10">
        <f t="shared" si="324"/>
        <v>0.5</v>
      </c>
      <c r="O831" s="10">
        <f t="shared" si="324"/>
        <v>0.25</v>
      </c>
      <c r="P831" s="10">
        <f t="shared" si="324"/>
        <v>0.25</v>
      </c>
      <c r="Q831" s="40">
        <f t="shared" si="321"/>
        <v>5.8000000000000003E-2</v>
      </c>
      <c r="R831" s="21">
        <f>IF(D831&gt;21,VLOOKUP(D831,Barem!$T$1:$U$141,2,1),0)</f>
        <v>2.2000000000000002</v>
      </c>
      <c r="S831" s="152">
        <f>IF(D831&lt;1.609,0,IF(B831="F",VLOOKUP(I831,Barem!$X$2:$Z$13,2,1),VLOOKUP(I831,Barem!$X$14:$Z$25,2,1)))</f>
        <v>0</v>
      </c>
      <c r="T831" s="21">
        <f>VLOOKUP(A831,Participanti!A:C,3,0)</f>
        <v>0</v>
      </c>
      <c r="U831" s="18">
        <f t="shared" si="322"/>
        <v>5.633</v>
      </c>
      <c r="V831" s="58" t="s">
        <v>487</v>
      </c>
      <c r="W831" s="77">
        <f t="shared" si="317"/>
        <v>1</v>
      </c>
      <c r="X831" s="1" t="str">
        <f>VLOOKUP(A831,Data_Echipe!A:R,18,0)</f>
        <v>The GOATs</v>
      </c>
      <c r="Z831" s="115">
        <f t="shared" si="323"/>
        <v>1</v>
      </c>
    </row>
    <row r="832" spans="1:26" x14ac:dyDescent="0.3">
      <c r="A832" s="49" t="s">
        <v>346</v>
      </c>
      <c r="B832" s="1" t="str">
        <f>VLOOKUP(A832,Participanti!A:B,2,0)</f>
        <v>M</v>
      </c>
      <c r="C832" s="74">
        <v>10</v>
      </c>
      <c r="D832" s="50">
        <v>42.37</v>
      </c>
      <c r="E832" s="51">
        <v>0.18537037037037038</v>
      </c>
      <c r="F832" s="51">
        <v>0.19658564814814816</v>
      </c>
      <c r="G832" s="69">
        <f t="shared" si="318"/>
        <v>0.19097800925925928</v>
      </c>
      <c r="H832" s="52"/>
      <c r="I832" s="12">
        <f t="shared" si="319"/>
        <v>4.5073875208699382E-3</v>
      </c>
      <c r="J832" s="37">
        <f t="shared" si="320"/>
        <v>5</v>
      </c>
      <c r="K832" s="37">
        <f>IF(J832=0,0,IF(B832="F",VLOOKUP(I832,Barem!$G$2:$H$16,2,1),VLOOKUP(I832,Barem!$G$17:$H$31,2,1)))</f>
        <v>1</v>
      </c>
      <c r="L832" s="50">
        <v>1.75</v>
      </c>
      <c r="M832" s="124" t="s">
        <v>207</v>
      </c>
      <c r="N832" s="10">
        <f t="shared" si="324"/>
        <v>0.25</v>
      </c>
      <c r="O832" s="10">
        <f t="shared" si="324"/>
        <v>0.25</v>
      </c>
      <c r="P832" s="10">
        <f t="shared" si="324"/>
        <v>0.5</v>
      </c>
      <c r="Q832" s="40">
        <f t="shared" si="321"/>
        <v>0</v>
      </c>
      <c r="R832" s="21">
        <f>IF(D832&gt;21,VLOOKUP(D832,Barem!$T$1:$U$141,2,1),0)</f>
        <v>1</v>
      </c>
      <c r="S832" s="152">
        <f>IF(D832&lt;1.609,0,IF(B832="F",VLOOKUP(I832,Barem!$X$2:$Z$13,2,1),VLOOKUP(I832,Barem!$X$14:$Z$25,2,1)))</f>
        <v>0</v>
      </c>
      <c r="T832" s="21">
        <f>VLOOKUP(A832,Participanti!A:C,3,0)</f>
        <v>0</v>
      </c>
      <c r="U832" s="18">
        <f t="shared" si="322"/>
        <v>3.375</v>
      </c>
      <c r="V832" s="58" t="s">
        <v>487</v>
      </c>
      <c r="W832" s="77">
        <f t="shared" si="317"/>
        <v>1</v>
      </c>
      <c r="X832" s="1" t="str">
        <f>VLOOKUP(A832,Data_Echipe!A:R,18,0)</f>
        <v>UltraHaita lu' Borcan</v>
      </c>
      <c r="Z832" s="115">
        <f t="shared" si="323"/>
        <v>1</v>
      </c>
    </row>
    <row r="833" spans="1:26" x14ac:dyDescent="0.3">
      <c r="A833" s="49" t="s">
        <v>378</v>
      </c>
      <c r="B833" s="1" t="str">
        <f>VLOOKUP(A833,Participanti!A:B,2,0)</f>
        <v>F</v>
      </c>
      <c r="C833" s="74">
        <v>10</v>
      </c>
      <c r="D833" s="50">
        <v>10.08</v>
      </c>
      <c r="E833" s="51">
        <v>3.1817129629629633E-2</v>
      </c>
      <c r="F833" s="51">
        <v>3.1909722222222221E-2</v>
      </c>
      <c r="G833" s="69">
        <f t="shared" si="318"/>
        <v>3.1863425925925927E-2</v>
      </c>
      <c r="H833" s="52"/>
      <c r="I833" s="12">
        <f t="shared" si="319"/>
        <v>3.1610541593180483E-3</v>
      </c>
      <c r="J833" s="37">
        <f t="shared" si="320"/>
        <v>2.52</v>
      </c>
      <c r="K833" s="37">
        <f>IF(J833=0,0,IF(B833="F",VLOOKUP(I833,Barem!$G$2:$H$16,2,1),VLOOKUP(I833,Barem!$G$17:$H$31,2,1)))</f>
        <v>4.5</v>
      </c>
      <c r="L833" s="50">
        <v>2.75</v>
      </c>
      <c r="M833" s="124" t="s">
        <v>107</v>
      </c>
      <c r="N833" s="10">
        <f t="shared" si="324"/>
        <v>0.25</v>
      </c>
      <c r="O833" s="10">
        <f t="shared" si="324"/>
        <v>0.5</v>
      </c>
      <c r="P833" s="10">
        <f t="shared" si="324"/>
        <v>0.25</v>
      </c>
      <c r="Q833" s="40">
        <f t="shared" si="321"/>
        <v>0</v>
      </c>
      <c r="R833" s="21">
        <f>IF(D833&gt;21,VLOOKUP(D833,Barem!$T$1:$U$141,2,1),0)</f>
        <v>0</v>
      </c>
      <c r="S833" s="152">
        <f>IF(D833&lt;1.609,0,IF(B833="F",VLOOKUP(I833,Barem!$X$2:$Z$13,2,1),VLOOKUP(I833,Barem!$X$14:$Z$25,2,1)))</f>
        <v>0</v>
      </c>
      <c r="T833" s="21">
        <f>VLOOKUP(A833,Participanti!A:C,3,0)</f>
        <v>0</v>
      </c>
      <c r="U833" s="18">
        <f t="shared" si="322"/>
        <v>3.5674999999999999</v>
      </c>
      <c r="V833" s="58" t="s">
        <v>487</v>
      </c>
      <c r="W833" s="77">
        <f t="shared" si="317"/>
        <v>1</v>
      </c>
      <c r="X833" s="1" t="str">
        <f>VLOOKUP(A833,Data_Echipe!A:R,18,0)</f>
        <v>MedgidiaRunning</v>
      </c>
      <c r="Z833" s="115">
        <f t="shared" si="323"/>
        <v>1</v>
      </c>
    </row>
    <row r="834" spans="1:26" x14ac:dyDescent="0.3">
      <c r="A834" s="49" t="s">
        <v>406</v>
      </c>
      <c r="B834" s="1" t="str">
        <f>VLOOKUP(A834,Participanti!A:B,2,0)</f>
        <v>M</v>
      </c>
      <c r="C834" s="74">
        <v>10</v>
      </c>
      <c r="D834" s="50">
        <v>20.02</v>
      </c>
      <c r="E834" s="51">
        <v>8.9814814814814806E-2</v>
      </c>
      <c r="F834" s="51">
        <v>9.8657407407407402E-2</v>
      </c>
      <c r="G834" s="69">
        <f t="shared" si="318"/>
        <v>9.4236111111111104E-2</v>
      </c>
      <c r="H834" s="52">
        <v>700</v>
      </c>
      <c r="I834" s="12">
        <f t="shared" si="319"/>
        <v>4.707098457098457E-3</v>
      </c>
      <c r="J834" s="37">
        <f t="shared" si="320"/>
        <v>4.7666666666666666</v>
      </c>
      <c r="K834" s="37">
        <f>IF(J834=0,0,IF(B834="F",VLOOKUP(I834,Barem!$G$2:$H$16,2,1),VLOOKUP(I834,Barem!$G$17:$H$31,2,1)))</f>
        <v>0.5</v>
      </c>
      <c r="L834" s="50">
        <v>3</v>
      </c>
      <c r="M834" s="124" t="s">
        <v>106</v>
      </c>
      <c r="N834" s="10">
        <f t="shared" si="324"/>
        <v>0.5</v>
      </c>
      <c r="O834" s="10">
        <f t="shared" si="324"/>
        <v>0.25</v>
      </c>
      <c r="P834" s="10">
        <f t="shared" si="324"/>
        <v>0.25</v>
      </c>
      <c r="Q834" s="40">
        <f t="shared" si="321"/>
        <v>0.46666666666666667</v>
      </c>
      <c r="R834" s="21">
        <f>IF(D834&gt;21,VLOOKUP(D834,Barem!$T$1:$U$141,2,1),0)</f>
        <v>0</v>
      </c>
      <c r="S834" s="152">
        <f>IF(D834&lt;1.609,0,IF(B834="F",VLOOKUP(I834,Barem!$X$2:$Z$13,2,1),VLOOKUP(I834,Barem!$X$14:$Z$25,2,1)))</f>
        <v>0</v>
      </c>
      <c r="T834" s="21">
        <f>VLOOKUP(A834,Participanti!A:C,3,0)</f>
        <v>0</v>
      </c>
      <c r="U834" s="18">
        <f t="shared" si="322"/>
        <v>3.7250000000000001</v>
      </c>
      <c r="V834" s="58" t="s">
        <v>487</v>
      </c>
      <c r="W834" s="77">
        <f t="shared" ref="W834:W897" si="325">COUNTIFS(A:A,A834,C:C,C834)</f>
        <v>1</v>
      </c>
      <c r="X834" s="1" t="e">
        <f>VLOOKUP(A834,Data_Echipe!A:R,18,0)</f>
        <v>#N/A</v>
      </c>
      <c r="Z834" s="115">
        <f t="shared" si="323"/>
        <v>1</v>
      </c>
    </row>
    <row r="835" spans="1:26" x14ac:dyDescent="0.3">
      <c r="A835" s="49" t="s">
        <v>205</v>
      </c>
      <c r="B835" s="1" t="str">
        <f>VLOOKUP(A835,Participanti!A:B,2,0)</f>
        <v>M</v>
      </c>
      <c r="C835" s="74">
        <v>10</v>
      </c>
      <c r="D835" s="50">
        <v>26.2</v>
      </c>
      <c r="E835" s="51">
        <v>8.9293981481481488E-2</v>
      </c>
      <c r="F835" s="51">
        <v>9.1331018518518506E-2</v>
      </c>
      <c r="G835" s="69">
        <f t="shared" si="318"/>
        <v>9.031249999999999E-2</v>
      </c>
      <c r="H835" s="52">
        <v>298</v>
      </c>
      <c r="I835" s="12">
        <f t="shared" si="319"/>
        <v>3.447041984732824E-3</v>
      </c>
      <c r="J835" s="37">
        <f t="shared" si="320"/>
        <v>5</v>
      </c>
      <c r="K835" s="37">
        <f>IF(J835=0,0,IF(B835="F",VLOOKUP(I835,Barem!$G$2:$H$16,2,1),VLOOKUP(I835,Barem!$G$17:$H$31,2,1)))</f>
        <v>3</v>
      </c>
      <c r="L835" s="50">
        <v>3.25</v>
      </c>
      <c r="M835" s="124" t="s">
        <v>207</v>
      </c>
      <c r="N835" s="10">
        <f t="shared" si="324"/>
        <v>0.25</v>
      </c>
      <c r="O835" s="10">
        <f t="shared" si="324"/>
        <v>0.25</v>
      </c>
      <c r="P835" s="10">
        <f t="shared" si="324"/>
        <v>0.5</v>
      </c>
      <c r="Q835" s="40">
        <f t="shared" si="321"/>
        <v>0.19866666666666666</v>
      </c>
      <c r="R835" s="21">
        <f>IF(D835&gt;21,VLOOKUP(D835,Barem!$T$1:$U$141,2,1),0)</f>
        <v>0.2</v>
      </c>
      <c r="S835" s="152">
        <f>IF(D835&lt;1.609,0,IF(B835="F",VLOOKUP(I835,Barem!$X$2:$Z$13,2,1),VLOOKUP(I835,Barem!$X$14:$Z$25,2,1)))</f>
        <v>0</v>
      </c>
      <c r="T835" s="21">
        <f>VLOOKUP(A835,Participanti!A:C,3,0)</f>
        <v>0</v>
      </c>
      <c r="U835" s="18">
        <f t="shared" si="322"/>
        <v>4.0236666666666663</v>
      </c>
      <c r="V835" s="58" t="s">
        <v>487</v>
      </c>
      <c r="W835" s="77">
        <f t="shared" si="325"/>
        <v>1</v>
      </c>
      <c r="X835" s="1" t="str">
        <f>VLOOKUP(A835,Data_Echipe!A:R,18,0)</f>
        <v>Almost Kenyan Runners</v>
      </c>
      <c r="Z835" s="115">
        <f t="shared" si="323"/>
        <v>1</v>
      </c>
    </row>
    <row r="836" spans="1:26" x14ac:dyDescent="0.3">
      <c r="A836" s="49" t="s">
        <v>225</v>
      </c>
      <c r="B836" s="1" t="str">
        <f>VLOOKUP(A836,Participanti!A:B,2,0)</f>
        <v>F</v>
      </c>
      <c r="C836" s="74">
        <v>10</v>
      </c>
      <c r="D836" s="50">
        <v>24.21</v>
      </c>
      <c r="E836" s="51">
        <v>0.10534722222222222</v>
      </c>
      <c r="F836" s="51">
        <v>0.11333333333333334</v>
      </c>
      <c r="G836" s="69">
        <f t="shared" si="318"/>
        <v>0.10934027777777777</v>
      </c>
      <c r="H836" s="52">
        <v>950</v>
      </c>
      <c r="I836" s="12">
        <f t="shared" si="319"/>
        <v>4.5163270457570332E-3</v>
      </c>
      <c r="J836" s="37">
        <f t="shared" si="320"/>
        <v>5</v>
      </c>
      <c r="K836" s="37">
        <f>IF(J836=0,0,IF(B836="F",VLOOKUP(I836,Barem!$G$2:$H$16,2,1),VLOOKUP(I836,Barem!$G$17:$H$31,2,1)))</f>
        <v>1.5</v>
      </c>
      <c r="L836" s="50">
        <v>4</v>
      </c>
      <c r="M836" s="124" t="s">
        <v>207</v>
      </c>
      <c r="N836" s="10">
        <f t="shared" si="324"/>
        <v>0.25</v>
      </c>
      <c r="O836" s="10">
        <f t="shared" si="324"/>
        <v>0.25</v>
      </c>
      <c r="P836" s="10">
        <f t="shared" si="324"/>
        <v>0.5</v>
      </c>
      <c r="Q836" s="40">
        <f t="shared" si="321"/>
        <v>0.6333333333333333</v>
      </c>
      <c r="R836" s="21">
        <f>IF(D836&gt;21,VLOOKUP(D836,Barem!$T$1:$U$141,2,1),0)</f>
        <v>0.1</v>
      </c>
      <c r="S836" s="152">
        <f>IF(D836&lt;1.609,0,IF(B836="F",VLOOKUP(I836,Barem!$X$2:$Z$13,2,1),VLOOKUP(I836,Barem!$X$14:$Z$25,2,1)))</f>
        <v>0</v>
      </c>
      <c r="T836" s="21">
        <f>VLOOKUP(A836,Participanti!A:C,3,0)</f>
        <v>0</v>
      </c>
      <c r="U836" s="18">
        <f t="shared" si="322"/>
        <v>4.3583333333333325</v>
      </c>
      <c r="V836" s="58" t="s">
        <v>487</v>
      </c>
      <c r="W836" s="77">
        <f t="shared" si="325"/>
        <v>1</v>
      </c>
      <c r="X836" s="1" t="str">
        <f>VLOOKUP(A836,Data_Echipe!A:R,18,0)</f>
        <v>The GOATs</v>
      </c>
      <c r="Z836" s="115">
        <f t="shared" si="323"/>
        <v>1</v>
      </c>
    </row>
    <row r="837" spans="1:26" x14ac:dyDescent="0.3">
      <c r="A837" s="49" t="s">
        <v>124</v>
      </c>
      <c r="B837" s="1" t="str">
        <f>VLOOKUP(A837,Participanti!A:B,2,0)</f>
        <v>M</v>
      </c>
      <c r="C837" s="74">
        <v>10</v>
      </c>
      <c r="D837" s="50">
        <v>34.01</v>
      </c>
      <c r="E837" s="51">
        <v>8.6296296296296301E-2</v>
      </c>
      <c r="F837" s="51">
        <v>8.6296296296296301E-2</v>
      </c>
      <c r="G837" s="69">
        <f t="shared" si="318"/>
        <v>8.6296296296296301E-2</v>
      </c>
      <c r="H837" s="52"/>
      <c r="I837" s="12">
        <f t="shared" si="319"/>
        <v>2.5373800733988917E-3</v>
      </c>
      <c r="J837" s="37">
        <f t="shared" si="320"/>
        <v>5</v>
      </c>
      <c r="K837" s="37">
        <f>IF(J837=0,0,IF(B837="F",VLOOKUP(I837,Barem!$G$2:$H$16,2,1),VLOOKUP(I837,Barem!$G$17:$H$31,2,1)))</f>
        <v>5</v>
      </c>
      <c r="L837" s="50">
        <v>3.5</v>
      </c>
      <c r="M837" s="124" t="s">
        <v>106</v>
      </c>
      <c r="N837" s="10">
        <f t="shared" si="324"/>
        <v>0.5</v>
      </c>
      <c r="O837" s="10">
        <f t="shared" si="324"/>
        <v>0.25</v>
      </c>
      <c r="P837" s="10">
        <f t="shared" si="324"/>
        <v>0.25</v>
      </c>
      <c r="Q837" s="40">
        <f t="shared" si="321"/>
        <v>0</v>
      </c>
      <c r="R837" s="21">
        <f>IF(D837&gt;21,VLOOKUP(D837,Barem!$T$1:$U$141,2,1),0)</f>
        <v>0.6</v>
      </c>
      <c r="S837" s="152">
        <f>IF(D837&lt;1.609,0,IF(B837="F",VLOOKUP(I837,Barem!$X$2:$Z$13,2,1),VLOOKUP(I837,Barem!$X$14:$Z$25,2,1)))</f>
        <v>2.25</v>
      </c>
      <c r="T837" s="21">
        <f>VLOOKUP(A837,Participanti!A:C,3,0)</f>
        <v>0</v>
      </c>
      <c r="U837" s="18">
        <f t="shared" si="322"/>
        <v>7.4749999999999996</v>
      </c>
      <c r="V837" s="58" t="s">
        <v>487</v>
      </c>
      <c r="W837" s="77">
        <f t="shared" si="325"/>
        <v>1</v>
      </c>
      <c r="X837" s="1" t="str">
        <f>VLOOKUP(A837,Data_Echipe!A:R,18,0)</f>
        <v>#notSYRious</v>
      </c>
      <c r="Z837" s="115">
        <f t="shared" si="323"/>
        <v>1</v>
      </c>
    </row>
    <row r="838" spans="1:26" x14ac:dyDescent="0.3">
      <c r="A838" s="49" t="s">
        <v>387</v>
      </c>
      <c r="B838" s="1" t="str">
        <f>VLOOKUP(A838,Participanti!A:B,2,0)</f>
        <v>F</v>
      </c>
      <c r="C838" s="74">
        <v>10</v>
      </c>
      <c r="D838" s="50">
        <v>21.58</v>
      </c>
      <c r="E838" s="51">
        <v>8.4212962962962976E-2</v>
      </c>
      <c r="F838" s="51">
        <v>8.4282407407407403E-2</v>
      </c>
      <c r="G838" s="69">
        <f t="shared" si="318"/>
        <v>8.4247685185185189E-2</v>
      </c>
      <c r="H838" s="52"/>
      <c r="I838" s="12">
        <f t="shared" si="319"/>
        <v>3.9039705831874511E-3</v>
      </c>
      <c r="J838" s="37">
        <f t="shared" si="320"/>
        <v>5</v>
      </c>
      <c r="K838" s="37">
        <f>IF(J838=0,0,IF(B838="F",VLOOKUP(I838,Barem!$G$2:$H$16,2,1),VLOOKUP(I838,Barem!$G$17:$H$31,2,1)))</f>
        <v>2.5</v>
      </c>
      <c r="L838" s="50">
        <v>1.25</v>
      </c>
      <c r="M838" s="124" t="s">
        <v>106</v>
      </c>
      <c r="N838" s="10">
        <f t="shared" si="324"/>
        <v>0.5</v>
      </c>
      <c r="O838" s="10">
        <f t="shared" si="324"/>
        <v>0.25</v>
      </c>
      <c r="P838" s="10">
        <f t="shared" si="324"/>
        <v>0.25</v>
      </c>
      <c r="Q838" s="40">
        <f t="shared" si="321"/>
        <v>0</v>
      </c>
      <c r="R838" s="21">
        <f>IF(D838&gt;21,VLOOKUP(D838,Barem!$T$1:$U$141,2,1),0)</f>
        <v>0</v>
      </c>
      <c r="S838" s="152">
        <f>IF(D838&lt;1.609,0,IF(B838="F",VLOOKUP(I838,Barem!$X$2:$Z$13,2,1),VLOOKUP(I838,Barem!$X$14:$Z$25,2,1)))</f>
        <v>0</v>
      </c>
      <c r="T838" s="21">
        <f>VLOOKUP(A838,Participanti!A:C,3,0)</f>
        <v>0</v>
      </c>
      <c r="U838" s="18">
        <f t="shared" si="322"/>
        <v>3.4375</v>
      </c>
      <c r="V838" s="58" t="s">
        <v>487</v>
      </c>
      <c r="W838" s="77">
        <f t="shared" si="325"/>
        <v>1</v>
      </c>
      <c r="X838" s="1" t="str">
        <f>VLOOKUP(A838,Data_Echipe!A:R,18,0)</f>
        <v>#notSYRious</v>
      </c>
      <c r="Z838" s="115">
        <f t="shared" si="323"/>
        <v>1</v>
      </c>
    </row>
    <row r="839" spans="1:26" x14ac:dyDescent="0.3">
      <c r="A839" s="49" t="s">
        <v>128</v>
      </c>
      <c r="B839" s="1" t="str">
        <f>VLOOKUP(A839,Participanti!A:B,2,0)</f>
        <v>M</v>
      </c>
      <c r="C839" s="74">
        <v>10</v>
      </c>
      <c r="D839" s="50">
        <v>28</v>
      </c>
      <c r="E839" s="51">
        <v>9.3391203703703699E-2</v>
      </c>
      <c r="F839" s="51">
        <v>9.3391203703703699E-2</v>
      </c>
      <c r="G839" s="69">
        <f t="shared" ref="G839:G873" si="326">AVERAGE(E839:F839)</f>
        <v>9.3391203703703699E-2</v>
      </c>
      <c r="H839" s="52">
        <v>72</v>
      </c>
      <c r="I839" s="12">
        <f t="shared" ref="I839:I873" si="327">G839/D839</f>
        <v>3.3354001322751319E-3</v>
      </c>
      <c r="J839" s="37">
        <f t="shared" ref="J839:J873" si="328">IF(B839="F",IF(D839&lt;2.5,0,IF(D839&gt;19.99,5,D839/4)),IF(D839&lt;3,0, IF(D839&gt;20.99,5,D839/4.2)))</f>
        <v>5</v>
      </c>
      <c r="K839" s="37">
        <f>IF(J839=0,0,IF(B839="F",VLOOKUP(I839,Barem!$G$2:$H$16,2,1),VLOOKUP(I839,Barem!$G$17:$H$31,2,1)))</f>
        <v>3</v>
      </c>
      <c r="L839" s="50">
        <v>2</v>
      </c>
      <c r="M839" s="124" t="s">
        <v>107</v>
      </c>
      <c r="N839" s="10">
        <f t="shared" si="324"/>
        <v>0.25</v>
      </c>
      <c r="O839" s="10">
        <f t="shared" si="324"/>
        <v>0.5</v>
      </c>
      <c r="P839" s="10">
        <f t="shared" si="324"/>
        <v>0.25</v>
      </c>
      <c r="Q839" s="40">
        <f t="shared" ref="Q839:Q873" si="329">IF(H839&gt;49,H839/1500,0)</f>
        <v>4.8000000000000001E-2</v>
      </c>
      <c r="R839" s="21">
        <f>IF(D839&gt;21,VLOOKUP(D839,Barem!$T$1:$U$141,2,1),0)</f>
        <v>0.3</v>
      </c>
      <c r="S839" s="152">
        <f>IF(D839&lt;1.609,0,IF(B839="F",VLOOKUP(I839,Barem!$X$2:$Z$13,2,1),VLOOKUP(I839,Barem!$X$14:$Z$25,2,1)))</f>
        <v>0</v>
      </c>
      <c r="T839" s="21">
        <f>VLOOKUP(A839,Participanti!A:C,3,0)</f>
        <v>0</v>
      </c>
      <c r="U839" s="18">
        <f t="shared" ref="U839:U873" si="330">IF(H839&lt;0,0,J839*N839+K839*O839+L839*P839+Q839+R839+S839+T839)</f>
        <v>3.5979999999999999</v>
      </c>
      <c r="V839" s="58" t="s">
        <v>487</v>
      </c>
      <c r="W839" s="77">
        <f t="shared" si="325"/>
        <v>1</v>
      </c>
      <c r="X839" s="1" t="str">
        <f>VLOOKUP(A839,Data_Echipe!A:R,18,0)</f>
        <v>Almost Kenyan Runners</v>
      </c>
      <c r="Z839" s="115">
        <f t="shared" ref="Z839:Z873" si="331">IF(K839&gt;0,1,0)</f>
        <v>1</v>
      </c>
    </row>
    <row r="840" spans="1:26" x14ac:dyDescent="0.3">
      <c r="A840" s="49" t="s">
        <v>100</v>
      </c>
      <c r="B840" s="1" t="str">
        <f>VLOOKUP(A840,Participanti!A:B,2,0)</f>
        <v>F</v>
      </c>
      <c r="C840" s="74">
        <v>10</v>
      </c>
      <c r="D840" s="50">
        <v>10.01</v>
      </c>
      <c r="E840" s="51">
        <v>4.1759259259259253E-2</v>
      </c>
      <c r="F840" s="51">
        <v>5.4884259259259265E-2</v>
      </c>
      <c r="G840" s="69">
        <f t="shared" si="326"/>
        <v>4.8321759259259259E-2</v>
      </c>
      <c r="H840" s="52"/>
      <c r="I840" s="12">
        <f t="shared" si="327"/>
        <v>4.8273485773485773E-3</v>
      </c>
      <c r="J840" s="37">
        <f t="shared" si="328"/>
        <v>2.5024999999999999</v>
      </c>
      <c r="K840" s="37">
        <f>IF(J840=0,0,IF(B840="F",VLOOKUP(I840,Barem!$G$2:$H$16,2,1),VLOOKUP(I840,Barem!$G$17:$H$31,2,1)))</f>
        <v>1</v>
      </c>
      <c r="L840" s="50">
        <v>3</v>
      </c>
      <c r="M840" s="124" t="s">
        <v>106</v>
      </c>
      <c r="N840" s="10">
        <f t="shared" ref="N840:P882" si="332">IF($M840=N$1,50%,25%)</f>
        <v>0.5</v>
      </c>
      <c r="O840" s="10">
        <f t="shared" si="332"/>
        <v>0.25</v>
      </c>
      <c r="P840" s="10">
        <f t="shared" si="332"/>
        <v>0.25</v>
      </c>
      <c r="Q840" s="40">
        <f t="shared" si="329"/>
        <v>0</v>
      </c>
      <c r="R840" s="21">
        <f>IF(D840&gt;21,VLOOKUP(D840,Barem!$T$1:$U$141,2,1),0)</f>
        <v>0</v>
      </c>
      <c r="S840" s="152">
        <f>IF(D840&lt;1.609,0,IF(B840="F",VLOOKUP(I840,Barem!$X$2:$Z$13,2,1),VLOOKUP(I840,Barem!$X$14:$Z$25,2,1)))</f>
        <v>0</v>
      </c>
      <c r="T840" s="21">
        <f>VLOOKUP(A840,Participanti!A:C,3,0)</f>
        <v>0</v>
      </c>
      <c r="U840" s="18">
        <f t="shared" si="330"/>
        <v>2.2512499999999998</v>
      </c>
      <c r="V840" s="58" t="s">
        <v>487</v>
      </c>
      <c r="W840" s="77">
        <f t="shared" si="325"/>
        <v>1</v>
      </c>
      <c r="X840" s="1" t="e">
        <f>VLOOKUP(A840,Data_Echipe!A:R,18,0)</f>
        <v>#N/A</v>
      </c>
      <c r="Z840" s="115">
        <f t="shared" si="331"/>
        <v>1</v>
      </c>
    </row>
    <row r="841" spans="1:26" x14ac:dyDescent="0.3">
      <c r="A841" s="49" t="s">
        <v>48</v>
      </c>
      <c r="B841" s="1" t="str">
        <f>VLOOKUP(A841,Participanti!A:B,2,0)</f>
        <v>M</v>
      </c>
      <c r="C841" s="74">
        <v>10</v>
      </c>
      <c r="D841" s="50">
        <v>11.09</v>
      </c>
      <c r="E841" s="51">
        <v>4.8715277777777781E-2</v>
      </c>
      <c r="F841" s="51">
        <v>7.1574074074074082E-2</v>
      </c>
      <c r="G841" s="69">
        <f t="shared" si="326"/>
        <v>6.0144675925925928E-2</v>
      </c>
      <c r="H841" s="52">
        <v>127</v>
      </c>
      <c r="I841" s="12">
        <f t="shared" si="327"/>
        <v>5.4233251511204622E-3</v>
      </c>
      <c r="J841" s="37">
        <f t="shared" si="328"/>
        <v>2.6404761904761904</v>
      </c>
      <c r="K841" s="37">
        <f>IF(J841=0,0,IF(B841="F",VLOOKUP(I841,Barem!$G$2:$H$16,2,1),VLOOKUP(I841,Barem!$G$17:$H$31,2,1)))</f>
        <v>0.25</v>
      </c>
      <c r="L841" s="50">
        <v>3.25</v>
      </c>
      <c r="M841" s="124" t="s">
        <v>106</v>
      </c>
      <c r="N841" s="10">
        <f t="shared" si="332"/>
        <v>0.5</v>
      </c>
      <c r="O841" s="10">
        <f t="shared" si="332"/>
        <v>0.25</v>
      </c>
      <c r="P841" s="10">
        <f t="shared" si="332"/>
        <v>0.25</v>
      </c>
      <c r="Q841" s="40">
        <f t="shared" si="329"/>
        <v>8.4666666666666668E-2</v>
      </c>
      <c r="R841" s="21">
        <f>IF(D841&gt;21,VLOOKUP(D841,Barem!$T$1:$U$141,2,1),0)</f>
        <v>0</v>
      </c>
      <c r="S841" s="152">
        <f>IF(D841&lt;1.609,0,IF(B841="F",VLOOKUP(I841,Barem!$X$2:$Z$13,2,1),VLOOKUP(I841,Barem!$X$14:$Z$25,2,1)))</f>
        <v>0</v>
      </c>
      <c r="T841" s="21">
        <f>VLOOKUP(A841,Participanti!A:C,3,0)</f>
        <v>0.4</v>
      </c>
      <c r="U841" s="18">
        <f t="shared" si="330"/>
        <v>2.679904761904762</v>
      </c>
      <c r="V841" s="58" t="s">
        <v>488</v>
      </c>
      <c r="W841" s="77">
        <f t="shared" si="325"/>
        <v>1</v>
      </c>
      <c r="X841" s="1" t="str">
        <f>VLOOKUP(A841,Data_Echipe!A:R,18,0)</f>
        <v>#notSYRious</v>
      </c>
      <c r="Z841" s="115">
        <f t="shared" si="331"/>
        <v>1</v>
      </c>
    </row>
    <row r="842" spans="1:26" x14ac:dyDescent="0.3">
      <c r="A842" s="49" t="s">
        <v>226</v>
      </c>
      <c r="B842" s="1" t="str">
        <f>VLOOKUP(A842,Participanti!A:B,2,0)</f>
        <v>M</v>
      </c>
      <c r="C842" s="74">
        <v>10</v>
      </c>
      <c r="D842" s="50">
        <v>23.03</v>
      </c>
      <c r="E842" s="51">
        <v>9.9560185185185182E-2</v>
      </c>
      <c r="F842" s="51">
        <v>0.11331018518518519</v>
      </c>
      <c r="G842" s="69">
        <f t="shared" si="326"/>
        <v>0.10643518518518519</v>
      </c>
      <c r="H842" s="52"/>
      <c r="I842" s="12">
        <f t="shared" si="327"/>
        <v>4.6215885881539373E-3</v>
      </c>
      <c r="J842" s="37">
        <f t="shared" si="328"/>
        <v>5</v>
      </c>
      <c r="K842" s="37">
        <f>IF(J842=0,0,IF(B842="F",VLOOKUP(I842,Barem!$G$2:$H$16,2,1),VLOOKUP(I842,Barem!$G$17:$H$31,2,1)))</f>
        <v>0.75</v>
      </c>
      <c r="L842" s="50">
        <v>2.5</v>
      </c>
      <c r="M842" s="124" t="s">
        <v>106</v>
      </c>
      <c r="N842" s="10">
        <f t="shared" si="332"/>
        <v>0.5</v>
      </c>
      <c r="O842" s="10">
        <f t="shared" si="332"/>
        <v>0.25</v>
      </c>
      <c r="P842" s="10">
        <f t="shared" si="332"/>
        <v>0.25</v>
      </c>
      <c r="Q842" s="40">
        <f t="shared" si="329"/>
        <v>0</v>
      </c>
      <c r="R842" s="21">
        <f>IF(D842&gt;21,VLOOKUP(D842,Barem!$T$1:$U$141,2,1),0)</f>
        <v>0.1</v>
      </c>
      <c r="S842" s="152">
        <f>IF(D842&lt;1.609,0,IF(B842="F",VLOOKUP(I842,Barem!$X$2:$Z$13,2,1),VLOOKUP(I842,Barem!$X$14:$Z$25,2,1)))</f>
        <v>0</v>
      </c>
      <c r="T842" s="21">
        <f>VLOOKUP(A842,Participanti!A:C,3,0)</f>
        <v>0</v>
      </c>
      <c r="U842" s="18">
        <f t="shared" si="330"/>
        <v>3.4125000000000001</v>
      </c>
      <c r="V842" s="58" t="s">
        <v>488</v>
      </c>
      <c r="W842" s="77">
        <f t="shared" si="325"/>
        <v>1</v>
      </c>
      <c r="X842" s="1" t="e">
        <f>VLOOKUP(A842,Data_Echipe!A:R,18,0)</f>
        <v>#N/A</v>
      </c>
      <c r="Z842" s="115">
        <f t="shared" si="331"/>
        <v>1</v>
      </c>
    </row>
    <row r="843" spans="1:26" x14ac:dyDescent="0.3">
      <c r="A843" s="49" t="s">
        <v>376</v>
      </c>
      <c r="B843" s="1" t="str">
        <f>VLOOKUP(A843,Participanti!A:B,2,0)</f>
        <v>M</v>
      </c>
      <c r="C843" s="74">
        <v>10</v>
      </c>
      <c r="D843" s="50">
        <v>30.01</v>
      </c>
      <c r="E843" s="51">
        <v>8.222222222222221E-2</v>
      </c>
      <c r="F843" s="51">
        <v>8.8252314814814811E-2</v>
      </c>
      <c r="G843" s="69">
        <f t="shared" si="326"/>
        <v>8.5237268518518511E-2</v>
      </c>
      <c r="H843" s="52"/>
      <c r="I843" s="12">
        <f t="shared" si="327"/>
        <v>2.840295518777691E-3</v>
      </c>
      <c r="J843" s="37">
        <f t="shared" si="328"/>
        <v>5</v>
      </c>
      <c r="K843" s="37">
        <f>IF(J843=0,0,IF(B843="F",VLOOKUP(I843,Barem!$G$2:$H$16,2,1),VLOOKUP(I843,Barem!$G$17:$H$31,2,1)))</f>
        <v>4.5</v>
      </c>
      <c r="L843" s="50">
        <v>3.5</v>
      </c>
      <c r="M843" s="124" t="s">
        <v>106</v>
      </c>
      <c r="N843" s="10">
        <f t="shared" si="332"/>
        <v>0.5</v>
      </c>
      <c r="O843" s="10">
        <f t="shared" si="332"/>
        <v>0.25</v>
      </c>
      <c r="P843" s="10">
        <f t="shared" si="332"/>
        <v>0.25</v>
      </c>
      <c r="Q843" s="40">
        <f t="shared" si="329"/>
        <v>0</v>
      </c>
      <c r="R843" s="21">
        <f>IF(D843&gt;21,VLOOKUP(D843,Barem!$T$1:$U$141,2,1),0)</f>
        <v>0.4</v>
      </c>
      <c r="S843" s="152">
        <f>IF(D843&lt;1.609,0,IF(B843="F",VLOOKUP(I843,Barem!$X$2:$Z$13,2,1),VLOOKUP(I843,Barem!$X$14:$Z$25,2,1)))</f>
        <v>0</v>
      </c>
      <c r="T843" s="21">
        <f>VLOOKUP(A843,Participanti!A:C,3,0)</f>
        <v>0</v>
      </c>
      <c r="U843" s="18">
        <f t="shared" si="330"/>
        <v>4.9000000000000004</v>
      </c>
      <c r="V843" s="58" t="s">
        <v>488</v>
      </c>
      <c r="W843" s="77">
        <f t="shared" si="325"/>
        <v>1</v>
      </c>
      <c r="X843" s="1" t="e">
        <f>VLOOKUP(A843,Data_Echipe!A:R,18,0)</f>
        <v>#N/A</v>
      </c>
      <c r="Z843" s="115">
        <f t="shared" si="331"/>
        <v>1</v>
      </c>
    </row>
    <row r="844" spans="1:26" x14ac:dyDescent="0.3">
      <c r="A844" s="49" t="s">
        <v>64</v>
      </c>
      <c r="B844" s="1" t="str">
        <f>VLOOKUP(A844,Participanti!A:B,2,0)</f>
        <v>F</v>
      </c>
      <c r="C844" s="74">
        <v>10</v>
      </c>
      <c r="D844" s="50">
        <v>8.31</v>
      </c>
      <c r="E844" s="51">
        <v>4.2731481481481481E-2</v>
      </c>
      <c r="F844" s="51">
        <v>5.7974537037037033E-2</v>
      </c>
      <c r="G844" s="69">
        <f t="shared" si="326"/>
        <v>5.0353009259259257E-2</v>
      </c>
      <c r="H844" s="52"/>
      <c r="I844" s="12">
        <f t="shared" si="327"/>
        <v>6.0593272273476839E-3</v>
      </c>
      <c r="J844" s="37">
        <f t="shared" si="328"/>
        <v>2.0775000000000001</v>
      </c>
      <c r="K844" s="37">
        <f>IF(J844=0,0,IF(B844="F",VLOOKUP(I844,Barem!$G$2:$H$16,2,1),VLOOKUP(I844,Barem!$G$17:$H$31,2,1)))</f>
        <v>0.25</v>
      </c>
      <c r="L844" s="50">
        <v>2.5</v>
      </c>
      <c r="M844" s="124" t="s">
        <v>106</v>
      </c>
      <c r="N844" s="10">
        <f t="shared" si="332"/>
        <v>0.5</v>
      </c>
      <c r="O844" s="10">
        <f t="shared" si="332"/>
        <v>0.25</v>
      </c>
      <c r="P844" s="10">
        <f t="shared" si="332"/>
        <v>0.25</v>
      </c>
      <c r="Q844" s="40">
        <f t="shared" si="329"/>
        <v>0</v>
      </c>
      <c r="R844" s="21">
        <f>IF(D844&gt;21,VLOOKUP(D844,Barem!$T$1:$U$141,2,1),0)</f>
        <v>0</v>
      </c>
      <c r="S844" s="152">
        <f>IF(D844&lt;1.609,0,IF(B844="F",VLOOKUP(I844,Barem!$X$2:$Z$13,2,1),VLOOKUP(I844,Barem!$X$14:$Z$25,2,1)))</f>
        <v>0</v>
      </c>
      <c r="T844" s="21">
        <f>VLOOKUP(A844,Participanti!A:C,3,0)</f>
        <v>0.7</v>
      </c>
      <c r="U844" s="18">
        <f t="shared" si="330"/>
        <v>2.42625</v>
      </c>
      <c r="V844" s="58" t="s">
        <v>488</v>
      </c>
      <c r="W844" s="77">
        <f t="shared" si="325"/>
        <v>1</v>
      </c>
      <c r="X844" s="1" t="str">
        <f>VLOOKUP(A844,Data_Echipe!A:R,18,0)</f>
        <v>UltraHaita lu' Borcan</v>
      </c>
      <c r="Z844" s="115">
        <f t="shared" si="331"/>
        <v>1</v>
      </c>
    </row>
    <row r="845" spans="1:26" x14ac:dyDescent="0.3">
      <c r="A845" s="49" t="s">
        <v>291</v>
      </c>
      <c r="B845" s="1" t="str">
        <f>VLOOKUP(A845,Participanti!A:B,2,0)</f>
        <v>F</v>
      </c>
      <c r="C845" s="74">
        <v>10</v>
      </c>
      <c r="D845" s="50">
        <v>20</v>
      </c>
      <c r="E845" s="51">
        <v>9.4594907407407405E-2</v>
      </c>
      <c r="F845" s="51">
        <v>0.11835648148148148</v>
      </c>
      <c r="G845" s="69">
        <f t="shared" si="326"/>
        <v>0.10647569444444444</v>
      </c>
      <c r="H845" s="52"/>
      <c r="I845" s="12">
        <f t="shared" si="327"/>
        <v>5.3237847222222219E-3</v>
      </c>
      <c r="J845" s="37">
        <f t="shared" si="328"/>
        <v>5</v>
      </c>
      <c r="K845" s="37">
        <f>IF(J845=0,0,IF(B845="F",VLOOKUP(I845,Barem!$G$2:$H$16,2,1),VLOOKUP(I845,Barem!$G$17:$H$31,2,1)))</f>
        <v>0.25</v>
      </c>
      <c r="L845" s="50">
        <v>3</v>
      </c>
      <c r="M845" s="124" t="s">
        <v>106</v>
      </c>
      <c r="N845" s="10">
        <f t="shared" si="332"/>
        <v>0.5</v>
      </c>
      <c r="O845" s="10">
        <f t="shared" si="332"/>
        <v>0.25</v>
      </c>
      <c r="P845" s="10">
        <f t="shared" si="332"/>
        <v>0.25</v>
      </c>
      <c r="Q845" s="40">
        <f t="shared" si="329"/>
        <v>0</v>
      </c>
      <c r="R845" s="21">
        <f>IF(D845&gt;21,VLOOKUP(D845,Barem!$T$1:$U$141,2,1),0)</f>
        <v>0</v>
      </c>
      <c r="S845" s="152">
        <f>IF(D845&lt;1.609,0,IF(B845="F",VLOOKUP(I845,Barem!$X$2:$Z$13,2,1),VLOOKUP(I845,Barem!$X$14:$Z$25,2,1)))</f>
        <v>0</v>
      </c>
      <c r="T845" s="21">
        <f>VLOOKUP(A845,Participanti!A:C,3,0)</f>
        <v>0</v>
      </c>
      <c r="U845" s="18">
        <f t="shared" si="330"/>
        <v>3.3125</v>
      </c>
      <c r="V845" s="58" t="s">
        <v>488</v>
      </c>
      <c r="W845" s="77">
        <f t="shared" si="325"/>
        <v>1</v>
      </c>
      <c r="X845" s="1" t="str">
        <f>VLOOKUP(A845,Data_Echipe!A:R,18,0)</f>
        <v>#notSYRious</v>
      </c>
      <c r="Z845" s="115">
        <f t="shared" si="331"/>
        <v>1</v>
      </c>
    </row>
    <row r="846" spans="1:26" x14ac:dyDescent="0.3">
      <c r="A846" s="49" t="s">
        <v>241</v>
      </c>
      <c r="B846" s="1" t="str">
        <f>VLOOKUP(A846,Participanti!A:B,2,0)</f>
        <v>F</v>
      </c>
      <c r="C846" s="74">
        <v>10</v>
      </c>
      <c r="D846" s="50">
        <v>10.029999999999999</v>
      </c>
      <c r="E846" s="51">
        <v>4.2418981481481481E-2</v>
      </c>
      <c r="F846" s="51">
        <v>4.3437499999999997E-2</v>
      </c>
      <c r="G846" s="69">
        <f t="shared" si="326"/>
        <v>4.2928240740740739E-2</v>
      </c>
      <c r="H846" s="52"/>
      <c r="I846" s="12">
        <f t="shared" si="327"/>
        <v>4.2799841217089473E-3</v>
      </c>
      <c r="J846" s="37">
        <f t="shared" si="328"/>
        <v>2.5074999999999998</v>
      </c>
      <c r="K846" s="37">
        <f>IF(J846=0,0,IF(B846="F",VLOOKUP(I846,Barem!$G$2:$H$16,2,1),VLOOKUP(I846,Barem!$G$17:$H$31,2,1)))</f>
        <v>1.75</v>
      </c>
      <c r="L846" s="50">
        <v>2.75</v>
      </c>
      <c r="M846" s="124" t="s">
        <v>106</v>
      </c>
      <c r="N846" s="10">
        <f t="shared" si="332"/>
        <v>0.5</v>
      </c>
      <c r="O846" s="10">
        <f t="shared" si="332"/>
        <v>0.25</v>
      </c>
      <c r="P846" s="10">
        <f t="shared" si="332"/>
        <v>0.25</v>
      </c>
      <c r="Q846" s="40">
        <f t="shared" si="329"/>
        <v>0</v>
      </c>
      <c r="R846" s="21">
        <f>IF(D846&gt;21,VLOOKUP(D846,Barem!$T$1:$U$141,2,1),0)</f>
        <v>0</v>
      </c>
      <c r="S846" s="152">
        <f>IF(D846&lt;1.609,0,IF(B846="F",VLOOKUP(I846,Barem!$X$2:$Z$13,2,1),VLOOKUP(I846,Barem!$X$14:$Z$25,2,1)))</f>
        <v>0</v>
      </c>
      <c r="T846" s="21">
        <f>VLOOKUP(A846,Participanti!A:C,3,0)</f>
        <v>0</v>
      </c>
      <c r="U846" s="18">
        <f t="shared" si="330"/>
        <v>2.3787500000000001</v>
      </c>
      <c r="V846" s="58" t="s">
        <v>488</v>
      </c>
      <c r="W846" s="77">
        <f t="shared" si="325"/>
        <v>1</v>
      </c>
      <c r="X846" s="1" t="str">
        <f>VLOOKUP(A846,Data_Echipe!A:R,18,0)</f>
        <v>Almost Kenyan Runners</v>
      </c>
      <c r="Z846" s="115">
        <f t="shared" si="331"/>
        <v>1</v>
      </c>
    </row>
    <row r="847" spans="1:26" x14ac:dyDescent="0.3">
      <c r="A847" s="49" t="s">
        <v>137</v>
      </c>
      <c r="B847" s="1" t="str">
        <f>VLOOKUP(A847,Participanti!A:B,2,0)</f>
        <v>M</v>
      </c>
      <c r="C847" s="74">
        <v>10</v>
      </c>
      <c r="D847" s="50">
        <v>15.07</v>
      </c>
      <c r="E847" s="51">
        <v>5.5208333333333331E-2</v>
      </c>
      <c r="F847" s="51">
        <v>5.7256944444444437E-2</v>
      </c>
      <c r="G847" s="69">
        <f t="shared" si="326"/>
        <v>5.6232638888888881E-2</v>
      </c>
      <c r="H847" s="52">
        <v>238</v>
      </c>
      <c r="I847" s="12">
        <f t="shared" si="327"/>
        <v>3.7314292560642918E-3</v>
      </c>
      <c r="J847" s="37">
        <f t="shared" si="328"/>
        <v>3.5880952380952382</v>
      </c>
      <c r="K847" s="37">
        <f>IF(J847=0,0,IF(B847="F",VLOOKUP(I847,Barem!$G$2:$H$16,2,1),VLOOKUP(I847,Barem!$G$17:$H$31,2,1)))</f>
        <v>2</v>
      </c>
      <c r="L847" s="50">
        <v>3.5</v>
      </c>
      <c r="M847" s="124" t="s">
        <v>207</v>
      </c>
      <c r="N847" s="10">
        <f t="shared" si="332"/>
        <v>0.25</v>
      </c>
      <c r="O847" s="10">
        <f t="shared" si="332"/>
        <v>0.25</v>
      </c>
      <c r="P847" s="10">
        <f t="shared" si="332"/>
        <v>0.5</v>
      </c>
      <c r="Q847" s="40">
        <f t="shared" si="329"/>
        <v>0.15866666666666668</v>
      </c>
      <c r="R847" s="21">
        <f>IF(D847&gt;21,VLOOKUP(D847,Barem!$T$1:$U$141,2,1),0)</f>
        <v>0</v>
      </c>
      <c r="S847" s="152">
        <f>IF(D847&lt;1.609,0,IF(B847="F",VLOOKUP(I847,Barem!$X$2:$Z$13,2,1),VLOOKUP(I847,Barem!$X$14:$Z$25,2,1)))</f>
        <v>0</v>
      </c>
      <c r="T847" s="21">
        <f>VLOOKUP(A847,Participanti!A:C,3,0)</f>
        <v>0</v>
      </c>
      <c r="U847" s="18">
        <f t="shared" si="330"/>
        <v>3.3056904761904762</v>
      </c>
      <c r="V847" s="58" t="s">
        <v>488</v>
      </c>
      <c r="W847" s="77">
        <f t="shared" si="325"/>
        <v>1</v>
      </c>
      <c r="X847" s="1" t="str">
        <f>VLOOKUP(A847,Data_Echipe!A:R,18,0)</f>
        <v>The GOATs</v>
      </c>
      <c r="Z847" s="115">
        <f t="shared" si="331"/>
        <v>1</v>
      </c>
    </row>
    <row r="848" spans="1:26" x14ac:dyDescent="0.3">
      <c r="A848" s="49" t="s">
        <v>359</v>
      </c>
      <c r="B848" s="1" t="str">
        <f>VLOOKUP(A848,Participanti!A:B,2,0)</f>
        <v>M</v>
      </c>
      <c r="C848" s="74">
        <v>10</v>
      </c>
      <c r="D848" s="50">
        <v>29.03</v>
      </c>
      <c r="E848" s="51">
        <v>0.16917824074074073</v>
      </c>
      <c r="F848" s="51">
        <v>0.18895833333333334</v>
      </c>
      <c r="G848" s="69">
        <f t="shared" si="326"/>
        <v>0.17906828703703703</v>
      </c>
      <c r="H848" s="52">
        <v>1251</v>
      </c>
      <c r="I848" s="12">
        <f t="shared" si="327"/>
        <v>6.1683874280756808E-3</v>
      </c>
      <c r="J848" s="37">
        <f t="shared" si="328"/>
        <v>5</v>
      </c>
      <c r="K848" s="37">
        <f>IF(J848=0,0,IF(B848="F",VLOOKUP(I848,Barem!$G$2:$H$16,2,1),VLOOKUP(I848,Barem!$G$17:$H$31,2,1)))</f>
        <v>0</v>
      </c>
      <c r="L848" s="50">
        <v>3</v>
      </c>
      <c r="M848" s="124" t="s">
        <v>106</v>
      </c>
      <c r="N848" s="10">
        <f t="shared" si="332"/>
        <v>0.5</v>
      </c>
      <c r="O848" s="10">
        <f t="shared" si="332"/>
        <v>0.25</v>
      </c>
      <c r="P848" s="10">
        <f t="shared" si="332"/>
        <v>0.25</v>
      </c>
      <c r="Q848" s="40">
        <f t="shared" si="329"/>
        <v>0.83399999999999996</v>
      </c>
      <c r="R848" s="21">
        <f>IF(D848&gt;21,VLOOKUP(D848,Barem!$T$1:$U$141,2,1),0)</f>
        <v>0.4</v>
      </c>
      <c r="S848" s="152">
        <f>IF(D848&lt;1.609,0,IF(B848="F",VLOOKUP(I848,Barem!$X$2:$Z$13,2,1),VLOOKUP(I848,Barem!$X$14:$Z$25,2,1)))</f>
        <v>0</v>
      </c>
      <c r="T848" s="21">
        <f>VLOOKUP(A848,Participanti!A:C,3,0)</f>
        <v>0</v>
      </c>
      <c r="U848" s="18">
        <f t="shared" si="330"/>
        <v>4.484</v>
      </c>
      <c r="V848" s="58" t="s">
        <v>488</v>
      </c>
      <c r="W848" s="77">
        <f t="shared" si="325"/>
        <v>1</v>
      </c>
      <c r="X848" s="1" t="str">
        <f>VLOOKUP(A848,Data_Echipe!A:R,18,0)</f>
        <v>Almost Kenyan Runners</v>
      </c>
      <c r="Z848" s="115">
        <f t="shared" si="331"/>
        <v>0</v>
      </c>
    </row>
    <row r="849" spans="1:26" x14ac:dyDescent="0.3">
      <c r="A849" s="132" t="s">
        <v>345</v>
      </c>
      <c r="B849" s="133" t="str">
        <f>VLOOKUP(A849,Participanti!A:B,2,0)</f>
        <v>F</v>
      </c>
      <c r="C849" s="134">
        <v>10</v>
      </c>
      <c r="D849" s="135">
        <v>0</v>
      </c>
      <c r="E849" s="136">
        <v>0</v>
      </c>
      <c r="F849" s="136">
        <v>0</v>
      </c>
      <c r="G849" s="137">
        <f t="shared" si="326"/>
        <v>0</v>
      </c>
      <c r="H849" s="138"/>
      <c r="I849" s="139">
        <v>0</v>
      </c>
      <c r="J849" s="140">
        <f t="shared" si="328"/>
        <v>0</v>
      </c>
      <c r="K849" s="140">
        <f>IF(J849=0,0,IF(B849="F",VLOOKUP(I849,Barem!$G$2:$H$16,2,1),VLOOKUP(I849,Barem!$G$17:$H$31,2,1)))</f>
        <v>0</v>
      </c>
      <c r="L849" s="135">
        <v>0</v>
      </c>
      <c r="M849" s="141" t="s">
        <v>459</v>
      </c>
      <c r="N849" s="142">
        <f t="shared" si="332"/>
        <v>0.25</v>
      </c>
      <c r="O849" s="142">
        <f t="shared" si="332"/>
        <v>0.25</v>
      </c>
      <c r="P849" s="142">
        <f t="shared" si="332"/>
        <v>0.25</v>
      </c>
      <c r="Q849" s="143">
        <f t="shared" si="329"/>
        <v>0</v>
      </c>
      <c r="R849" s="144">
        <f>IF(D849&gt;21,VLOOKUP(D849,Barem!$T$1:$U$141,2,1),0)</f>
        <v>0</v>
      </c>
      <c r="S849" s="156">
        <f>IF(D849&lt;1.609,0,IF(B849="F",VLOOKUP(I849,Barem!$X$2:$Z$13,2,1),VLOOKUP(I849,Barem!$X$14:$Z$25,2,1)))</f>
        <v>0</v>
      </c>
      <c r="T849" s="144">
        <f>VLOOKUP(A849,Participanti!A:C,3,0)</f>
        <v>0</v>
      </c>
      <c r="U849" s="143">
        <v>1.5</v>
      </c>
      <c r="V849" s="58" t="s">
        <v>488</v>
      </c>
      <c r="W849" s="146">
        <f t="shared" si="325"/>
        <v>1</v>
      </c>
      <c r="X849" s="133" t="str">
        <f>VLOOKUP(A849,Data_Echipe!A:R,18,0)</f>
        <v>MedgidiaRunning</v>
      </c>
      <c r="Y849" s="133"/>
      <c r="Z849" s="147">
        <f t="shared" si="331"/>
        <v>0</v>
      </c>
    </row>
    <row r="850" spans="1:26" x14ac:dyDescent="0.3">
      <c r="A850" s="49" t="s">
        <v>370</v>
      </c>
      <c r="B850" s="1" t="str">
        <f>VLOOKUP(A850,Participanti!A:B,2,0)</f>
        <v>F</v>
      </c>
      <c r="C850" s="74">
        <v>10</v>
      </c>
      <c r="D850" s="50">
        <v>10.14</v>
      </c>
      <c r="E850" s="51">
        <v>4.4155092592592593E-2</v>
      </c>
      <c r="F850" s="51">
        <v>4.4328703703703703E-2</v>
      </c>
      <c r="G850" s="69">
        <f t="shared" si="326"/>
        <v>4.4241898148148148E-2</v>
      </c>
      <c r="H850" s="52"/>
      <c r="I850" s="12">
        <f t="shared" si="327"/>
        <v>4.3631063262473515E-3</v>
      </c>
      <c r="J850" s="37">
        <f t="shared" si="328"/>
        <v>2.5350000000000001</v>
      </c>
      <c r="K850" s="37">
        <f>IF(J850=0,0,IF(B850="F",VLOOKUP(I850,Barem!$G$2:$H$16,2,1),VLOOKUP(I850,Barem!$G$17:$H$31,2,1)))</f>
        <v>1.5</v>
      </c>
      <c r="L850" s="50">
        <v>1.5</v>
      </c>
      <c r="M850" s="124" t="s">
        <v>106</v>
      </c>
      <c r="N850" s="10">
        <f t="shared" si="332"/>
        <v>0.5</v>
      </c>
      <c r="O850" s="10">
        <f t="shared" si="332"/>
        <v>0.25</v>
      </c>
      <c r="P850" s="10">
        <f t="shared" si="332"/>
        <v>0.25</v>
      </c>
      <c r="Q850" s="40">
        <f t="shared" si="329"/>
        <v>0</v>
      </c>
      <c r="R850" s="21">
        <f>IF(D850&gt;21,VLOOKUP(D850,Barem!$T$1:$U$141,2,1),0)</f>
        <v>0</v>
      </c>
      <c r="S850" s="152">
        <f>IF(D850&lt;1.609,0,IF(B850="F",VLOOKUP(I850,Barem!$X$2:$Z$13,2,1),VLOOKUP(I850,Barem!$X$14:$Z$25,2,1)))</f>
        <v>0</v>
      </c>
      <c r="T850" s="21">
        <f>VLOOKUP(A850,Participanti!A:C,3,0)</f>
        <v>0</v>
      </c>
      <c r="U850" s="18">
        <f t="shared" si="330"/>
        <v>2.0175000000000001</v>
      </c>
      <c r="V850" s="58" t="s">
        <v>488</v>
      </c>
      <c r="W850" s="77">
        <f t="shared" si="325"/>
        <v>1</v>
      </c>
      <c r="X850" s="1" t="e">
        <f>VLOOKUP(A850,Data_Echipe!A:R,18,0)</f>
        <v>#N/A</v>
      </c>
      <c r="Z850" s="115">
        <f t="shared" si="331"/>
        <v>1</v>
      </c>
    </row>
    <row r="851" spans="1:26" x14ac:dyDescent="0.3">
      <c r="A851" s="49" t="s">
        <v>396</v>
      </c>
      <c r="B851" s="1" t="str">
        <f>VLOOKUP(A851,Participanti!A:B,2,0)</f>
        <v>F</v>
      </c>
      <c r="C851" s="74">
        <v>10</v>
      </c>
      <c r="D851" s="50">
        <v>5.21</v>
      </c>
      <c r="E851" s="51">
        <v>2.521990740740741E-2</v>
      </c>
      <c r="F851" s="51">
        <v>2.5729166666666664E-2</v>
      </c>
      <c r="G851" s="69">
        <f t="shared" si="326"/>
        <v>2.5474537037037039E-2</v>
      </c>
      <c r="H851" s="52"/>
      <c r="I851" s="12">
        <f t="shared" si="327"/>
        <v>4.8895464562451127E-3</v>
      </c>
      <c r="J851" s="37">
        <f t="shared" si="328"/>
        <v>1.3025</v>
      </c>
      <c r="K851" s="37">
        <f>IF(J851=0,0,IF(B851="F",VLOOKUP(I851,Barem!$G$2:$H$16,2,1),VLOOKUP(I851,Barem!$G$17:$H$31,2,1)))</f>
        <v>0.75</v>
      </c>
      <c r="L851" s="50">
        <v>2.25</v>
      </c>
      <c r="M851" s="124" t="s">
        <v>107</v>
      </c>
      <c r="N851" s="10">
        <f t="shared" si="332"/>
        <v>0.25</v>
      </c>
      <c r="O851" s="10">
        <f t="shared" si="332"/>
        <v>0.5</v>
      </c>
      <c r="P851" s="10">
        <f t="shared" si="332"/>
        <v>0.25</v>
      </c>
      <c r="Q851" s="40">
        <f t="shared" si="329"/>
        <v>0</v>
      </c>
      <c r="R851" s="21">
        <f>IF(D851&gt;21,VLOOKUP(D851,Barem!$T$1:$U$141,2,1),0)</f>
        <v>0</v>
      </c>
      <c r="S851" s="152">
        <f>IF(D851&lt;1.609,0,IF(B851="F",VLOOKUP(I851,Barem!$X$2:$Z$13,2,1),VLOOKUP(I851,Barem!$X$14:$Z$25,2,1)))</f>
        <v>0</v>
      </c>
      <c r="T851" s="21">
        <f>VLOOKUP(A851,Participanti!A:C,3,0)</f>
        <v>0</v>
      </c>
      <c r="U851" s="18">
        <f t="shared" si="330"/>
        <v>1.2631250000000001</v>
      </c>
      <c r="V851" s="58" t="s">
        <v>488</v>
      </c>
      <c r="W851" s="77">
        <f t="shared" si="325"/>
        <v>1</v>
      </c>
      <c r="X851" s="1" t="str">
        <f>VLOOKUP(A851,Data_Echipe!A:R,18,0)</f>
        <v>MedgidiaRunning</v>
      </c>
      <c r="Z851" s="115">
        <f t="shared" si="331"/>
        <v>1</v>
      </c>
    </row>
    <row r="852" spans="1:26" x14ac:dyDescent="0.3">
      <c r="A852" s="49" t="s">
        <v>247</v>
      </c>
      <c r="B852" s="1" t="str">
        <f>VLOOKUP(A852,Participanti!A:B,2,0)</f>
        <v>M</v>
      </c>
      <c r="C852" s="74">
        <v>10</v>
      </c>
      <c r="D852" s="50">
        <v>40.25</v>
      </c>
      <c r="E852" s="51">
        <v>0.23899305555555558</v>
      </c>
      <c r="F852" s="51">
        <v>0.2678240740740741</v>
      </c>
      <c r="G852" s="69">
        <f t="shared" si="326"/>
        <v>0.25340856481481483</v>
      </c>
      <c r="H852" s="52">
        <v>1739</v>
      </c>
      <c r="I852" s="12">
        <f t="shared" si="327"/>
        <v>6.2958649643432259E-3</v>
      </c>
      <c r="J852" s="37">
        <f t="shared" si="328"/>
        <v>5</v>
      </c>
      <c r="K852" s="37">
        <f>IF(J852=0,0,IF(B852="F",VLOOKUP(I852,Barem!$G$2:$H$16,2,1),VLOOKUP(I852,Barem!$G$17:$H$31,2,1)))</f>
        <v>0</v>
      </c>
      <c r="L852" s="50">
        <v>2.5</v>
      </c>
      <c r="M852" s="124" t="s">
        <v>106</v>
      </c>
      <c r="N852" s="10">
        <f t="shared" si="332"/>
        <v>0.5</v>
      </c>
      <c r="O852" s="10">
        <f t="shared" si="332"/>
        <v>0.25</v>
      </c>
      <c r="P852" s="10">
        <f t="shared" si="332"/>
        <v>0.25</v>
      </c>
      <c r="Q852" s="40">
        <f t="shared" si="329"/>
        <v>1.1593333333333333</v>
      </c>
      <c r="R852" s="21">
        <f>IF(D852&gt;21,VLOOKUP(D852,Barem!$T$1:$U$141,2,1),0)</f>
        <v>0.9</v>
      </c>
      <c r="S852" s="152">
        <f>IF(D852&lt;1.609,0,IF(B852="F",VLOOKUP(I852,Barem!$X$2:$Z$13,2,1),VLOOKUP(I852,Barem!$X$14:$Z$25,2,1)))</f>
        <v>0</v>
      </c>
      <c r="T852" s="21">
        <f>VLOOKUP(A852,Participanti!A:C,3,0)</f>
        <v>0</v>
      </c>
      <c r="U852" s="18">
        <f t="shared" si="330"/>
        <v>5.1843333333333339</v>
      </c>
      <c r="V852" s="58" t="s">
        <v>488</v>
      </c>
      <c r="W852" s="77">
        <f t="shared" si="325"/>
        <v>1</v>
      </c>
      <c r="X852" s="1" t="str">
        <f>VLOOKUP(A852,Data_Echipe!A:R,18,0)</f>
        <v>UltraHaita lu' Borcan</v>
      </c>
      <c r="Z852" s="115">
        <f t="shared" si="331"/>
        <v>0</v>
      </c>
    </row>
    <row r="853" spans="1:26" x14ac:dyDescent="0.3">
      <c r="A853" s="49" t="s">
        <v>132</v>
      </c>
      <c r="B853" s="1" t="str">
        <f>VLOOKUP(A853,Participanti!A:B,2,0)</f>
        <v>F</v>
      </c>
      <c r="C853" s="74">
        <v>10</v>
      </c>
      <c r="D853" s="50">
        <v>5.66</v>
      </c>
      <c r="E853" s="51">
        <v>2.4872685185185189E-2</v>
      </c>
      <c r="F853" s="51">
        <v>2.5729166666666664E-2</v>
      </c>
      <c r="G853" s="69">
        <f t="shared" si="326"/>
        <v>2.5300925925925928E-2</v>
      </c>
      <c r="H853" s="52"/>
      <c r="I853" s="12">
        <f t="shared" si="327"/>
        <v>4.4701282554639446E-3</v>
      </c>
      <c r="J853" s="37">
        <f t="shared" si="328"/>
        <v>1.415</v>
      </c>
      <c r="K853" s="37">
        <f>IF(J853=0,0,IF(B853="F",VLOOKUP(I853,Barem!$G$2:$H$16,2,1),VLOOKUP(I853,Barem!$G$17:$H$31,2,1)))</f>
        <v>1.5</v>
      </c>
      <c r="L853" s="50">
        <v>3.5</v>
      </c>
      <c r="M853" s="124" t="s">
        <v>207</v>
      </c>
      <c r="N853" s="10">
        <f t="shared" si="332"/>
        <v>0.25</v>
      </c>
      <c r="O853" s="10">
        <f t="shared" si="332"/>
        <v>0.25</v>
      </c>
      <c r="P853" s="10">
        <f t="shared" si="332"/>
        <v>0.5</v>
      </c>
      <c r="Q853" s="40">
        <f t="shared" si="329"/>
        <v>0</v>
      </c>
      <c r="R853" s="21">
        <f>IF(D853&gt;21,VLOOKUP(D853,Barem!$T$1:$U$141,2,1),0)</f>
        <v>0</v>
      </c>
      <c r="S853" s="152">
        <f>IF(D853&lt;1.609,0,IF(B853="F",VLOOKUP(I853,Barem!$X$2:$Z$13,2,1),VLOOKUP(I853,Barem!$X$14:$Z$25,2,1)))</f>
        <v>0</v>
      </c>
      <c r="T853" s="21">
        <f>VLOOKUP(A853,Participanti!A:C,3,0)</f>
        <v>0</v>
      </c>
      <c r="U853" s="18">
        <f t="shared" si="330"/>
        <v>2.4787499999999998</v>
      </c>
      <c r="V853" s="58" t="s">
        <v>488</v>
      </c>
      <c r="W853" s="77">
        <f t="shared" si="325"/>
        <v>1</v>
      </c>
      <c r="X853" s="1" t="str">
        <f>VLOOKUP(A853,Data_Echipe!A:R,18,0)</f>
        <v>MedgidiaRunning</v>
      </c>
      <c r="Z853" s="115">
        <f t="shared" si="331"/>
        <v>1</v>
      </c>
    </row>
    <row r="854" spans="1:26" x14ac:dyDescent="0.3">
      <c r="A854" s="49" t="s">
        <v>108</v>
      </c>
      <c r="B854" s="1" t="str">
        <f>VLOOKUP(A854,Participanti!A:B,2,0)</f>
        <v>M</v>
      </c>
      <c r="C854" s="74">
        <v>10</v>
      </c>
      <c r="D854" s="50">
        <v>13.44</v>
      </c>
      <c r="E854" s="51">
        <v>5.858796296296296E-2</v>
      </c>
      <c r="F854" s="51">
        <v>6.9016203703703705E-2</v>
      </c>
      <c r="G854" s="69">
        <f t="shared" si="326"/>
        <v>6.3802083333333329E-2</v>
      </c>
      <c r="H854" s="52"/>
      <c r="I854" s="12">
        <f t="shared" si="327"/>
        <v>4.7471788194444441E-3</v>
      </c>
      <c r="J854" s="37">
        <f t="shared" si="328"/>
        <v>3.1999999999999997</v>
      </c>
      <c r="K854" s="37">
        <f>IF(J854=0,0,IF(B854="F",VLOOKUP(I854,Barem!$G$2:$H$16,2,1),VLOOKUP(I854,Barem!$G$17:$H$31,2,1)))</f>
        <v>0.5</v>
      </c>
      <c r="L854" s="50">
        <v>4</v>
      </c>
      <c r="M854" s="124" t="s">
        <v>207</v>
      </c>
      <c r="N854" s="10">
        <f t="shared" si="332"/>
        <v>0.25</v>
      </c>
      <c r="O854" s="10">
        <f t="shared" si="332"/>
        <v>0.25</v>
      </c>
      <c r="P854" s="10">
        <f t="shared" si="332"/>
        <v>0.5</v>
      </c>
      <c r="Q854" s="40">
        <f t="shared" si="329"/>
        <v>0</v>
      </c>
      <c r="R854" s="21">
        <f>IF(D854&gt;21,VLOOKUP(D854,Barem!$T$1:$U$141,2,1),0)</f>
        <v>0</v>
      </c>
      <c r="S854" s="152">
        <f>IF(D854&lt;1.609,0,IF(B854="F",VLOOKUP(I854,Barem!$X$2:$Z$13,2,1),VLOOKUP(I854,Barem!$X$14:$Z$25,2,1)))</f>
        <v>0</v>
      </c>
      <c r="T854" s="21">
        <f>VLOOKUP(A854,Participanti!A:C,3,0)</f>
        <v>0</v>
      </c>
      <c r="U854" s="18">
        <f t="shared" si="330"/>
        <v>2.9249999999999998</v>
      </c>
      <c r="V854" s="58" t="s">
        <v>488</v>
      </c>
      <c r="W854" s="77">
        <f t="shared" si="325"/>
        <v>1</v>
      </c>
      <c r="X854" s="1" t="str">
        <f>VLOOKUP(A854,Data_Echipe!A:R,18,0)</f>
        <v>UltraHaita lu' Borcan</v>
      </c>
      <c r="Z854" s="115">
        <f t="shared" si="331"/>
        <v>1</v>
      </c>
    </row>
    <row r="855" spans="1:26" x14ac:dyDescent="0.3">
      <c r="A855" s="49" t="s">
        <v>78</v>
      </c>
      <c r="B855" s="1" t="str">
        <f>VLOOKUP(A855,Participanti!A:B,2,0)</f>
        <v>M</v>
      </c>
      <c r="C855" s="74">
        <v>10</v>
      </c>
      <c r="D855" s="50">
        <v>30.1</v>
      </c>
      <c r="E855" s="51">
        <v>0.23650462962962962</v>
      </c>
      <c r="F855" s="51">
        <v>0.25450231481481483</v>
      </c>
      <c r="G855" s="69">
        <f t="shared" si="326"/>
        <v>0.24550347222222224</v>
      </c>
      <c r="H855" s="52">
        <v>955</v>
      </c>
      <c r="I855" s="12">
        <f t="shared" si="327"/>
        <v>8.1562615356220013E-3</v>
      </c>
      <c r="J855" s="37">
        <f t="shared" si="328"/>
        <v>5</v>
      </c>
      <c r="K855" s="37">
        <f>IF(J855=0,0,IF(B855="F",VLOOKUP(I855,Barem!$G$2:$H$16,2,1),VLOOKUP(I855,Barem!$G$17:$H$31,2,1)))</f>
        <v>0</v>
      </c>
      <c r="L855" s="50">
        <v>2.5</v>
      </c>
      <c r="M855" s="124" t="s">
        <v>107</v>
      </c>
      <c r="N855" s="10">
        <f t="shared" si="332"/>
        <v>0.25</v>
      </c>
      <c r="O855" s="10">
        <f t="shared" si="332"/>
        <v>0.5</v>
      </c>
      <c r="P855" s="10">
        <f t="shared" si="332"/>
        <v>0.25</v>
      </c>
      <c r="Q855" s="40">
        <f t="shared" si="329"/>
        <v>0.63666666666666671</v>
      </c>
      <c r="R855" s="21">
        <f>IF(D855&gt;21,VLOOKUP(D855,Barem!$T$1:$U$141,2,1),0)</f>
        <v>0.4</v>
      </c>
      <c r="S855" s="152">
        <f>IF(D855&lt;1.609,0,IF(B855="F",VLOOKUP(I855,Barem!$X$2:$Z$13,2,1),VLOOKUP(I855,Barem!$X$14:$Z$25,2,1)))</f>
        <v>0</v>
      </c>
      <c r="T855" s="21">
        <f>VLOOKUP(A855,Participanti!A:C,3,0)</f>
        <v>0.4</v>
      </c>
      <c r="U855" s="18">
        <f t="shared" si="330"/>
        <v>3.3116666666666665</v>
      </c>
      <c r="V855" s="58" t="s">
        <v>488</v>
      </c>
      <c r="W855" s="77">
        <f t="shared" si="325"/>
        <v>1</v>
      </c>
      <c r="X855" s="1" t="str">
        <f>VLOOKUP(A855,Data_Echipe!A:R,18,0)</f>
        <v>Almost Kenyan Runners</v>
      </c>
      <c r="Z855" s="115">
        <f t="shared" si="331"/>
        <v>0</v>
      </c>
    </row>
    <row r="856" spans="1:26" x14ac:dyDescent="0.3">
      <c r="A856" s="49" t="s">
        <v>366</v>
      </c>
      <c r="B856" s="1" t="str">
        <f>VLOOKUP(A856,Participanti!A:B,2,0)</f>
        <v>M</v>
      </c>
      <c r="C856" s="74">
        <v>10</v>
      </c>
      <c r="D856" s="50">
        <v>38.03</v>
      </c>
      <c r="E856" s="51">
        <v>0.15197916666666667</v>
      </c>
      <c r="F856" s="51">
        <v>0.19486111111111112</v>
      </c>
      <c r="G856" s="69">
        <f t="shared" si="326"/>
        <v>0.17342013888888891</v>
      </c>
      <c r="H856" s="52">
        <v>93</v>
      </c>
      <c r="I856" s="12">
        <f t="shared" si="327"/>
        <v>4.560087796184299E-3</v>
      </c>
      <c r="J856" s="37">
        <f t="shared" si="328"/>
        <v>5</v>
      </c>
      <c r="K856" s="37">
        <f>IF(J856=0,0,IF(B856="F",VLOOKUP(I856,Barem!$G$2:$H$16,2,1),VLOOKUP(I856,Barem!$G$17:$H$31,2,1)))</f>
        <v>0.75</v>
      </c>
      <c r="L856" s="50">
        <v>3.75</v>
      </c>
      <c r="M856" s="124" t="s">
        <v>106</v>
      </c>
      <c r="N856" s="10">
        <f t="shared" si="332"/>
        <v>0.5</v>
      </c>
      <c r="O856" s="10">
        <f t="shared" si="332"/>
        <v>0.25</v>
      </c>
      <c r="P856" s="10">
        <f t="shared" si="332"/>
        <v>0.25</v>
      </c>
      <c r="Q856" s="40">
        <f t="shared" si="329"/>
        <v>6.2E-2</v>
      </c>
      <c r="R856" s="21">
        <f>IF(D856&gt;21,VLOOKUP(D856,Barem!$T$1:$U$141,2,1),0)</f>
        <v>0.8</v>
      </c>
      <c r="S856" s="152">
        <f>IF(D856&lt;1.609,0,IF(B856="F",VLOOKUP(I856,Barem!$X$2:$Z$13,2,1),VLOOKUP(I856,Barem!$X$14:$Z$25,2,1)))</f>
        <v>0</v>
      </c>
      <c r="T856" s="21">
        <f>VLOOKUP(A856,Participanti!A:C,3,0)</f>
        <v>0</v>
      </c>
      <c r="U856" s="18">
        <f t="shared" si="330"/>
        <v>4.4870000000000001</v>
      </c>
      <c r="V856" s="58" t="s">
        <v>488</v>
      </c>
      <c r="W856" s="77">
        <f t="shared" si="325"/>
        <v>1</v>
      </c>
      <c r="X856" s="1" t="str">
        <f>VLOOKUP(A856,Data_Echipe!A:R,18,0)</f>
        <v>The GOATs</v>
      </c>
      <c r="Z856" s="115">
        <f t="shared" si="331"/>
        <v>1</v>
      </c>
    </row>
    <row r="857" spans="1:26" x14ac:dyDescent="0.3">
      <c r="A857" s="49" t="s">
        <v>383</v>
      </c>
      <c r="B857" s="1" t="str">
        <f>VLOOKUP(A857,Participanti!A:B,2,0)</f>
        <v>F</v>
      </c>
      <c r="C857" s="74">
        <v>10</v>
      </c>
      <c r="D857" s="50">
        <v>21.03</v>
      </c>
      <c r="E857" s="51">
        <v>8.4456018518518527E-2</v>
      </c>
      <c r="F857" s="51">
        <v>0.10914351851851851</v>
      </c>
      <c r="G857" s="69">
        <f t="shared" si="326"/>
        <v>9.6799768518518514E-2</v>
      </c>
      <c r="H857" s="52">
        <v>54</v>
      </c>
      <c r="I857" s="12">
        <f t="shared" si="327"/>
        <v>4.6029371620788639E-3</v>
      </c>
      <c r="J857" s="37">
        <f t="shared" si="328"/>
        <v>5</v>
      </c>
      <c r="K857" s="37">
        <f>IF(J857=0,0,IF(B857="F",VLOOKUP(I857,Barem!$G$2:$H$16,2,1),VLOOKUP(I857,Barem!$G$17:$H$31,2,1)))</f>
        <v>1.25</v>
      </c>
      <c r="L857" s="50">
        <v>2.25</v>
      </c>
      <c r="M857" s="124" t="s">
        <v>106</v>
      </c>
      <c r="N857" s="10">
        <f t="shared" si="332"/>
        <v>0.5</v>
      </c>
      <c r="O857" s="10">
        <f t="shared" si="332"/>
        <v>0.25</v>
      </c>
      <c r="P857" s="10">
        <f t="shared" si="332"/>
        <v>0.25</v>
      </c>
      <c r="Q857" s="40">
        <f t="shared" si="329"/>
        <v>3.5999999999999997E-2</v>
      </c>
      <c r="R857" s="21">
        <f>IF(D857&gt;21,VLOOKUP(D857,Barem!$T$1:$U$141,2,1),0)</f>
        <v>0</v>
      </c>
      <c r="S857" s="152">
        <f>IF(D857&lt;1.609,0,IF(B857="F",VLOOKUP(I857,Barem!$X$2:$Z$13,2,1),VLOOKUP(I857,Barem!$X$14:$Z$25,2,1)))</f>
        <v>0</v>
      </c>
      <c r="T857" s="21">
        <f>VLOOKUP(A857,Participanti!A:C,3,0)</f>
        <v>0</v>
      </c>
      <c r="U857" s="18">
        <f t="shared" si="330"/>
        <v>3.411</v>
      </c>
      <c r="V857" s="58" t="s">
        <v>488</v>
      </c>
      <c r="W857" s="77">
        <f t="shared" si="325"/>
        <v>1</v>
      </c>
      <c r="X857" s="1" t="str">
        <f>VLOOKUP(A857,Data_Echipe!A:R,18,0)</f>
        <v>The GOATs</v>
      </c>
      <c r="Z857" s="115">
        <f t="shared" si="331"/>
        <v>1</v>
      </c>
    </row>
    <row r="858" spans="1:26" x14ac:dyDescent="0.3">
      <c r="A858" s="49" t="s">
        <v>45</v>
      </c>
      <c r="B858" s="1" t="str">
        <f>VLOOKUP(A858,Participanti!A:B,2,0)</f>
        <v>F</v>
      </c>
      <c r="C858" s="74">
        <v>10</v>
      </c>
      <c r="D858" s="50">
        <v>11.14</v>
      </c>
      <c r="E858" s="51">
        <v>4.611111111111111E-2</v>
      </c>
      <c r="F858" s="51">
        <v>6.789351851851852E-2</v>
      </c>
      <c r="G858" s="69">
        <f t="shared" si="326"/>
        <v>5.7002314814814811E-2</v>
      </c>
      <c r="H858" s="52"/>
      <c r="I858" s="12">
        <f t="shared" si="327"/>
        <v>5.1169043819402878E-3</v>
      </c>
      <c r="J858" s="37">
        <f t="shared" si="328"/>
        <v>2.7850000000000001</v>
      </c>
      <c r="K858" s="37">
        <f>IF(J858=0,0,IF(B858="F",VLOOKUP(I858,Barem!$G$2:$H$16,2,1),VLOOKUP(I858,Barem!$G$17:$H$31,2,1)))</f>
        <v>0.5</v>
      </c>
      <c r="L858" s="50">
        <v>3.25</v>
      </c>
      <c r="M858" s="124" t="s">
        <v>207</v>
      </c>
      <c r="N858" s="10">
        <f t="shared" si="332"/>
        <v>0.25</v>
      </c>
      <c r="O858" s="10">
        <f t="shared" si="332"/>
        <v>0.25</v>
      </c>
      <c r="P858" s="10">
        <f t="shared" si="332"/>
        <v>0.5</v>
      </c>
      <c r="Q858" s="40">
        <f t="shared" si="329"/>
        <v>0</v>
      </c>
      <c r="R858" s="21">
        <f>IF(D858&gt;21,VLOOKUP(D858,Barem!$T$1:$U$141,2,1),0)</f>
        <v>0</v>
      </c>
      <c r="S858" s="152">
        <f>IF(D858&lt;1.609,0,IF(B858="F",VLOOKUP(I858,Barem!$X$2:$Z$13,2,1),VLOOKUP(I858,Barem!$X$14:$Z$25,2,1)))</f>
        <v>0</v>
      </c>
      <c r="T858" s="21">
        <f>VLOOKUP(A858,Participanti!A:C,3,0)</f>
        <v>0</v>
      </c>
      <c r="U858" s="18">
        <f t="shared" si="330"/>
        <v>2.44625</v>
      </c>
      <c r="V858" s="58" t="s">
        <v>488</v>
      </c>
      <c r="W858" s="77">
        <f t="shared" si="325"/>
        <v>1</v>
      </c>
      <c r="X858" s="1" t="e">
        <f>VLOOKUP(A858,Data_Echipe!A:R,18,0)</f>
        <v>#N/A</v>
      </c>
      <c r="Z858" s="115">
        <f t="shared" si="331"/>
        <v>1</v>
      </c>
    </row>
    <row r="859" spans="1:26" x14ac:dyDescent="0.3">
      <c r="A859" s="49" t="s">
        <v>170</v>
      </c>
      <c r="B859" s="1" t="str">
        <f>VLOOKUP(A859,Participanti!A:B,2,0)</f>
        <v>F</v>
      </c>
      <c r="C859" s="74">
        <v>10</v>
      </c>
      <c r="D859" s="50">
        <v>18.68</v>
      </c>
      <c r="E859" s="51">
        <v>7.8275462962962963E-2</v>
      </c>
      <c r="F859" s="51">
        <v>7.8877314814814817E-2</v>
      </c>
      <c r="G859" s="69">
        <f t="shared" si="326"/>
        <v>7.857638888888889E-2</v>
      </c>
      <c r="H859" s="52"/>
      <c r="I859" s="12">
        <f t="shared" si="327"/>
        <v>4.2064448013323817E-3</v>
      </c>
      <c r="J859" s="37">
        <f t="shared" si="328"/>
        <v>4.67</v>
      </c>
      <c r="K859" s="37">
        <f>IF(J859=0,0,IF(B859="F",VLOOKUP(I859,Barem!$G$2:$H$16,2,1),VLOOKUP(I859,Barem!$G$17:$H$31,2,1)))</f>
        <v>1.75</v>
      </c>
      <c r="L859" s="50">
        <v>4</v>
      </c>
      <c r="M859" s="124" t="s">
        <v>207</v>
      </c>
      <c r="N859" s="10">
        <f t="shared" si="332"/>
        <v>0.25</v>
      </c>
      <c r="O859" s="10">
        <f t="shared" si="332"/>
        <v>0.25</v>
      </c>
      <c r="P859" s="10">
        <f t="shared" si="332"/>
        <v>0.5</v>
      </c>
      <c r="Q859" s="40">
        <f t="shared" si="329"/>
        <v>0</v>
      </c>
      <c r="R859" s="21">
        <f>IF(D859&gt;21,VLOOKUP(D859,Barem!$T$1:$U$141,2,1),0)</f>
        <v>0</v>
      </c>
      <c r="S859" s="152">
        <f>IF(D859&lt;1.609,0,IF(B859="F",VLOOKUP(I859,Barem!$X$2:$Z$13,2,1),VLOOKUP(I859,Barem!$X$14:$Z$25,2,1)))</f>
        <v>0</v>
      </c>
      <c r="T859" s="21">
        <f>VLOOKUP(A859,Participanti!A:C,3,0)</f>
        <v>0</v>
      </c>
      <c r="U859" s="18">
        <f t="shared" si="330"/>
        <v>3.605</v>
      </c>
      <c r="V859" s="58" t="s">
        <v>488</v>
      </c>
      <c r="W859" s="77">
        <f t="shared" si="325"/>
        <v>1</v>
      </c>
      <c r="X859" s="1" t="str">
        <f>VLOOKUP(A859,Data_Echipe!A:R,18,0)</f>
        <v>Almost Kenyan Runners</v>
      </c>
      <c r="Z859" s="115">
        <f t="shared" si="331"/>
        <v>1</v>
      </c>
    </row>
    <row r="860" spans="1:26" x14ac:dyDescent="0.3">
      <c r="A860" s="49" t="s">
        <v>122</v>
      </c>
      <c r="B860" s="1" t="str">
        <f>VLOOKUP(A860,Participanti!A:B,2,0)</f>
        <v>M</v>
      </c>
      <c r="C860" s="74">
        <v>10</v>
      </c>
      <c r="D860" s="50">
        <v>17.91</v>
      </c>
      <c r="E860" s="51">
        <v>6.9849537037037043E-2</v>
      </c>
      <c r="F860" s="51">
        <v>8.5277777777777786E-2</v>
      </c>
      <c r="G860" s="69">
        <f t="shared" si="326"/>
        <v>7.7563657407407421E-2</v>
      </c>
      <c r="H860" s="52">
        <v>137</v>
      </c>
      <c r="I860" s="12">
        <f t="shared" si="327"/>
        <v>4.3307458072254284E-3</v>
      </c>
      <c r="J860" s="37">
        <f t="shared" si="328"/>
        <v>4.2642857142857142</v>
      </c>
      <c r="K860" s="37">
        <f>IF(J860=0,0,IF(B860="F",VLOOKUP(I860,Barem!$G$2:$H$16,2,1),VLOOKUP(I860,Barem!$G$17:$H$31,2,1)))</f>
        <v>1.25</v>
      </c>
      <c r="L860" s="50">
        <v>2.5</v>
      </c>
      <c r="M860" s="124" t="s">
        <v>106</v>
      </c>
      <c r="N860" s="10">
        <f t="shared" si="332"/>
        <v>0.5</v>
      </c>
      <c r="O860" s="10">
        <f t="shared" si="332"/>
        <v>0.25</v>
      </c>
      <c r="P860" s="10">
        <f t="shared" si="332"/>
        <v>0.25</v>
      </c>
      <c r="Q860" s="40">
        <f t="shared" si="329"/>
        <v>9.1333333333333336E-2</v>
      </c>
      <c r="R860" s="21">
        <f>IF(D860&gt;21,VLOOKUP(D860,Barem!$T$1:$U$141,2,1),0)</f>
        <v>0</v>
      </c>
      <c r="S860" s="152">
        <f>IF(D860&lt;1.609,0,IF(B860="F",VLOOKUP(I860,Barem!$X$2:$Z$13,2,1),VLOOKUP(I860,Barem!$X$14:$Z$25,2,1)))</f>
        <v>0</v>
      </c>
      <c r="T860" s="21">
        <f>VLOOKUP(A860,Participanti!A:C,3,0)</f>
        <v>0</v>
      </c>
      <c r="U860" s="18">
        <f t="shared" si="330"/>
        <v>3.1609761904761906</v>
      </c>
      <c r="V860" s="58" t="s">
        <v>488</v>
      </c>
      <c r="W860" s="77">
        <f t="shared" si="325"/>
        <v>1</v>
      </c>
      <c r="X860" s="1" t="str">
        <f>VLOOKUP(A860,Data_Echipe!A:R,18,0)</f>
        <v>#notSYRious</v>
      </c>
      <c r="Z860" s="115">
        <f t="shared" si="331"/>
        <v>1</v>
      </c>
    </row>
    <row r="861" spans="1:26" x14ac:dyDescent="0.3">
      <c r="A861" s="49" t="s">
        <v>203</v>
      </c>
      <c r="B861" s="1" t="str">
        <f>VLOOKUP(A861,Participanti!A:B,2,0)</f>
        <v>M</v>
      </c>
      <c r="C861" s="74">
        <v>10</v>
      </c>
      <c r="D861" s="50">
        <v>7.3</v>
      </c>
      <c r="E861" s="51">
        <v>2.9687500000000002E-2</v>
      </c>
      <c r="F861" s="51">
        <v>3.4039351851851855E-2</v>
      </c>
      <c r="G861" s="69">
        <f t="shared" si="326"/>
        <v>3.1863425925925927E-2</v>
      </c>
      <c r="H861" s="52">
        <v>221</v>
      </c>
      <c r="I861" s="12">
        <f t="shared" si="327"/>
        <v>4.3648528665651953E-3</v>
      </c>
      <c r="J861" s="37">
        <f t="shared" si="328"/>
        <v>1.7380952380952379</v>
      </c>
      <c r="K861" s="37">
        <f>IF(J861=0,0,IF(B861="F",VLOOKUP(I861,Barem!$G$2:$H$16,2,1),VLOOKUP(I861,Barem!$G$17:$H$31,2,1)))</f>
        <v>1</v>
      </c>
      <c r="L861" s="50">
        <v>4.75</v>
      </c>
      <c r="M861" s="124" t="s">
        <v>207</v>
      </c>
      <c r="N861" s="10">
        <f t="shared" si="332"/>
        <v>0.25</v>
      </c>
      <c r="O861" s="10">
        <f t="shared" si="332"/>
        <v>0.25</v>
      </c>
      <c r="P861" s="10">
        <f t="shared" si="332"/>
        <v>0.5</v>
      </c>
      <c r="Q861" s="40">
        <f t="shared" si="329"/>
        <v>0.14733333333333334</v>
      </c>
      <c r="R861" s="21">
        <f>IF(D861&gt;21,VLOOKUP(D861,Barem!$T$1:$U$141,2,1),0)</f>
        <v>0</v>
      </c>
      <c r="S861" s="152">
        <f>IF(D861&lt;1.609,0,IF(B861="F",VLOOKUP(I861,Barem!$X$2:$Z$13,2,1),VLOOKUP(I861,Barem!$X$14:$Z$25,2,1)))</f>
        <v>0</v>
      </c>
      <c r="T861" s="21">
        <f>VLOOKUP(A861,Participanti!A:C,3,0)</f>
        <v>0</v>
      </c>
      <c r="U861" s="18">
        <f t="shared" si="330"/>
        <v>3.2068571428571429</v>
      </c>
      <c r="V861" s="58" t="s">
        <v>488</v>
      </c>
      <c r="W861" s="77">
        <f t="shared" si="325"/>
        <v>1</v>
      </c>
      <c r="X861" s="1" t="str">
        <f>VLOOKUP(A861,Data_Echipe!A:R,18,0)</f>
        <v>The GOATs</v>
      </c>
      <c r="Z861" s="115">
        <f t="shared" si="331"/>
        <v>1</v>
      </c>
    </row>
    <row r="862" spans="1:26" x14ac:dyDescent="0.3">
      <c r="A862" s="49" t="s">
        <v>331</v>
      </c>
      <c r="B862" s="1" t="str">
        <f>VLOOKUP(A862,Participanti!A:B,2,0)</f>
        <v>F</v>
      </c>
      <c r="C862" s="74">
        <v>10</v>
      </c>
      <c r="D862" s="50">
        <v>10.57</v>
      </c>
      <c r="E862" s="51">
        <v>4.4675925925925924E-2</v>
      </c>
      <c r="F862" s="51">
        <v>4.4826388888888895E-2</v>
      </c>
      <c r="G862" s="69">
        <f t="shared" si="326"/>
        <v>4.4751157407407413E-2</v>
      </c>
      <c r="H862" s="52"/>
      <c r="I862" s="12">
        <f t="shared" si="327"/>
        <v>4.2337897263393957E-3</v>
      </c>
      <c r="J862" s="37">
        <f t="shared" si="328"/>
        <v>2.6425000000000001</v>
      </c>
      <c r="K862" s="37">
        <f>IF(J862=0,0,IF(B862="F",VLOOKUP(I862,Barem!$G$2:$H$16,2,1),VLOOKUP(I862,Barem!$G$17:$H$31,2,1)))</f>
        <v>1.75</v>
      </c>
      <c r="L862" s="50">
        <v>3</v>
      </c>
      <c r="M862" s="124" t="s">
        <v>207</v>
      </c>
      <c r="N862" s="10">
        <f t="shared" si="332"/>
        <v>0.25</v>
      </c>
      <c r="O862" s="10">
        <f t="shared" si="332"/>
        <v>0.25</v>
      </c>
      <c r="P862" s="10">
        <f t="shared" si="332"/>
        <v>0.5</v>
      </c>
      <c r="Q862" s="40">
        <f t="shared" si="329"/>
        <v>0</v>
      </c>
      <c r="R862" s="21">
        <f>IF(D862&gt;21,VLOOKUP(D862,Barem!$T$1:$U$141,2,1),0)</f>
        <v>0</v>
      </c>
      <c r="S862" s="152">
        <f>IF(D862&lt;1.609,0,IF(B862="F",VLOOKUP(I862,Barem!$X$2:$Z$13,2,1),VLOOKUP(I862,Barem!$X$14:$Z$25,2,1)))</f>
        <v>0</v>
      </c>
      <c r="T862" s="21">
        <f>VLOOKUP(A862,Participanti!A:C,3,0)</f>
        <v>0</v>
      </c>
      <c r="U862" s="18">
        <f t="shared" si="330"/>
        <v>2.598125</v>
      </c>
      <c r="V862" s="58" t="s">
        <v>488</v>
      </c>
      <c r="W862" s="77">
        <f t="shared" si="325"/>
        <v>1</v>
      </c>
      <c r="X862" s="1" t="str">
        <f>VLOOKUP(A862,Data_Echipe!A:R,18,0)</f>
        <v>MedgidiaRunning</v>
      </c>
      <c r="Z862" s="115">
        <f t="shared" si="331"/>
        <v>1</v>
      </c>
    </row>
    <row r="863" spans="1:26" x14ac:dyDescent="0.3">
      <c r="A863" s="49" t="s">
        <v>49</v>
      </c>
      <c r="B863" s="1" t="str">
        <f>VLOOKUP(A863,Participanti!A:B,2,0)</f>
        <v>M</v>
      </c>
      <c r="C863" s="74">
        <v>10</v>
      </c>
      <c r="D863" s="50">
        <v>25.06</v>
      </c>
      <c r="E863" s="51">
        <v>0.13423611111111111</v>
      </c>
      <c r="F863" s="51">
        <v>0.14409722222222224</v>
      </c>
      <c r="G863" s="69">
        <f t="shared" si="326"/>
        <v>0.13916666666666666</v>
      </c>
      <c r="H863" s="52">
        <v>1056</v>
      </c>
      <c r="I863" s="12">
        <f t="shared" si="327"/>
        <v>5.5533386538973136E-3</v>
      </c>
      <c r="J863" s="37">
        <f t="shared" si="328"/>
        <v>5</v>
      </c>
      <c r="K863" s="37">
        <f>IF(J863=0,0,IF(B863="F",VLOOKUP(I863,Barem!$G$2:$H$16,2,1),VLOOKUP(I863,Barem!$G$17:$H$31,2,1)))</f>
        <v>0.25</v>
      </c>
      <c r="L863" s="50">
        <v>4.5</v>
      </c>
      <c r="M863" s="124" t="s">
        <v>207</v>
      </c>
      <c r="N863" s="10">
        <f t="shared" si="332"/>
        <v>0.25</v>
      </c>
      <c r="O863" s="10">
        <f t="shared" si="332"/>
        <v>0.25</v>
      </c>
      <c r="P863" s="10">
        <f t="shared" si="332"/>
        <v>0.5</v>
      </c>
      <c r="Q863" s="40">
        <f t="shared" si="329"/>
        <v>0.70399999999999996</v>
      </c>
      <c r="R863" s="21">
        <f>IF(D863&gt;21,VLOOKUP(D863,Barem!$T$1:$U$141,2,1),0)</f>
        <v>0.2</v>
      </c>
      <c r="S863" s="152">
        <f>IF(D863&lt;1.609,0,IF(B863="F",VLOOKUP(I863,Barem!$X$2:$Z$13,2,1),VLOOKUP(I863,Barem!$X$14:$Z$25,2,1)))</f>
        <v>0</v>
      </c>
      <c r="T863" s="21">
        <f>VLOOKUP(A863,Participanti!A:C,3,0)</f>
        <v>0</v>
      </c>
      <c r="U863" s="18">
        <f t="shared" si="330"/>
        <v>4.4664999999999999</v>
      </c>
      <c r="V863" s="58" t="s">
        <v>488</v>
      </c>
      <c r="W863" s="77">
        <f t="shared" si="325"/>
        <v>1</v>
      </c>
      <c r="X863" s="1" t="str">
        <f>VLOOKUP(A863,Data_Echipe!A:R,18,0)</f>
        <v>The GOATs</v>
      </c>
      <c r="Z863" s="115">
        <f t="shared" si="331"/>
        <v>1</v>
      </c>
    </row>
    <row r="864" spans="1:26" x14ac:dyDescent="0.3">
      <c r="A864" s="49" t="s">
        <v>248</v>
      </c>
      <c r="B864" s="1" t="str">
        <f>VLOOKUP(A864,Participanti!A:B,2,0)</f>
        <v>M</v>
      </c>
      <c r="C864" s="74">
        <v>10</v>
      </c>
      <c r="D864" s="50">
        <v>10.32</v>
      </c>
      <c r="E864" s="51">
        <v>3.4513888888888893E-2</v>
      </c>
      <c r="F864" s="51">
        <v>3.6018518518518519E-2</v>
      </c>
      <c r="G864" s="69">
        <f t="shared" si="326"/>
        <v>3.5266203703703702E-2</v>
      </c>
      <c r="H864" s="52"/>
      <c r="I864" s="12">
        <f t="shared" si="327"/>
        <v>3.4172678007464829E-3</v>
      </c>
      <c r="J864" s="37">
        <f t="shared" si="328"/>
        <v>2.4571428571428573</v>
      </c>
      <c r="K864" s="37">
        <f>IF(J864=0,0,IF(B864="F",VLOOKUP(I864,Barem!$G$2:$H$16,2,1),VLOOKUP(I864,Barem!$G$17:$H$31,2,1)))</f>
        <v>3</v>
      </c>
      <c r="L864" s="50">
        <v>0.25</v>
      </c>
      <c r="M864" s="124" t="s">
        <v>107</v>
      </c>
      <c r="N864" s="10">
        <f t="shared" si="332"/>
        <v>0.25</v>
      </c>
      <c r="O864" s="10">
        <f t="shared" si="332"/>
        <v>0.5</v>
      </c>
      <c r="P864" s="10">
        <f t="shared" si="332"/>
        <v>0.25</v>
      </c>
      <c r="Q864" s="40">
        <f t="shared" si="329"/>
        <v>0</v>
      </c>
      <c r="R864" s="21">
        <f>IF(D864&gt;21,VLOOKUP(D864,Barem!$T$1:$U$141,2,1),0)</f>
        <v>0</v>
      </c>
      <c r="S864" s="152">
        <f>IF(D864&lt;1.609,0,IF(B864="F",VLOOKUP(I864,Barem!$X$2:$Z$13,2,1),VLOOKUP(I864,Barem!$X$14:$Z$25,2,1)))</f>
        <v>0</v>
      </c>
      <c r="T864" s="21">
        <f>VLOOKUP(A864,Participanti!A:C,3,0)</f>
        <v>0</v>
      </c>
      <c r="U864" s="18">
        <f t="shared" si="330"/>
        <v>2.1767857142857143</v>
      </c>
      <c r="V864" s="58" t="s">
        <v>488</v>
      </c>
      <c r="W864" s="77">
        <f t="shared" si="325"/>
        <v>1</v>
      </c>
      <c r="X864" s="1" t="str">
        <f>VLOOKUP(A864,Data_Echipe!A:R,18,0)</f>
        <v>Almost Kenyan Runners</v>
      </c>
      <c r="Z864" s="115">
        <f t="shared" si="331"/>
        <v>1</v>
      </c>
    </row>
    <row r="865" spans="1:26" x14ac:dyDescent="0.3">
      <c r="A865" s="49" t="s">
        <v>284</v>
      </c>
      <c r="B865" s="1" t="str">
        <f>VLOOKUP(A865,Participanti!A:B,2,0)</f>
        <v>M</v>
      </c>
      <c r="C865" s="74">
        <v>10</v>
      </c>
      <c r="D865" s="50">
        <v>10.07</v>
      </c>
      <c r="E865" s="51">
        <v>4.1793981481481481E-2</v>
      </c>
      <c r="F865" s="51">
        <v>4.3587962962962967E-2</v>
      </c>
      <c r="G865" s="69">
        <f t="shared" si="326"/>
        <v>4.269097222222222E-2</v>
      </c>
      <c r="H865" s="52">
        <v>235</v>
      </c>
      <c r="I865" s="12">
        <f t="shared" si="327"/>
        <v>4.2394212733090587E-3</v>
      </c>
      <c r="J865" s="37">
        <f t="shared" si="328"/>
        <v>2.3976190476190475</v>
      </c>
      <c r="K865" s="37">
        <f>IF(J865=0,0,IF(B865="F",VLOOKUP(I865,Barem!$G$2:$H$16,2,1),VLOOKUP(I865,Barem!$G$17:$H$31,2,1)))</f>
        <v>1.25</v>
      </c>
      <c r="L865" s="50">
        <v>1.25</v>
      </c>
      <c r="M865" s="124" t="s">
        <v>106</v>
      </c>
      <c r="N865" s="10">
        <f t="shared" si="332"/>
        <v>0.5</v>
      </c>
      <c r="O865" s="10">
        <f t="shared" si="332"/>
        <v>0.25</v>
      </c>
      <c r="P865" s="10">
        <f t="shared" si="332"/>
        <v>0.25</v>
      </c>
      <c r="Q865" s="40">
        <f t="shared" si="329"/>
        <v>0.15666666666666668</v>
      </c>
      <c r="R865" s="21">
        <f>IF(D865&gt;21,VLOOKUP(D865,Barem!$T$1:$U$141,2,1),0)</f>
        <v>0</v>
      </c>
      <c r="S865" s="152">
        <f>IF(D865&lt;1.609,0,IF(B865="F",VLOOKUP(I865,Barem!$X$2:$Z$13,2,1),VLOOKUP(I865,Barem!$X$14:$Z$25,2,1)))</f>
        <v>0</v>
      </c>
      <c r="T865" s="21">
        <f>VLOOKUP(A865,Participanti!A:C,3,0)</f>
        <v>0</v>
      </c>
      <c r="U865" s="18">
        <f t="shared" si="330"/>
        <v>1.9804761904761905</v>
      </c>
      <c r="V865" s="58" t="s">
        <v>488</v>
      </c>
      <c r="W865" s="77">
        <f t="shared" si="325"/>
        <v>1</v>
      </c>
      <c r="X865" s="1" t="str">
        <f>VLOOKUP(A865,Data_Echipe!A:R,18,0)</f>
        <v>The GOATs</v>
      </c>
      <c r="Z865" s="115">
        <f t="shared" si="331"/>
        <v>1</v>
      </c>
    </row>
    <row r="866" spans="1:26" x14ac:dyDescent="0.3">
      <c r="A866" s="49" t="s">
        <v>361</v>
      </c>
      <c r="B866" s="1" t="str">
        <f>VLOOKUP(A866,Participanti!A:B,2,0)</f>
        <v>M</v>
      </c>
      <c r="C866" s="74">
        <v>10</v>
      </c>
      <c r="D866" s="50">
        <v>50</v>
      </c>
      <c r="E866" s="51">
        <v>0.16297453703703704</v>
      </c>
      <c r="F866" s="51">
        <v>0.17523148148148149</v>
      </c>
      <c r="G866" s="69">
        <f t="shared" si="326"/>
        <v>0.16910300925925925</v>
      </c>
      <c r="H866" s="52">
        <v>64</v>
      </c>
      <c r="I866" s="12">
        <f t="shared" si="327"/>
        <v>3.382060185185185E-3</v>
      </c>
      <c r="J866" s="37">
        <f t="shared" si="328"/>
        <v>5</v>
      </c>
      <c r="K866" s="37">
        <f>IF(J866=0,0,IF(B866="F",VLOOKUP(I866,Barem!$G$2:$H$16,2,1),VLOOKUP(I866,Barem!$G$17:$H$31,2,1)))</f>
        <v>3</v>
      </c>
      <c r="L866" s="50">
        <v>1.5</v>
      </c>
      <c r="M866" s="124" t="s">
        <v>107</v>
      </c>
      <c r="N866" s="10">
        <f t="shared" si="332"/>
        <v>0.25</v>
      </c>
      <c r="O866" s="10">
        <f t="shared" si="332"/>
        <v>0.5</v>
      </c>
      <c r="P866" s="10">
        <f t="shared" si="332"/>
        <v>0.25</v>
      </c>
      <c r="Q866" s="40">
        <f t="shared" si="329"/>
        <v>4.2666666666666665E-2</v>
      </c>
      <c r="R866" s="21">
        <f>IF(D866&gt;21,VLOOKUP(D866,Barem!$T$1:$U$141,2,1),0)</f>
        <v>1.4</v>
      </c>
      <c r="S866" s="152">
        <f>IF(D866&lt;1.609,0,IF(B866="F",VLOOKUP(I866,Barem!$X$2:$Z$13,2,1),VLOOKUP(I866,Barem!$X$14:$Z$25,2,1)))</f>
        <v>0</v>
      </c>
      <c r="T866" s="21">
        <f>VLOOKUP(A866,Participanti!A:C,3,0)</f>
        <v>0</v>
      </c>
      <c r="U866" s="18">
        <f t="shared" si="330"/>
        <v>4.5676666666666668</v>
      </c>
      <c r="V866" s="58" t="s">
        <v>488</v>
      </c>
      <c r="W866" s="77">
        <f t="shared" si="325"/>
        <v>1</v>
      </c>
      <c r="X866" s="1" t="str">
        <f>VLOOKUP(A866,Data_Echipe!A:R,18,0)</f>
        <v>UltraHaita lu' Borcan</v>
      </c>
      <c r="Z866" s="115">
        <f t="shared" si="331"/>
        <v>1</v>
      </c>
    </row>
    <row r="867" spans="1:26" x14ac:dyDescent="0.3">
      <c r="A867" s="49" t="s">
        <v>369</v>
      </c>
      <c r="B867" s="1" t="str">
        <f>VLOOKUP(A867,Participanti!A:B,2,0)</f>
        <v>M</v>
      </c>
      <c r="C867" s="74">
        <v>10</v>
      </c>
      <c r="D867" s="50">
        <v>27.73</v>
      </c>
      <c r="E867" s="51">
        <v>0.42212962962962958</v>
      </c>
      <c r="F867" s="51">
        <v>0.43456018518518519</v>
      </c>
      <c r="G867" s="69">
        <f t="shared" si="326"/>
        <v>0.42834490740740738</v>
      </c>
      <c r="H867" s="52">
        <v>1045</v>
      </c>
      <c r="I867" s="12">
        <f t="shared" si="327"/>
        <v>1.5446985481695182E-2</v>
      </c>
      <c r="J867" s="37">
        <f t="shared" si="328"/>
        <v>5</v>
      </c>
      <c r="K867" s="37">
        <f>IF(J867=0,0,IF(B867="F",VLOOKUP(I867,Barem!$G$2:$H$16,2,1),VLOOKUP(I867,Barem!$G$17:$H$31,2,1)))</f>
        <v>0</v>
      </c>
      <c r="L867" s="50">
        <v>1.5</v>
      </c>
      <c r="M867" s="124" t="s">
        <v>106</v>
      </c>
      <c r="N867" s="10">
        <f t="shared" si="332"/>
        <v>0.5</v>
      </c>
      <c r="O867" s="10">
        <f t="shared" si="332"/>
        <v>0.25</v>
      </c>
      <c r="P867" s="10">
        <f t="shared" si="332"/>
        <v>0.25</v>
      </c>
      <c r="Q867" s="40">
        <f t="shared" si="329"/>
        <v>0.69666666666666666</v>
      </c>
      <c r="R867" s="21">
        <f>IF(D867&gt;21,VLOOKUP(D867,Barem!$T$1:$U$141,2,1),0)</f>
        <v>0.3</v>
      </c>
      <c r="S867" s="152">
        <f>IF(D867&lt;1.609,0,IF(B867="F",VLOOKUP(I867,Barem!$X$2:$Z$13,2,1),VLOOKUP(I867,Barem!$X$14:$Z$25,2,1)))</f>
        <v>0</v>
      </c>
      <c r="T867" s="21">
        <f>VLOOKUP(A867,Participanti!A:C,3,0)</f>
        <v>0</v>
      </c>
      <c r="U867" s="18">
        <f t="shared" si="330"/>
        <v>3.8716666666666666</v>
      </c>
      <c r="V867" s="58" t="s">
        <v>488</v>
      </c>
      <c r="W867" s="77">
        <f t="shared" si="325"/>
        <v>1</v>
      </c>
      <c r="X867" s="1" t="str">
        <f>VLOOKUP(A867,Data_Echipe!A:R,18,0)</f>
        <v>MedgidiaRunning</v>
      </c>
      <c r="Z867" s="115">
        <f t="shared" si="331"/>
        <v>0</v>
      </c>
    </row>
    <row r="868" spans="1:26" x14ac:dyDescent="0.3">
      <c r="A868" s="49" t="s">
        <v>41</v>
      </c>
      <c r="B868" s="1" t="str">
        <f>VLOOKUP(A868,Participanti!A:B,2,0)</f>
        <v>M</v>
      </c>
      <c r="C868" s="74">
        <v>10</v>
      </c>
      <c r="D868" s="50">
        <v>8.32</v>
      </c>
      <c r="E868" s="51">
        <v>2.7824074074074074E-2</v>
      </c>
      <c r="F868" s="51">
        <v>2.7824074074074074E-2</v>
      </c>
      <c r="G868" s="69">
        <f t="shared" si="326"/>
        <v>2.7824074074074074E-2</v>
      </c>
      <c r="H868" s="52"/>
      <c r="I868" s="12">
        <f t="shared" si="327"/>
        <v>3.3442396723646723E-3</v>
      </c>
      <c r="J868" s="37">
        <f t="shared" si="328"/>
        <v>1.980952380952381</v>
      </c>
      <c r="K868" s="37">
        <f>IF(J868=0,0,IF(B868="F",VLOOKUP(I868,Barem!$G$2:$H$16,2,1),VLOOKUP(I868,Barem!$G$17:$H$31,2,1)))</f>
        <v>3</v>
      </c>
      <c r="L868" s="50">
        <v>2</v>
      </c>
      <c r="M868" s="124" t="s">
        <v>106</v>
      </c>
      <c r="N868" s="10">
        <f t="shared" si="332"/>
        <v>0.5</v>
      </c>
      <c r="O868" s="10">
        <f t="shared" si="332"/>
        <v>0.25</v>
      </c>
      <c r="P868" s="10">
        <f t="shared" si="332"/>
        <v>0.25</v>
      </c>
      <c r="Q868" s="40">
        <f t="shared" si="329"/>
        <v>0</v>
      </c>
      <c r="R868" s="21">
        <f>IF(D868&gt;21,VLOOKUP(D868,Barem!$T$1:$U$141,2,1),0)</f>
        <v>0</v>
      </c>
      <c r="S868" s="152">
        <f>IF(D868&lt;1.609,0,IF(B868="F",VLOOKUP(I868,Barem!$X$2:$Z$13,2,1),VLOOKUP(I868,Barem!$X$14:$Z$25,2,1)))</f>
        <v>0</v>
      </c>
      <c r="T868" s="21">
        <f>VLOOKUP(A868,Participanti!A:C,3,0)</f>
        <v>0</v>
      </c>
      <c r="U868" s="18">
        <f t="shared" si="330"/>
        <v>2.2404761904761905</v>
      </c>
      <c r="V868" s="58" t="s">
        <v>488</v>
      </c>
      <c r="W868" s="77">
        <f t="shared" si="325"/>
        <v>1</v>
      </c>
      <c r="X868" s="1" t="str">
        <f>VLOOKUP(A868,Data_Echipe!A:R,18,0)</f>
        <v>Almost Kenyan Runners</v>
      </c>
      <c r="Z868" s="115">
        <f t="shared" si="331"/>
        <v>1</v>
      </c>
    </row>
    <row r="869" spans="1:26" x14ac:dyDescent="0.3">
      <c r="A869" s="49" t="s">
        <v>51</v>
      </c>
      <c r="B869" s="1" t="str">
        <f>VLOOKUP(A869,Participanti!A:B,2,0)</f>
        <v>M</v>
      </c>
      <c r="C869" s="74">
        <v>10</v>
      </c>
      <c r="D869" s="50">
        <v>20.010000000000002</v>
      </c>
      <c r="E869" s="51">
        <v>7.9687500000000008E-2</v>
      </c>
      <c r="F869" s="51">
        <v>8.0300925925925928E-2</v>
      </c>
      <c r="G869" s="69">
        <f t="shared" si="326"/>
        <v>7.9994212962962968E-2</v>
      </c>
      <c r="H869" s="52">
        <v>700</v>
      </c>
      <c r="I869" s="12">
        <f t="shared" si="327"/>
        <v>3.9977117922520219E-3</v>
      </c>
      <c r="J869" s="37">
        <f t="shared" si="328"/>
        <v>4.7642857142857142</v>
      </c>
      <c r="K869" s="37">
        <f>IF(J869=0,0,IF(B869="F",VLOOKUP(I869,Barem!$G$2:$H$16,2,1),VLOOKUP(I869,Barem!$G$17:$H$31,2,1)))</f>
        <v>1.75</v>
      </c>
      <c r="L869" s="50">
        <v>3.75</v>
      </c>
      <c r="M869" s="124" t="s">
        <v>207</v>
      </c>
      <c r="N869" s="10">
        <f t="shared" si="332"/>
        <v>0.25</v>
      </c>
      <c r="O869" s="10">
        <f t="shared" si="332"/>
        <v>0.25</v>
      </c>
      <c r="P869" s="10">
        <f t="shared" si="332"/>
        <v>0.5</v>
      </c>
      <c r="Q869" s="40">
        <f t="shared" si="329"/>
        <v>0.46666666666666667</v>
      </c>
      <c r="R869" s="21">
        <f>IF(D869&gt;21,VLOOKUP(D869,Barem!$T$1:$U$141,2,1),0)</f>
        <v>0</v>
      </c>
      <c r="S869" s="152">
        <f>IF(D869&lt;1.609,0,IF(B869="F",VLOOKUP(I869,Barem!$X$2:$Z$13,2,1),VLOOKUP(I869,Barem!$X$14:$Z$25,2,1)))</f>
        <v>0</v>
      </c>
      <c r="T869" s="21">
        <f>VLOOKUP(A869,Participanti!A:C,3,0)</f>
        <v>0</v>
      </c>
      <c r="U869" s="18">
        <f t="shared" si="330"/>
        <v>3.9702380952380953</v>
      </c>
      <c r="V869" s="58" t="s">
        <v>488</v>
      </c>
      <c r="W869" s="77">
        <f t="shared" si="325"/>
        <v>1</v>
      </c>
      <c r="X869" s="1" t="str">
        <f>VLOOKUP(A869,Data_Echipe!A:R,18,0)</f>
        <v>The GOATs</v>
      </c>
      <c r="Z869" s="115">
        <f t="shared" si="331"/>
        <v>1</v>
      </c>
    </row>
    <row r="870" spans="1:26" x14ac:dyDescent="0.3">
      <c r="A870" s="49" t="s">
        <v>120</v>
      </c>
      <c r="B870" s="1" t="str">
        <f>VLOOKUP(A870,Participanti!A:B,2,0)</f>
        <v>M</v>
      </c>
      <c r="C870" s="74">
        <v>10</v>
      </c>
      <c r="D870" s="50">
        <v>21</v>
      </c>
      <c r="E870" s="51">
        <v>6.6770833333333335E-2</v>
      </c>
      <c r="F870" s="51">
        <v>6.9664351851851852E-2</v>
      </c>
      <c r="G870" s="69">
        <f t="shared" si="326"/>
        <v>6.8217592592592594E-2</v>
      </c>
      <c r="H870" s="52"/>
      <c r="I870" s="12">
        <f t="shared" si="327"/>
        <v>3.2484567901234569E-3</v>
      </c>
      <c r="J870" s="37">
        <f t="shared" si="328"/>
        <v>5</v>
      </c>
      <c r="K870" s="37">
        <f>IF(J870=0,0,IF(B870="F",VLOOKUP(I870,Barem!$G$2:$H$16,2,1),VLOOKUP(I870,Barem!$G$17:$H$31,2,1)))</f>
        <v>3.5</v>
      </c>
      <c r="L870" s="50">
        <v>2</v>
      </c>
      <c r="M870" s="124" t="s">
        <v>106</v>
      </c>
      <c r="N870" s="10">
        <f t="shared" si="332"/>
        <v>0.5</v>
      </c>
      <c r="O870" s="10">
        <f t="shared" si="332"/>
        <v>0.25</v>
      </c>
      <c r="P870" s="10">
        <f t="shared" si="332"/>
        <v>0.25</v>
      </c>
      <c r="Q870" s="40">
        <f t="shared" si="329"/>
        <v>0</v>
      </c>
      <c r="R870" s="21">
        <f>IF(D870&gt;21,VLOOKUP(D870,Barem!$T$1:$U$141,2,1),0)</f>
        <v>0</v>
      </c>
      <c r="S870" s="152">
        <f>IF(D870&lt;1.609,0,IF(B870="F",VLOOKUP(I870,Barem!$X$2:$Z$13,2,1),VLOOKUP(I870,Barem!$X$14:$Z$25,2,1)))</f>
        <v>0</v>
      </c>
      <c r="T870" s="21">
        <f>VLOOKUP(A870,Participanti!A:C,3,0)</f>
        <v>0</v>
      </c>
      <c r="U870" s="18">
        <f t="shared" si="330"/>
        <v>3.875</v>
      </c>
      <c r="V870" s="58" t="s">
        <v>488</v>
      </c>
      <c r="W870" s="77">
        <f t="shared" si="325"/>
        <v>1</v>
      </c>
      <c r="X870" s="1" t="str">
        <f>VLOOKUP(A870,Data_Echipe!A:R,18,0)</f>
        <v>Almost Kenyan Runners</v>
      </c>
      <c r="Z870" s="115">
        <f t="shared" si="331"/>
        <v>1</v>
      </c>
    </row>
    <row r="871" spans="1:26" x14ac:dyDescent="0.3">
      <c r="A871" s="49" t="s">
        <v>133</v>
      </c>
      <c r="B871" s="1" t="str">
        <f>VLOOKUP(A871,Participanti!A:B,2,0)</f>
        <v>M</v>
      </c>
      <c r="C871" s="74">
        <v>10</v>
      </c>
      <c r="D871" s="50">
        <v>11.25</v>
      </c>
      <c r="E871" s="51">
        <v>3.5115740740740746E-2</v>
      </c>
      <c r="F871" s="51">
        <v>3.5219907407407408E-2</v>
      </c>
      <c r="G871" s="69">
        <f t="shared" si="326"/>
        <v>3.5167824074074081E-2</v>
      </c>
      <c r="H871" s="52"/>
      <c r="I871" s="12">
        <f t="shared" si="327"/>
        <v>3.1260288065843625E-3</v>
      </c>
      <c r="J871" s="37">
        <f t="shared" si="328"/>
        <v>2.6785714285714284</v>
      </c>
      <c r="K871" s="37">
        <f>IF(J871=0,0,IF(B871="F",VLOOKUP(I871,Barem!$G$2:$H$16,2,1),VLOOKUP(I871,Barem!$G$17:$H$31,2,1)))</f>
        <v>4</v>
      </c>
      <c r="L871" s="50">
        <v>0</v>
      </c>
      <c r="M871" s="124" t="s">
        <v>106</v>
      </c>
      <c r="N871" s="10">
        <f t="shared" si="332"/>
        <v>0.5</v>
      </c>
      <c r="O871" s="10">
        <f t="shared" si="332"/>
        <v>0.25</v>
      </c>
      <c r="P871" s="10">
        <f t="shared" si="332"/>
        <v>0.25</v>
      </c>
      <c r="Q871" s="40">
        <f t="shared" si="329"/>
        <v>0</v>
      </c>
      <c r="R871" s="21">
        <f>IF(D871&gt;21,VLOOKUP(D871,Barem!$T$1:$U$141,2,1),0)</f>
        <v>0</v>
      </c>
      <c r="S871" s="152">
        <f>IF(D871&lt;1.609,0,IF(B871="F",VLOOKUP(I871,Barem!$X$2:$Z$13,2,1),VLOOKUP(I871,Barem!$X$14:$Z$25,2,1)))</f>
        <v>0</v>
      </c>
      <c r="T871" s="21">
        <f>VLOOKUP(A871,Participanti!A:C,3,0)</f>
        <v>0.4</v>
      </c>
      <c r="U871" s="18">
        <f t="shared" si="330"/>
        <v>2.7392857142857143</v>
      </c>
      <c r="V871" s="58" t="s">
        <v>488</v>
      </c>
      <c r="W871" s="77">
        <f t="shared" si="325"/>
        <v>1</v>
      </c>
      <c r="X871" s="1" t="str">
        <f>VLOOKUP(A871,Data_Echipe!A:R,18,0)</f>
        <v>UltraHaita lu' Borcan</v>
      </c>
      <c r="Z871" s="115">
        <f t="shared" si="331"/>
        <v>1</v>
      </c>
    </row>
    <row r="872" spans="1:26" x14ac:dyDescent="0.3">
      <c r="A872" s="49" t="s">
        <v>125</v>
      </c>
      <c r="B872" s="1" t="str">
        <f>VLOOKUP(A872,Participanti!A:B,2,0)</f>
        <v>M</v>
      </c>
      <c r="C872" s="74">
        <v>10</v>
      </c>
      <c r="D872" s="50">
        <v>11.17</v>
      </c>
      <c r="E872" s="51">
        <v>3.4409722222222223E-2</v>
      </c>
      <c r="F872" s="51">
        <v>3.4409722222222223E-2</v>
      </c>
      <c r="G872" s="69">
        <f t="shared" si="326"/>
        <v>3.4409722222222223E-2</v>
      </c>
      <c r="H872" s="52"/>
      <c r="I872" s="12">
        <f t="shared" si="327"/>
        <v>3.0805480950959912E-3</v>
      </c>
      <c r="J872" s="37">
        <f t="shared" si="328"/>
        <v>2.6595238095238094</v>
      </c>
      <c r="K872" s="37">
        <f>IF(J872=0,0,IF(B872="F",VLOOKUP(I872,Barem!$G$2:$H$16,2,1),VLOOKUP(I872,Barem!$G$17:$H$31,2,1)))</f>
        <v>4</v>
      </c>
      <c r="L872" s="50">
        <v>0</v>
      </c>
      <c r="M872" s="124" t="s">
        <v>106</v>
      </c>
      <c r="N872" s="10">
        <f t="shared" si="332"/>
        <v>0.5</v>
      </c>
      <c r="O872" s="10">
        <f t="shared" si="332"/>
        <v>0.25</v>
      </c>
      <c r="P872" s="10">
        <f t="shared" si="332"/>
        <v>0.25</v>
      </c>
      <c r="Q872" s="40">
        <f t="shared" si="329"/>
        <v>0</v>
      </c>
      <c r="R872" s="21">
        <f>IF(D872&gt;21,VLOOKUP(D872,Barem!$T$1:$U$141,2,1),0)</f>
        <v>0</v>
      </c>
      <c r="S872" s="152">
        <f>IF(D872&lt;1.609,0,IF(B872="F",VLOOKUP(I872,Barem!$X$2:$Z$13,2,1),VLOOKUP(I872,Barem!$X$14:$Z$25,2,1)))</f>
        <v>0</v>
      </c>
      <c r="T872" s="21">
        <f>VLOOKUP(A872,Participanti!A:C,3,0)</f>
        <v>0</v>
      </c>
      <c r="U872" s="18">
        <f t="shared" si="330"/>
        <v>2.3297619047619049</v>
      </c>
      <c r="V872" s="58" t="s">
        <v>488</v>
      </c>
      <c r="W872" s="77">
        <f t="shared" si="325"/>
        <v>1</v>
      </c>
      <c r="X872" s="1" t="str">
        <f>VLOOKUP(A872,Data_Echipe!A:R,18,0)</f>
        <v>The GOATs</v>
      </c>
      <c r="Z872" s="115">
        <f t="shared" si="331"/>
        <v>1</v>
      </c>
    </row>
    <row r="873" spans="1:26" x14ac:dyDescent="0.3">
      <c r="A873" s="49" t="s">
        <v>208</v>
      </c>
      <c r="B873" s="1" t="str">
        <f>VLOOKUP(A873,Participanti!A:B,2,0)</f>
        <v>M</v>
      </c>
      <c r="C873" s="74">
        <v>10</v>
      </c>
      <c r="D873" s="50">
        <v>24.01</v>
      </c>
      <c r="E873" s="51">
        <v>0.10162037037037037</v>
      </c>
      <c r="F873" s="51">
        <v>0.19267361111111111</v>
      </c>
      <c r="G873" s="69">
        <f t="shared" si="326"/>
        <v>0.14714699074074075</v>
      </c>
      <c r="H873" s="52">
        <v>589</v>
      </c>
      <c r="I873" s="12">
        <f t="shared" si="327"/>
        <v>6.1285710429296435E-3</v>
      </c>
      <c r="J873" s="37">
        <f t="shared" si="328"/>
        <v>5</v>
      </c>
      <c r="K873" s="37">
        <f>IF(J873=0,0,IF(B873="F",VLOOKUP(I873,Barem!$G$2:$H$16,2,1),VLOOKUP(I873,Barem!$G$17:$H$31,2,1)))</f>
        <v>0</v>
      </c>
      <c r="L873" s="50">
        <v>1</v>
      </c>
      <c r="M873" s="124" t="s">
        <v>207</v>
      </c>
      <c r="N873" s="10">
        <f t="shared" si="332"/>
        <v>0.25</v>
      </c>
      <c r="O873" s="10">
        <f t="shared" si="332"/>
        <v>0.25</v>
      </c>
      <c r="P873" s="10">
        <f t="shared" si="332"/>
        <v>0.5</v>
      </c>
      <c r="Q873" s="40">
        <f t="shared" si="329"/>
        <v>0.39266666666666666</v>
      </c>
      <c r="R873" s="21">
        <f>IF(D873&gt;21,VLOOKUP(D873,Barem!$T$1:$U$141,2,1),0)</f>
        <v>0.1</v>
      </c>
      <c r="S873" s="152">
        <f>IF(D873&lt;1.609,0,IF(B873="F",VLOOKUP(I873,Barem!$X$2:$Z$13,2,1),VLOOKUP(I873,Barem!$X$14:$Z$25,2,1)))</f>
        <v>0</v>
      </c>
      <c r="T873" s="21">
        <f>VLOOKUP(A873,Participanti!A:C,3,0)</f>
        <v>0</v>
      </c>
      <c r="U873" s="18">
        <f t="shared" si="330"/>
        <v>2.2426666666666666</v>
      </c>
      <c r="V873" s="58" t="s">
        <v>488</v>
      </c>
      <c r="W873" s="77">
        <f t="shared" si="325"/>
        <v>1</v>
      </c>
      <c r="X873" s="1" t="e">
        <f>VLOOKUP(A873,Data_Echipe!A:R,18,0)</f>
        <v>#N/A</v>
      </c>
      <c r="Z873" s="115">
        <f t="shared" si="331"/>
        <v>0</v>
      </c>
    </row>
    <row r="874" spans="1:26" x14ac:dyDescent="0.3">
      <c r="A874" s="49" t="s">
        <v>59</v>
      </c>
      <c r="B874" s="1" t="str">
        <f>VLOOKUP(A874,Participanti!A:B,2,0)</f>
        <v>M</v>
      </c>
      <c r="C874" s="74">
        <v>10</v>
      </c>
      <c r="D874" s="50">
        <v>12.01</v>
      </c>
      <c r="E874" s="51">
        <v>4.1493055555555554E-2</v>
      </c>
      <c r="F874" s="51">
        <v>4.3194444444444445E-2</v>
      </c>
      <c r="G874" s="69">
        <f t="shared" ref="G874:G881" si="333">AVERAGE(E874:F874)</f>
        <v>4.2343749999999999E-2</v>
      </c>
      <c r="H874" s="52">
        <v>171</v>
      </c>
      <c r="I874" s="12">
        <f t="shared" ref="I874:I881" si="334">G874/D874</f>
        <v>3.5257077435470441E-3</v>
      </c>
      <c r="J874" s="37">
        <f t="shared" ref="J874:J881" si="335">IF(B874="F",IF(D874&lt;2.5,0,IF(D874&gt;19.99,5,D874/4)),IF(D874&lt;3,0, IF(D874&gt;20.99,5,D874/4.2)))</f>
        <v>2.8595238095238091</v>
      </c>
      <c r="K874" s="37">
        <f>IF(J874=0,0,IF(B874="F",VLOOKUP(I874,Barem!$G$2:$H$16,2,1),VLOOKUP(I874,Barem!$G$17:$H$31,2,1)))</f>
        <v>2.5</v>
      </c>
      <c r="L874" s="50">
        <v>1.5</v>
      </c>
      <c r="M874" s="124" t="s">
        <v>107</v>
      </c>
      <c r="N874" s="10">
        <f t="shared" si="332"/>
        <v>0.25</v>
      </c>
      <c r="O874" s="10">
        <f t="shared" si="332"/>
        <v>0.5</v>
      </c>
      <c r="P874" s="10">
        <f t="shared" si="332"/>
        <v>0.25</v>
      </c>
      <c r="Q874" s="40">
        <f t="shared" ref="Q874:Q881" si="336">IF(H874&gt;49,H874/1500,0)</f>
        <v>0.114</v>
      </c>
      <c r="R874" s="21">
        <f>IF(D874&gt;21,VLOOKUP(D874,Barem!$T$1:$U$141,2,1),0)</f>
        <v>0</v>
      </c>
      <c r="S874" s="152">
        <f>IF(D874&lt;1.609,0,IF(B874="F",VLOOKUP(I874,Barem!$X$2:$Z$13,2,1),VLOOKUP(I874,Barem!$X$14:$Z$25,2,1)))</f>
        <v>0</v>
      </c>
      <c r="T874" s="21">
        <f>VLOOKUP(A874,Participanti!A:C,3,0)</f>
        <v>0</v>
      </c>
      <c r="U874" s="18">
        <f t="shared" ref="U874:U881" si="337">IF(H874&lt;0,0,J874*N874+K874*O874+L874*P874+Q874+R874+S874+T874)</f>
        <v>2.4538809523809522</v>
      </c>
      <c r="V874" s="58" t="s">
        <v>488</v>
      </c>
      <c r="W874" s="77">
        <f t="shared" si="325"/>
        <v>1</v>
      </c>
      <c r="X874" s="1" t="str">
        <f>VLOOKUP(A874,Data_Echipe!A:R,18,0)</f>
        <v>Almost Kenyan Runners</v>
      </c>
      <c r="Z874" s="115">
        <f t="shared" ref="Z874:Z881" si="338">IF(K874&gt;0,1,0)</f>
        <v>1</v>
      </c>
    </row>
    <row r="875" spans="1:26" x14ac:dyDescent="0.3">
      <c r="A875" s="49" t="s">
        <v>114</v>
      </c>
      <c r="B875" s="1" t="str">
        <f>VLOOKUP(A875,Participanti!A:B,2,0)</f>
        <v>M</v>
      </c>
      <c r="C875" s="74">
        <v>10</v>
      </c>
      <c r="D875" s="50">
        <v>11.17</v>
      </c>
      <c r="E875" s="51">
        <v>4.1493055555555554E-2</v>
      </c>
      <c r="F875" s="51">
        <v>4.2129629629629628E-2</v>
      </c>
      <c r="G875" s="69">
        <f t="shared" si="333"/>
        <v>4.1811342592592587E-2</v>
      </c>
      <c r="H875" s="52"/>
      <c r="I875" s="12">
        <f t="shared" si="334"/>
        <v>3.7431819688981726E-3</v>
      </c>
      <c r="J875" s="37">
        <f t="shared" si="335"/>
        <v>2.6595238095238094</v>
      </c>
      <c r="K875" s="37">
        <f>IF(J875=0,0,IF(B875="F",VLOOKUP(I875,Barem!$G$2:$H$16,2,1),VLOOKUP(I875,Barem!$G$17:$H$31,2,1)))</f>
        <v>2</v>
      </c>
      <c r="L875" s="50">
        <v>3.5</v>
      </c>
      <c r="M875" s="124" t="s">
        <v>107</v>
      </c>
      <c r="N875" s="10">
        <f t="shared" si="332"/>
        <v>0.25</v>
      </c>
      <c r="O875" s="10">
        <f t="shared" si="332"/>
        <v>0.5</v>
      </c>
      <c r="P875" s="10">
        <f t="shared" si="332"/>
        <v>0.25</v>
      </c>
      <c r="Q875" s="40">
        <f t="shared" si="336"/>
        <v>0</v>
      </c>
      <c r="R875" s="21">
        <f>IF(D875&gt;21,VLOOKUP(D875,Barem!$T$1:$U$141,2,1),0)</f>
        <v>0</v>
      </c>
      <c r="S875" s="152">
        <f>IF(D875&lt;1.609,0,IF(B875="F",VLOOKUP(I875,Barem!$X$2:$Z$13,2,1),VLOOKUP(I875,Barem!$X$14:$Z$25,2,1)))</f>
        <v>0</v>
      </c>
      <c r="T875" s="21">
        <f>VLOOKUP(A875,Participanti!A:C,3,0)</f>
        <v>0</v>
      </c>
      <c r="U875" s="18">
        <f t="shared" si="337"/>
        <v>2.5398809523809525</v>
      </c>
      <c r="V875" s="58" t="s">
        <v>488</v>
      </c>
      <c r="W875" s="77">
        <f t="shared" si="325"/>
        <v>1</v>
      </c>
      <c r="X875" s="1" t="str">
        <f>VLOOKUP(A875,Data_Echipe!A:R,18,0)</f>
        <v>#notSYRious</v>
      </c>
      <c r="Z875" s="115">
        <f t="shared" si="338"/>
        <v>1</v>
      </c>
    </row>
    <row r="876" spans="1:26" x14ac:dyDescent="0.3">
      <c r="A876" s="49" t="s">
        <v>108</v>
      </c>
      <c r="B876" s="1" t="str">
        <f>VLOOKUP(A876,Participanti!A:B,2,0)</f>
        <v>M</v>
      </c>
      <c r="C876" s="74">
        <v>11</v>
      </c>
      <c r="D876" s="50">
        <v>12.5</v>
      </c>
      <c r="E876" s="51">
        <v>4.1597222222222223E-2</v>
      </c>
      <c r="F876" s="51">
        <v>4.1597222222222223E-2</v>
      </c>
      <c r="G876" s="69">
        <f t="shared" si="333"/>
        <v>4.1597222222222223E-2</v>
      </c>
      <c r="H876" s="52"/>
      <c r="I876" s="12">
        <f t="shared" si="334"/>
        <v>3.327777777777778E-3</v>
      </c>
      <c r="J876" s="37">
        <f t="shared" si="335"/>
        <v>2.9761904761904763</v>
      </c>
      <c r="K876" s="37">
        <f>IF(J876=0,0,IF(B876="F",VLOOKUP(I876,Barem!$G$2:$H$16,2,1),VLOOKUP(I876,Barem!$G$17:$H$31,2,1)))</f>
        <v>3</v>
      </c>
      <c r="L876" s="50">
        <v>3</v>
      </c>
      <c r="M876" s="124" t="s">
        <v>107</v>
      </c>
      <c r="N876" s="10">
        <f t="shared" si="332"/>
        <v>0.25</v>
      </c>
      <c r="O876" s="10">
        <f t="shared" si="332"/>
        <v>0.5</v>
      </c>
      <c r="P876" s="10">
        <f t="shared" si="332"/>
        <v>0.25</v>
      </c>
      <c r="Q876" s="40">
        <f t="shared" si="336"/>
        <v>0</v>
      </c>
      <c r="R876" s="21">
        <f>IF(D876&gt;21,VLOOKUP(D876,Barem!$T$1:$U$141,2,1),0)</f>
        <v>0</v>
      </c>
      <c r="S876" s="152">
        <f>IF(D876&lt;1.609,0,IF(B876="F",VLOOKUP(I876,Barem!$X$2:$Z$13,2,1),VLOOKUP(I876,Barem!$X$14:$Z$25,2,1)))</f>
        <v>0</v>
      </c>
      <c r="T876" s="21">
        <f>VLOOKUP(A876,Participanti!A:C,3,0)</f>
        <v>0</v>
      </c>
      <c r="U876" s="18">
        <f t="shared" si="337"/>
        <v>2.9940476190476191</v>
      </c>
      <c r="V876" s="58" t="s">
        <v>489</v>
      </c>
      <c r="W876" s="77">
        <f t="shared" si="325"/>
        <v>1</v>
      </c>
      <c r="X876" s="1" t="str">
        <f>VLOOKUP(A876,Data_Echipe!A:R,18,0)</f>
        <v>UltraHaita lu' Borcan</v>
      </c>
      <c r="Z876" s="115">
        <f t="shared" si="338"/>
        <v>1</v>
      </c>
    </row>
    <row r="877" spans="1:26" x14ac:dyDescent="0.3">
      <c r="A877" s="49" t="s">
        <v>336</v>
      </c>
      <c r="B877" s="1" t="str">
        <f>VLOOKUP(A877,Participanti!A:B,2,0)</f>
        <v>M</v>
      </c>
      <c r="C877" s="74">
        <v>11</v>
      </c>
      <c r="D877" s="50">
        <v>30.09</v>
      </c>
      <c r="E877" s="51">
        <v>0.1252662037037037</v>
      </c>
      <c r="F877" s="51">
        <v>0.1252662037037037</v>
      </c>
      <c r="G877" s="69">
        <f t="shared" si="333"/>
        <v>0.1252662037037037</v>
      </c>
      <c r="H877" s="52"/>
      <c r="I877" s="12">
        <f t="shared" si="334"/>
        <v>4.1630509705451544E-3</v>
      </c>
      <c r="J877" s="37">
        <f t="shared" si="335"/>
        <v>5</v>
      </c>
      <c r="K877" s="37">
        <f>IF(J877=0,0,IF(B877="F",VLOOKUP(I877,Barem!$G$2:$H$16,2,1),VLOOKUP(I877,Barem!$G$17:$H$31,2,1)))</f>
        <v>1.5</v>
      </c>
      <c r="L877" s="50">
        <v>1</v>
      </c>
      <c r="M877" s="124" t="s">
        <v>107</v>
      </c>
      <c r="N877" s="10">
        <f t="shared" si="332"/>
        <v>0.25</v>
      </c>
      <c r="O877" s="10">
        <f t="shared" si="332"/>
        <v>0.5</v>
      </c>
      <c r="P877" s="10">
        <f t="shared" si="332"/>
        <v>0.25</v>
      </c>
      <c r="Q877" s="40">
        <f t="shared" si="336"/>
        <v>0</v>
      </c>
      <c r="R877" s="21">
        <f>IF(D877&gt;21,VLOOKUP(D877,Barem!$T$1:$U$141,2,1),0)</f>
        <v>0.4</v>
      </c>
      <c r="S877" s="152">
        <f>IF(D877&lt;1.609,0,IF(B877="F",VLOOKUP(I877,Barem!$X$2:$Z$13,2,1),VLOOKUP(I877,Barem!$X$14:$Z$25,2,1)))</f>
        <v>0</v>
      </c>
      <c r="T877" s="21">
        <f>VLOOKUP(A877,Participanti!A:C,3,0)</f>
        <v>0</v>
      </c>
      <c r="U877" s="18">
        <f t="shared" si="337"/>
        <v>2.65</v>
      </c>
      <c r="V877" s="58" t="s">
        <v>489</v>
      </c>
      <c r="W877" s="77">
        <f t="shared" si="325"/>
        <v>1</v>
      </c>
      <c r="X877" s="1" t="e">
        <f>VLOOKUP(A877,Data_Echipe!A:R,18,0)</f>
        <v>#N/A</v>
      </c>
      <c r="Z877" s="115">
        <f t="shared" si="338"/>
        <v>1</v>
      </c>
    </row>
    <row r="878" spans="1:26" x14ac:dyDescent="0.3">
      <c r="A878" s="49" t="s">
        <v>48</v>
      </c>
      <c r="B878" s="1" t="str">
        <f>VLOOKUP(A878,Participanti!A:B,2,0)</f>
        <v>M</v>
      </c>
      <c r="C878" s="74">
        <v>11</v>
      </c>
      <c r="D878" s="50">
        <v>11.59</v>
      </c>
      <c r="E878" s="51">
        <v>4.6423611111111117E-2</v>
      </c>
      <c r="F878" s="51">
        <v>5.2766203703703697E-2</v>
      </c>
      <c r="G878" s="69">
        <f t="shared" si="333"/>
        <v>4.9594907407407407E-2</v>
      </c>
      <c r="H878" s="52">
        <v>150</v>
      </c>
      <c r="I878" s="12">
        <f t="shared" si="334"/>
        <v>4.2791119419678522E-3</v>
      </c>
      <c r="J878" s="37">
        <f t="shared" si="335"/>
        <v>2.7595238095238095</v>
      </c>
      <c r="K878" s="37">
        <f>IF(J878=0,0,IF(B878="F",VLOOKUP(I878,Barem!$G$2:$H$16,2,1),VLOOKUP(I878,Barem!$G$17:$H$31,2,1)))</f>
        <v>1.25</v>
      </c>
      <c r="L878" s="50">
        <v>1.75</v>
      </c>
      <c r="M878" s="124" t="s">
        <v>106</v>
      </c>
      <c r="N878" s="10">
        <f t="shared" si="332"/>
        <v>0.5</v>
      </c>
      <c r="O878" s="10">
        <f t="shared" si="332"/>
        <v>0.25</v>
      </c>
      <c r="P878" s="10">
        <f t="shared" si="332"/>
        <v>0.25</v>
      </c>
      <c r="Q878" s="40">
        <f t="shared" si="336"/>
        <v>0.1</v>
      </c>
      <c r="R878" s="21">
        <f>IF(D878&gt;21,VLOOKUP(D878,Barem!$T$1:$U$141,2,1),0)</f>
        <v>0</v>
      </c>
      <c r="S878" s="152">
        <f>IF(D878&lt;1.609,0,IF(B878="F",VLOOKUP(I878,Barem!$X$2:$Z$13,2,1),VLOOKUP(I878,Barem!$X$14:$Z$25,2,1)))</f>
        <v>0</v>
      </c>
      <c r="T878" s="21">
        <f>VLOOKUP(A878,Participanti!A:C,3,0)</f>
        <v>0.4</v>
      </c>
      <c r="U878" s="18">
        <f t="shared" si="337"/>
        <v>2.6297619047619047</v>
      </c>
      <c r="V878" s="58" t="s">
        <v>489</v>
      </c>
      <c r="W878" s="77">
        <f t="shared" si="325"/>
        <v>1</v>
      </c>
      <c r="X878" s="1" t="str">
        <f>VLOOKUP(A878,Data_Echipe!A:R,18,0)</f>
        <v>#notSYRious</v>
      </c>
      <c r="Z878" s="115">
        <f t="shared" si="338"/>
        <v>1</v>
      </c>
    </row>
    <row r="879" spans="1:26" x14ac:dyDescent="0.3">
      <c r="A879" s="49" t="s">
        <v>241</v>
      </c>
      <c r="B879" s="1" t="str">
        <f>VLOOKUP(A879,Participanti!A:B,2,0)</f>
        <v>F</v>
      </c>
      <c r="C879" s="74">
        <v>11</v>
      </c>
      <c r="D879" s="50">
        <v>3.01</v>
      </c>
      <c r="E879" s="51">
        <v>1.2129629629629629E-2</v>
      </c>
      <c r="F879" s="51">
        <v>1.2175925925925929E-2</v>
      </c>
      <c r="G879" s="69">
        <f t="shared" si="333"/>
        <v>1.215277777777778E-2</v>
      </c>
      <c r="H879" s="52"/>
      <c r="I879" s="12">
        <f t="shared" si="334"/>
        <v>4.0374677002583985E-3</v>
      </c>
      <c r="J879" s="37">
        <f t="shared" si="335"/>
        <v>0.75249999999999995</v>
      </c>
      <c r="K879" s="37">
        <f>IF(J879=0,0,IF(B879="F",VLOOKUP(I879,Barem!$G$2:$H$16,2,1),VLOOKUP(I879,Barem!$G$17:$H$31,2,1)))</f>
        <v>2</v>
      </c>
      <c r="L879" s="50">
        <v>2</v>
      </c>
      <c r="M879" s="124" t="s">
        <v>107</v>
      </c>
      <c r="N879" s="10">
        <f t="shared" si="332"/>
        <v>0.25</v>
      </c>
      <c r="O879" s="10">
        <f t="shared" si="332"/>
        <v>0.5</v>
      </c>
      <c r="P879" s="10">
        <f t="shared" si="332"/>
        <v>0.25</v>
      </c>
      <c r="Q879" s="40">
        <f t="shared" si="336"/>
        <v>0</v>
      </c>
      <c r="R879" s="21">
        <f>IF(D879&gt;21,VLOOKUP(D879,Barem!$T$1:$U$141,2,1),0)</f>
        <v>0</v>
      </c>
      <c r="S879" s="152">
        <f>IF(D879&lt;1.609,0,IF(B879="F",VLOOKUP(I879,Barem!$X$2:$Z$13,2,1),VLOOKUP(I879,Barem!$X$14:$Z$25,2,1)))</f>
        <v>0</v>
      </c>
      <c r="T879" s="21">
        <f>VLOOKUP(A879,Participanti!A:C,3,0)</f>
        <v>0</v>
      </c>
      <c r="U879" s="18">
        <f t="shared" si="337"/>
        <v>1.6881249999999999</v>
      </c>
      <c r="V879" s="58" t="s">
        <v>489</v>
      </c>
      <c r="W879" s="77">
        <f t="shared" si="325"/>
        <v>1</v>
      </c>
      <c r="X879" s="1" t="str">
        <f>VLOOKUP(A879,Data_Echipe!A:R,18,0)</f>
        <v>Almost Kenyan Runners</v>
      </c>
      <c r="Z879" s="115">
        <f t="shared" si="338"/>
        <v>1</v>
      </c>
    </row>
    <row r="880" spans="1:26" x14ac:dyDescent="0.3">
      <c r="A880" s="49" t="s">
        <v>390</v>
      </c>
      <c r="B880" s="1" t="str">
        <f>VLOOKUP(A880,Participanti!A:B,2,0)</f>
        <v>F</v>
      </c>
      <c r="C880" s="74">
        <v>11</v>
      </c>
      <c r="D880" s="50">
        <v>9.4499999999999993</v>
      </c>
      <c r="E880" s="51">
        <v>3.7268518518518513E-2</v>
      </c>
      <c r="F880" s="51">
        <v>3.7314814814814815E-2</v>
      </c>
      <c r="G880" s="69">
        <f t="shared" si="333"/>
        <v>3.7291666666666667E-2</v>
      </c>
      <c r="H880" s="52"/>
      <c r="I880" s="12">
        <f t="shared" si="334"/>
        <v>3.9462081128747795E-3</v>
      </c>
      <c r="J880" s="37">
        <f t="shared" si="335"/>
        <v>2.3624999999999998</v>
      </c>
      <c r="K880" s="37">
        <f>IF(J880=0,0,IF(B880="F",VLOOKUP(I880,Barem!$G$2:$H$16,2,1),VLOOKUP(I880,Barem!$G$17:$H$31,2,1)))</f>
        <v>2.5</v>
      </c>
      <c r="L880" s="50">
        <v>2.5</v>
      </c>
      <c r="M880" s="124" t="s">
        <v>107</v>
      </c>
      <c r="N880" s="10">
        <f t="shared" si="332"/>
        <v>0.25</v>
      </c>
      <c r="O880" s="10">
        <f t="shared" si="332"/>
        <v>0.5</v>
      </c>
      <c r="P880" s="10">
        <f t="shared" si="332"/>
        <v>0.25</v>
      </c>
      <c r="Q880" s="40">
        <f t="shared" si="336"/>
        <v>0</v>
      </c>
      <c r="R880" s="21">
        <f>IF(D880&gt;21,VLOOKUP(D880,Barem!$T$1:$U$141,2,1),0)</f>
        <v>0</v>
      </c>
      <c r="S880" s="152">
        <f>IF(D880&lt;1.609,0,IF(B880="F",VLOOKUP(I880,Barem!$X$2:$Z$13,2,1),VLOOKUP(I880,Barem!$X$14:$Z$25,2,1)))</f>
        <v>0</v>
      </c>
      <c r="T880" s="21">
        <f>VLOOKUP(A880,Participanti!A:C,3,0)</f>
        <v>0</v>
      </c>
      <c r="U880" s="18">
        <f t="shared" si="337"/>
        <v>2.4656250000000002</v>
      </c>
      <c r="V880" s="58" t="s">
        <v>489</v>
      </c>
      <c r="W880" s="77">
        <f t="shared" si="325"/>
        <v>1</v>
      </c>
      <c r="X880" s="1" t="str">
        <f>VLOOKUP(A880,Data_Echipe!A:R,18,0)</f>
        <v>#notSYRious</v>
      </c>
      <c r="Z880" s="115">
        <f t="shared" si="338"/>
        <v>1</v>
      </c>
    </row>
    <row r="881" spans="1:26" x14ac:dyDescent="0.3">
      <c r="A881" s="49" t="s">
        <v>47</v>
      </c>
      <c r="B881" s="1" t="str">
        <f>VLOOKUP(A881,Participanti!A:B,2,0)</f>
        <v>M</v>
      </c>
      <c r="C881" s="74">
        <v>11</v>
      </c>
      <c r="D881" s="50">
        <v>19.989999999999998</v>
      </c>
      <c r="E881" s="51">
        <v>6.7962962962962961E-2</v>
      </c>
      <c r="F881" s="51">
        <v>6.8171296296296299E-2</v>
      </c>
      <c r="G881" s="69">
        <f t="shared" si="333"/>
        <v>6.806712962962963E-2</v>
      </c>
      <c r="H881" s="52"/>
      <c r="I881" s="12">
        <f t="shared" si="334"/>
        <v>3.4050590109869754E-3</v>
      </c>
      <c r="J881" s="37">
        <f t="shared" si="335"/>
        <v>4.7595238095238086</v>
      </c>
      <c r="K881" s="37">
        <f>IF(J881=0,0,IF(B881="F",VLOOKUP(I881,Barem!$G$2:$H$16,2,1),VLOOKUP(I881,Barem!$G$17:$H$31,2,1)))</f>
        <v>3</v>
      </c>
      <c r="L881" s="50">
        <v>2.5</v>
      </c>
      <c r="M881" s="124" t="s">
        <v>106</v>
      </c>
      <c r="N881" s="10">
        <f t="shared" si="332"/>
        <v>0.5</v>
      </c>
      <c r="O881" s="10">
        <f t="shared" si="332"/>
        <v>0.25</v>
      </c>
      <c r="P881" s="10">
        <f t="shared" si="332"/>
        <v>0.25</v>
      </c>
      <c r="Q881" s="40">
        <f t="shared" si="336"/>
        <v>0</v>
      </c>
      <c r="R881" s="21">
        <f>IF(D881&gt;21,VLOOKUP(D881,Barem!$T$1:$U$141,2,1),0)</f>
        <v>0</v>
      </c>
      <c r="S881" s="152">
        <f>IF(D881&lt;1.609,0,IF(B881="F",VLOOKUP(I881,Barem!$X$2:$Z$13,2,1),VLOOKUP(I881,Barem!$X$14:$Z$25,2,1)))</f>
        <v>0</v>
      </c>
      <c r="T881" s="21">
        <f>VLOOKUP(A881,Participanti!A:C,3,0)</f>
        <v>0</v>
      </c>
      <c r="U881" s="18">
        <f t="shared" si="337"/>
        <v>3.7547619047619043</v>
      </c>
      <c r="V881" s="58" t="s">
        <v>489</v>
      </c>
      <c r="W881" s="77">
        <f t="shared" si="325"/>
        <v>1</v>
      </c>
      <c r="X881" s="1" t="str">
        <f>VLOOKUP(A881,Data_Echipe!A:R,18,0)</f>
        <v>The GOATs</v>
      </c>
      <c r="Z881" s="115">
        <f t="shared" si="338"/>
        <v>1</v>
      </c>
    </row>
    <row r="882" spans="1:26" x14ac:dyDescent="0.3">
      <c r="A882" s="49" t="s">
        <v>403</v>
      </c>
      <c r="B882" s="1" t="str">
        <f>VLOOKUP(A882,Participanti!A:B,2,0)</f>
        <v>M</v>
      </c>
      <c r="C882" s="74">
        <v>11</v>
      </c>
      <c r="D882" s="50">
        <v>12.18</v>
      </c>
      <c r="E882" s="51">
        <v>4.1666666666666664E-2</v>
      </c>
      <c r="F882" s="51">
        <v>4.1666666666666664E-2</v>
      </c>
      <c r="G882" s="69">
        <f t="shared" ref="G882:G902" si="339">AVERAGE(E882:F882)</f>
        <v>4.1666666666666664E-2</v>
      </c>
      <c r="H882" s="52"/>
      <c r="I882" s="12">
        <f t="shared" ref="I882:I902" si="340">G882/D882</f>
        <v>3.4209085933223863E-3</v>
      </c>
      <c r="J882" s="37">
        <f t="shared" ref="J882:J902" si="341">IF(B882="F",IF(D882&lt;2.5,0,IF(D882&gt;19.99,5,D882/4)),IF(D882&lt;3,0, IF(D882&gt;20.99,5,D882/4.2)))</f>
        <v>2.9</v>
      </c>
      <c r="K882" s="37">
        <f>IF(J882=0,0,IF(B882="F",VLOOKUP(I882,Barem!$G$2:$H$16,2,1),VLOOKUP(I882,Barem!$G$17:$H$31,2,1)))</f>
        <v>3</v>
      </c>
      <c r="L882" s="50">
        <v>2.75</v>
      </c>
      <c r="M882" s="124" t="s">
        <v>107</v>
      </c>
      <c r="N882" s="10">
        <f t="shared" si="332"/>
        <v>0.25</v>
      </c>
      <c r="O882" s="10">
        <f t="shared" si="332"/>
        <v>0.5</v>
      </c>
      <c r="P882" s="10">
        <f t="shared" si="332"/>
        <v>0.25</v>
      </c>
      <c r="Q882" s="40">
        <f t="shared" ref="Q882:Q902" si="342">IF(H882&gt;49,H882/1500,0)</f>
        <v>0</v>
      </c>
      <c r="R882" s="21">
        <f>IF(D882&gt;21,VLOOKUP(D882,Barem!$T$1:$U$141,2,1),0)</f>
        <v>0</v>
      </c>
      <c r="S882" s="152">
        <f>IF(D882&lt;1.609,0,IF(B882="F",VLOOKUP(I882,Barem!$X$2:$Z$13,2,1),VLOOKUP(I882,Barem!$X$14:$Z$25,2,1)))</f>
        <v>0</v>
      </c>
      <c r="T882" s="21">
        <f>VLOOKUP(A882,Participanti!A:C,3,0)</f>
        <v>0</v>
      </c>
      <c r="U882" s="18">
        <f t="shared" ref="U882:U902" si="343">IF(H882&lt;0,0,J882*N882+K882*O882+L882*P882+Q882+R882+S882+T882)</f>
        <v>2.9125000000000001</v>
      </c>
      <c r="V882" s="58" t="s">
        <v>490</v>
      </c>
      <c r="W882" s="77">
        <f t="shared" si="325"/>
        <v>1</v>
      </c>
      <c r="X882" s="1" t="str">
        <f>VLOOKUP(A882,Data_Echipe!A:R,18,0)</f>
        <v>The GOATs</v>
      </c>
      <c r="Z882" s="115">
        <f t="shared" ref="Z882:Z902" si="344">IF(K882&gt;0,1,0)</f>
        <v>1</v>
      </c>
    </row>
    <row r="883" spans="1:26" x14ac:dyDescent="0.3">
      <c r="A883" s="49" t="s">
        <v>208</v>
      </c>
      <c r="B883" s="1" t="str">
        <f>VLOOKUP(A883,Participanti!A:B,2,0)</f>
        <v>M</v>
      </c>
      <c r="C883" s="74">
        <v>11</v>
      </c>
      <c r="D883" s="50">
        <v>10</v>
      </c>
      <c r="E883" s="51">
        <v>3.0081018518518521E-2</v>
      </c>
      <c r="F883" s="51">
        <v>3.0081018518518521E-2</v>
      </c>
      <c r="G883" s="69">
        <f t="shared" si="339"/>
        <v>3.0081018518518521E-2</v>
      </c>
      <c r="H883" s="52"/>
      <c r="I883" s="12">
        <f t="shared" si="340"/>
        <v>3.0081018518518521E-3</v>
      </c>
      <c r="J883" s="37">
        <f t="shared" si="341"/>
        <v>2.3809523809523809</v>
      </c>
      <c r="K883" s="37">
        <f>IF(J883=0,0,IF(B883="F",VLOOKUP(I883,Barem!$G$2:$H$16,2,1),VLOOKUP(I883,Barem!$G$17:$H$31,2,1)))</f>
        <v>4</v>
      </c>
      <c r="L883" s="50">
        <v>2.75</v>
      </c>
      <c r="M883" s="124" t="s">
        <v>107</v>
      </c>
      <c r="N883" s="10">
        <f t="shared" ref="N883:P898" si="345">IF($M883=N$1,50%,25%)</f>
        <v>0.25</v>
      </c>
      <c r="O883" s="10">
        <f t="shared" si="345"/>
        <v>0.5</v>
      </c>
      <c r="P883" s="10">
        <f t="shared" si="345"/>
        <v>0.25</v>
      </c>
      <c r="Q883" s="40">
        <f t="shared" si="342"/>
        <v>0</v>
      </c>
      <c r="R883" s="21">
        <f>IF(D883&gt;21,VLOOKUP(D883,Barem!$T$1:$U$141,2,1),0)</f>
        <v>0</v>
      </c>
      <c r="S883" s="152">
        <f>IF(D883&lt;1.609,0,IF(B883="F",VLOOKUP(I883,Barem!$X$2:$Z$13,2,1),VLOOKUP(I883,Barem!$X$14:$Z$25,2,1)))</f>
        <v>0</v>
      </c>
      <c r="T883" s="21">
        <f>VLOOKUP(A883,Participanti!A:C,3,0)</f>
        <v>0</v>
      </c>
      <c r="U883" s="18">
        <f t="shared" si="343"/>
        <v>3.2827380952380953</v>
      </c>
      <c r="V883" s="58" t="s">
        <v>491</v>
      </c>
      <c r="W883" s="77">
        <f t="shared" si="325"/>
        <v>1</v>
      </c>
      <c r="X883" s="1" t="e">
        <f>VLOOKUP(A883,Data_Echipe!A:R,18,0)</f>
        <v>#N/A</v>
      </c>
      <c r="Z883" s="115">
        <f t="shared" si="344"/>
        <v>1</v>
      </c>
    </row>
    <row r="884" spans="1:26" x14ac:dyDescent="0.3">
      <c r="A884" s="49" t="s">
        <v>124</v>
      </c>
      <c r="B884" s="1" t="str">
        <f>VLOOKUP(A884,Participanti!A:B,2,0)</f>
        <v>M</v>
      </c>
      <c r="C884" s="74">
        <v>11</v>
      </c>
      <c r="D884" s="50">
        <v>3.01</v>
      </c>
      <c r="E884" s="51">
        <v>6.6203703703703702E-3</v>
      </c>
      <c r="F884" s="51">
        <v>6.6203703703703702E-3</v>
      </c>
      <c r="G884" s="69">
        <f t="shared" si="339"/>
        <v>6.6203703703703702E-3</v>
      </c>
      <c r="H884" s="52"/>
      <c r="I884" s="12">
        <f t="shared" si="340"/>
        <v>2.1994585948074321E-3</v>
      </c>
      <c r="J884" s="37">
        <f t="shared" si="341"/>
        <v>0.71666666666666656</v>
      </c>
      <c r="K884" s="37">
        <f>IF(J884=0,0,IF(B884="F",VLOOKUP(I884,Barem!$G$2:$H$16,2,1),VLOOKUP(I884,Barem!$G$17:$H$31,2,1)))</f>
        <v>5</v>
      </c>
      <c r="L884" s="50">
        <v>3</v>
      </c>
      <c r="M884" s="124" t="s">
        <v>107</v>
      </c>
      <c r="N884" s="10">
        <f t="shared" si="345"/>
        <v>0.25</v>
      </c>
      <c r="O884" s="10">
        <f t="shared" si="345"/>
        <v>0.5</v>
      </c>
      <c r="P884" s="10">
        <f t="shared" si="345"/>
        <v>0.25</v>
      </c>
      <c r="Q884" s="40">
        <f t="shared" si="342"/>
        <v>0</v>
      </c>
      <c r="R884" s="21">
        <f>IF(D884&gt;21,VLOOKUP(D884,Barem!$T$1:$U$141,2,1),0)</f>
        <v>0</v>
      </c>
      <c r="S884" s="152">
        <f>IF(D884&lt;1.609,0,IF(B884="F",VLOOKUP(I884,Barem!$X$2:$Z$13,2,1),VLOOKUP(I884,Barem!$X$14:$Z$25,2,1)))</f>
        <v>9.8999999999999986</v>
      </c>
      <c r="T884" s="21">
        <f>VLOOKUP(A884,Participanti!A:C,3,0)</f>
        <v>0</v>
      </c>
      <c r="U884" s="18">
        <f t="shared" si="343"/>
        <v>13.329166666666666</v>
      </c>
      <c r="V884" s="58" t="s">
        <v>491</v>
      </c>
      <c r="W884" s="77">
        <f t="shared" si="325"/>
        <v>1</v>
      </c>
      <c r="X884" s="1" t="str">
        <f>VLOOKUP(A884,Data_Echipe!A:R,18,0)</f>
        <v>#notSYRious</v>
      </c>
      <c r="Z884" s="115">
        <f t="shared" si="344"/>
        <v>1</v>
      </c>
    </row>
    <row r="885" spans="1:26" x14ac:dyDescent="0.3">
      <c r="A885" s="49" t="s">
        <v>354</v>
      </c>
      <c r="B885" s="1" t="str">
        <f>VLOOKUP(A885,Participanti!A:B,2,0)</f>
        <v>M</v>
      </c>
      <c r="C885" s="74">
        <v>11</v>
      </c>
      <c r="D885" s="50">
        <v>14.08</v>
      </c>
      <c r="E885" s="51">
        <v>8.0682870370370363E-2</v>
      </c>
      <c r="F885" s="51">
        <v>0.10041666666666667</v>
      </c>
      <c r="G885" s="69">
        <f t="shared" si="339"/>
        <v>9.0549768518518509E-2</v>
      </c>
      <c r="H885" s="52">
        <v>722</v>
      </c>
      <c r="I885" s="12">
        <f t="shared" si="340"/>
        <v>6.4310915140993255E-3</v>
      </c>
      <c r="J885" s="37">
        <f t="shared" si="341"/>
        <v>3.3523809523809525</v>
      </c>
      <c r="K885" s="37">
        <f>IF(J885=0,0,IF(B885="F",VLOOKUP(I885,Barem!$G$2:$H$16,2,1),VLOOKUP(I885,Barem!$G$17:$H$31,2,1)))</f>
        <v>0</v>
      </c>
      <c r="L885" s="50">
        <v>3</v>
      </c>
      <c r="M885" s="124" t="s">
        <v>107</v>
      </c>
      <c r="N885" s="10">
        <f t="shared" si="345"/>
        <v>0.25</v>
      </c>
      <c r="O885" s="10">
        <f t="shared" si="345"/>
        <v>0.5</v>
      </c>
      <c r="P885" s="10">
        <f t="shared" si="345"/>
        <v>0.25</v>
      </c>
      <c r="Q885" s="40">
        <f t="shared" si="342"/>
        <v>0.48133333333333334</v>
      </c>
      <c r="R885" s="21">
        <f>IF(D885&gt;21,VLOOKUP(D885,Barem!$T$1:$U$141,2,1),0)</f>
        <v>0</v>
      </c>
      <c r="S885" s="152">
        <f>IF(D885&lt;1.609,0,IF(B885="F",VLOOKUP(I885,Barem!$X$2:$Z$13,2,1),VLOOKUP(I885,Barem!$X$14:$Z$25,2,1)))</f>
        <v>0</v>
      </c>
      <c r="T885" s="21">
        <f>VLOOKUP(A885,Participanti!A:C,3,0)</f>
        <v>0</v>
      </c>
      <c r="U885" s="18">
        <f t="shared" si="343"/>
        <v>2.0694285714285714</v>
      </c>
      <c r="V885" s="58" t="s">
        <v>491</v>
      </c>
      <c r="W885" s="77">
        <f t="shared" si="325"/>
        <v>1</v>
      </c>
      <c r="X885" s="1" t="e">
        <f>VLOOKUP(A885,Data_Echipe!A:R,18,0)</f>
        <v>#N/A</v>
      </c>
      <c r="Z885" s="115">
        <f t="shared" si="344"/>
        <v>0</v>
      </c>
    </row>
    <row r="886" spans="1:26" x14ac:dyDescent="0.3">
      <c r="A886" s="49" t="s">
        <v>345</v>
      </c>
      <c r="B886" s="1" t="str">
        <f>VLOOKUP(A886,Participanti!A:B,2,0)</f>
        <v>F</v>
      </c>
      <c r="C886" s="74">
        <v>11</v>
      </c>
      <c r="D886" s="50">
        <v>10</v>
      </c>
      <c r="E886" s="51">
        <v>3.876157407407408E-2</v>
      </c>
      <c r="F886" s="51">
        <v>4.1076388888888891E-2</v>
      </c>
      <c r="G886" s="69">
        <f t="shared" si="339"/>
        <v>3.9918981481481486E-2</v>
      </c>
      <c r="H886" s="52">
        <v>63</v>
      </c>
      <c r="I886" s="12">
        <f t="shared" si="340"/>
        <v>3.9918981481481489E-3</v>
      </c>
      <c r="J886" s="37">
        <f t="shared" si="341"/>
        <v>2.5</v>
      </c>
      <c r="K886" s="37">
        <f>IF(J886=0,0,IF(B886="F",VLOOKUP(I886,Barem!$G$2:$H$16,2,1),VLOOKUP(I886,Barem!$G$17:$H$31,2,1)))</f>
        <v>2.5</v>
      </c>
      <c r="L886" s="50">
        <v>2</v>
      </c>
      <c r="M886" s="124" t="s">
        <v>107</v>
      </c>
      <c r="N886" s="10">
        <f t="shared" si="345"/>
        <v>0.25</v>
      </c>
      <c r="O886" s="10">
        <f t="shared" si="345"/>
        <v>0.5</v>
      </c>
      <c r="P886" s="10">
        <f t="shared" si="345"/>
        <v>0.25</v>
      </c>
      <c r="Q886" s="40">
        <f t="shared" si="342"/>
        <v>4.2000000000000003E-2</v>
      </c>
      <c r="R886" s="21">
        <f>IF(D886&gt;21,VLOOKUP(D886,Barem!$T$1:$U$141,2,1),0)</f>
        <v>0</v>
      </c>
      <c r="S886" s="152">
        <f>IF(D886&lt;1.609,0,IF(B886="F",VLOOKUP(I886,Barem!$X$2:$Z$13,2,1),VLOOKUP(I886,Barem!$X$14:$Z$25,2,1)))</f>
        <v>0</v>
      </c>
      <c r="T886" s="21">
        <f>VLOOKUP(A886,Participanti!A:C,3,0)</f>
        <v>0</v>
      </c>
      <c r="U886" s="18">
        <f t="shared" si="343"/>
        <v>2.4169999999999998</v>
      </c>
      <c r="V886" s="58" t="s">
        <v>491</v>
      </c>
      <c r="W886" s="77">
        <f t="shared" si="325"/>
        <v>1</v>
      </c>
      <c r="X886" s="1" t="str">
        <f>VLOOKUP(A886,Data_Echipe!A:R,18,0)</f>
        <v>MedgidiaRunning</v>
      </c>
      <c r="Z886" s="115">
        <f t="shared" si="344"/>
        <v>1</v>
      </c>
    </row>
    <row r="887" spans="1:26" x14ac:dyDescent="0.3">
      <c r="A887" s="49" t="s">
        <v>378</v>
      </c>
      <c r="B887" s="1" t="str">
        <f>VLOOKUP(A887,Participanti!A:B,2,0)</f>
        <v>F</v>
      </c>
      <c r="C887" s="74">
        <v>11</v>
      </c>
      <c r="D887" s="50">
        <v>5.4</v>
      </c>
      <c r="E887" s="51">
        <v>1.6122685185185184E-2</v>
      </c>
      <c r="F887" s="51">
        <v>1.6180555555555556E-2</v>
      </c>
      <c r="G887" s="69">
        <f t="shared" si="339"/>
        <v>1.6151620370370372E-2</v>
      </c>
      <c r="H887" s="52"/>
      <c r="I887" s="12">
        <f t="shared" si="340"/>
        <v>2.9910408093278464E-3</v>
      </c>
      <c r="J887" s="37">
        <f t="shared" si="341"/>
        <v>1.35</v>
      </c>
      <c r="K887" s="37">
        <f>IF(J887=0,0,IF(B887="F",VLOOKUP(I887,Barem!$G$2:$H$16,2,1),VLOOKUP(I887,Barem!$G$17:$H$31,2,1)))</f>
        <v>5</v>
      </c>
      <c r="L887" s="50">
        <v>3.25</v>
      </c>
      <c r="M887" s="124" t="s">
        <v>107</v>
      </c>
      <c r="N887" s="10">
        <f t="shared" si="345"/>
        <v>0.25</v>
      </c>
      <c r="O887" s="10">
        <f t="shared" si="345"/>
        <v>0.5</v>
      </c>
      <c r="P887" s="10">
        <f t="shared" si="345"/>
        <v>0.25</v>
      </c>
      <c r="Q887" s="40">
        <f t="shared" si="342"/>
        <v>0</v>
      </c>
      <c r="R887" s="21">
        <f>IF(D887&gt;21,VLOOKUP(D887,Barem!$T$1:$U$141,2,1),0)</f>
        <v>0</v>
      </c>
      <c r="S887" s="152">
        <f>IF(D887&lt;1.609,0,IF(B887="F",VLOOKUP(I887,Barem!$X$2:$Z$13,2,1),VLOOKUP(I887,Barem!$X$14:$Z$25,2,1)))</f>
        <v>0.89999999999999991</v>
      </c>
      <c r="T887" s="21">
        <f>VLOOKUP(A887,Participanti!A:C,3,0)</f>
        <v>0</v>
      </c>
      <c r="U887" s="18">
        <f t="shared" si="343"/>
        <v>4.55</v>
      </c>
      <c r="V887" s="58" t="s">
        <v>492</v>
      </c>
      <c r="W887" s="77">
        <f t="shared" si="325"/>
        <v>1</v>
      </c>
      <c r="X887" s="1" t="str">
        <f>VLOOKUP(A887,Data_Echipe!A:R,18,0)</f>
        <v>MedgidiaRunning</v>
      </c>
      <c r="Z887" s="115">
        <f t="shared" si="344"/>
        <v>1</v>
      </c>
    </row>
    <row r="888" spans="1:26" x14ac:dyDescent="0.3">
      <c r="A888" s="49" t="s">
        <v>339</v>
      </c>
      <c r="B888" s="1" t="str">
        <f>VLOOKUP(A888,Participanti!A:B,2,0)</f>
        <v>M</v>
      </c>
      <c r="C888" s="74">
        <v>11</v>
      </c>
      <c r="D888" s="50">
        <v>21.1</v>
      </c>
      <c r="E888" s="51">
        <v>6.2986111111111118E-2</v>
      </c>
      <c r="F888" s="51">
        <v>6.3032407407407412E-2</v>
      </c>
      <c r="G888" s="69">
        <f t="shared" si="339"/>
        <v>6.3009259259259265E-2</v>
      </c>
      <c r="H888" s="52"/>
      <c r="I888" s="12">
        <f t="shared" si="340"/>
        <v>2.9862208179743726E-3</v>
      </c>
      <c r="J888" s="37">
        <f t="shared" si="341"/>
        <v>5</v>
      </c>
      <c r="K888" s="37">
        <f>IF(J888=0,0,IF(B888="F",VLOOKUP(I888,Barem!$G$2:$H$16,2,1),VLOOKUP(I888,Barem!$G$17:$H$31,2,1)))</f>
        <v>4</v>
      </c>
      <c r="L888" s="50">
        <v>3</v>
      </c>
      <c r="M888" s="124" t="s">
        <v>107</v>
      </c>
      <c r="N888" s="10">
        <f t="shared" si="345"/>
        <v>0.25</v>
      </c>
      <c r="O888" s="10">
        <f t="shared" si="345"/>
        <v>0.5</v>
      </c>
      <c r="P888" s="10">
        <f t="shared" si="345"/>
        <v>0.25</v>
      </c>
      <c r="Q888" s="40">
        <f t="shared" si="342"/>
        <v>0</v>
      </c>
      <c r="R888" s="21">
        <f>IF(D888&gt;21,VLOOKUP(D888,Barem!$T$1:$U$141,2,1),0)</f>
        <v>0</v>
      </c>
      <c r="S888" s="152">
        <f>IF(D888&lt;1.609,0,IF(B888="F",VLOOKUP(I888,Barem!$X$2:$Z$13,2,1),VLOOKUP(I888,Barem!$X$14:$Z$25,2,1)))</f>
        <v>0</v>
      </c>
      <c r="T888" s="21">
        <f>VLOOKUP(A888,Participanti!A:C,3,0)</f>
        <v>0</v>
      </c>
      <c r="U888" s="18">
        <f t="shared" si="343"/>
        <v>4</v>
      </c>
      <c r="V888" s="58" t="s">
        <v>492</v>
      </c>
      <c r="W888" s="77">
        <f t="shared" si="325"/>
        <v>1</v>
      </c>
      <c r="X888" s="1" t="str">
        <f>VLOOKUP(A888,Data_Echipe!A:R,18,0)</f>
        <v>MedgidiaRunning</v>
      </c>
      <c r="Z888" s="115">
        <f t="shared" si="344"/>
        <v>1</v>
      </c>
    </row>
    <row r="889" spans="1:26" x14ac:dyDescent="0.3">
      <c r="A889" s="49" t="s">
        <v>59</v>
      </c>
      <c r="B889" s="1" t="str">
        <f>VLOOKUP(A889,Participanti!A:B,2,0)</f>
        <v>M</v>
      </c>
      <c r="C889" s="74">
        <v>11</v>
      </c>
      <c r="D889" s="50">
        <v>21.12</v>
      </c>
      <c r="E889" s="51">
        <v>6.1712962962962963E-2</v>
      </c>
      <c r="F889" s="51">
        <v>6.2812499999999993E-2</v>
      </c>
      <c r="G889" s="69">
        <f t="shared" si="339"/>
        <v>6.2262731481481481E-2</v>
      </c>
      <c r="H889" s="52">
        <v>152</v>
      </c>
      <c r="I889" s="12">
        <f t="shared" si="340"/>
        <v>2.9480459981762065E-3</v>
      </c>
      <c r="J889" s="37">
        <f t="shared" si="341"/>
        <v>5</v>
      </c>
      <c r="K889" s="37">
        <f>IF(J889=0,0,IF(B889="F",VLOOKUP(I889,Barem!$G$2:$H$16,2,1),VLOOKUP(I889,Barem!$G$17:$H$31,2,1)))</f>
        <v>4.5</v>
      </c>
      <c r="L889" s="50">
        <v>3.75</v>
      </c>
      <c r="M889" s="124" t="s">
        <v>207</v>
      </c>
      <c r="N889" s="10">
        <f t="shared" si="345"/>
        <v>0.25</v>
      </c>
      <c r="O889" s="10">
        <f t="shared" si="345"/>
        <v>0.25</v>
      </c>
      <c r="P889" s="10">
        <f t="shared" si="345"/>
        <v>0.5</v>
      </c>
      <c r="Q889" s="40">
        <f t="shared" si="342"/>
        <v>0.10133333333333333</v>
      </c>
      <c r="R889" s="21">
        <f>IF(D889&gt;21,VLOOKUP(D889,Barem!$T$1:$U$141,2,1),0)</f>
        <v>0</v>
      </c>
      <c r="S889" s="152">
        <f>IF(D889&lt;1.609,0,IF(B889="F",VLOOKUP(I889,Barem!$X$2:$Z$13,2,1),VLOOKUP(I889,Barem!$X$14:$Z$25,2,1)))</f>
        <v>0</v>
      </c>
      <c r="T889" s="21">
        <f>VLOOKUP(A889,Participanti!A:C,3,0)</f>
        <v>0</v>
      </c>
      <c r="U889" s="18">
        <f t="shared" si="343"/>
        <v>4.3513333333333337</v>
      </c>
      <c r="V889" s="58" t="s">
        <v>492</v>
      </c>
      <c r="W889" s="77">
        <f t="shared" si="325"/>
        <v>1</v>
      </c>
      <c r="X889" s="1" t="str">
        <f>VLOOKUP(A889,Data_Echipe!A:R,18,0)</f>
        <v>Almost Kenyan Runners</v>
      </c>
      <c r="Z889" s="115">
        <f t="shared" si="344"/>
        <v>1</v>
      </c>
    </row>
    <row r="890" spans="1:26" x14ac:dyDescent="0.3">
      <c r="A890" s="49" t="s">
        <v>296</v>
      </c>
      <c r="B890" s="1" t="str">
        <f>VLOOKUP(A890,Participanti!A:B,2,0)</f>
        <v>M</v>
      </c>
      <c r="C890" s="74">
        <v>11</v>
      </c>
      <c r="D890" s="50">
        <v>9</v>
      </c>
      <c r="E890" s="51">
        <v>4.6261574074074073E-2</v>
      </c>
      <c r="F890" s="51">
        <v>4.6342592592592595E-2</v>
      </c>
      <c r="G890" s="69">
        <f t="shared" si="339"/>
        <v>4.6302083333333334E-2</v>
      </c>
      <c r="H890" s="52">
        <v>70</v>
      </c>
      <c r="I890" s="12">
        <f t="shared" si="340"/>
        <v>5.1446759259259258E-3</v>
      </c>
      <c r="J890" s="37">
        <f t="shared" si="341"/>
        <v>2.1428571428571428</v>
      </c>
      <c r="K890" s="37">
        <f>IF(J890=0,0,IF(B890="F",VLOOKUP(I890,Barem!$G$2:$H$16,2,1),VLOOKUP(I890,Barem!$G$17:$H$31,2,1)))</f>
        <v>0.25</v>
      </c>
      <c r="L890" s="50">
        <v>2.5</v>
      </c>
      <c r="M890" s="124" t="s">
        <v>107</v>
      </c>
      <c r="N890" s="10">
        <f t="shared" si="345"/>
        <v>0.25</v>
      </c>
      <c r="O890" s="10">
        <f t="shared" si="345"/>
        <v>0.5</v>
      </c>
      <c r="P890" s="10">
        <f t="shared" si="345"/>
        <v>0.25</v>
      </c>
      <c r="Q890" s="40">
        <f t="shared" si="342"/>
        <v>4.6666666666666669E-2</v>
      </c>
      <c r="R890" s="21">
        <f>IF(D890&gt;21,VLOOKUP(D890,Barem!$T$1:$U$141,2,1),0)</f>
        <v>0</v>
      </c>
      <c r="S890" s="152">
        <f>IF(D890&lt;1.609,0,IF(B890="F",VLOOKUP(I890,Barem!$X$2:$Z$13,2,1),VLOOKUP(I890,Barem!$X$14:$Z$25,2,1)))</f>
        <v>0</v>
      </c>
      <c r="T890" s="21">
        <f>VLOOKUP(A890,Participanti!A:C,3,0)</f>
        <v>0</v>
      </c>
      <c r="U890" s="18">
        <f t="shared" si="343"/>
        <v>1.3323809523809522</v>
      </c>
      <c r="V890" s="58" t="s">
        <v>492</v>
      </c>
      <c r="W890" s="77">
        <f t="shared" si="325"/>
        <v>1</v>
      </c>
      <c r="X890" s="1" t="str">
        <f>VLOOKUP(A890,Data_Echipe!A:R,18,0)</f>
        <v>MedgidiaRunning</v>
      </c>
      <c r="Z890" s="115">
        <f t="shared" si="344"/>
        <v>1</v>
      </c>
    </row>
    <row r="891" spans="1:26" x14ac:dyDescent="0.3">
      <c r="A891" s="49" t="s">
        <v>331</v>
      </c>
      <c r="B891" s="1" t="str">
        <f>VLOOKUP(A891,Participanti!A:B,2,0)</f>
        <v>F</v>
      </c>
      <c r="C891" s="74">
        <v>11</v>
      </c>
      <c r="D891" s="50">
        <v>10.26</v>
      </c>
      <c r="E891" s="51">
        <v>3.8703703703703705E-2</v>
      </c>
      <c r="F891" s="51">
        <v>3.8877314814814816E-2</v>
      </c>
      <c r="G891" s="69">
        <f t="shared" si="339"/>
        <v>3.8790509259259261E-2</v>
      </c>
      <c r="H891" s="52"/>
      <c r="I891" s="12">
        <f t="shared" si="340"/>
        <v>3.7807513897913508E-3</v>
      </c>
      <c r="J891" s="37">
        <f t="shared" si="341"/>
        <v>2.5649999999999999</v>
      </c>
      <c r="K891" s="37">
        <f>IF(J891=0,0,IF(B891="F",VLOOKUP(I891,Barem!$G$2:$H$16,2,1),VLOOKUP(I891,Barem!$G$17:$H$31,2,1)))</f>
        <v>3</v>
      </c>
      <c r="L891" s="50">
        <v>3</v>
      </c>
      <c r="M891" s="124" t="s">
        <v>107</v>
      </c>
      <c r="N891" s="10">
        <f t="shared" si="345"/>
        <v>0.25</v>
      </c>
      <c r="O891" s="10">
        <f t="shared" si="345"/>
        <v>0.5</v>
      </c>
      <c r="P891" s="10">
        <f t="shared" si="345"/>
        <v>0.25</v>
      </c>
      <c r="Q891" s="40">
        <f t="shared" si="342"/>
        <v>0</v>
      </c>
      <c r="R891" s="21">
        <f>IF(D891&gt;21,VLOOKUP(D891,Barem!$T$1:$U$141,2,1),0)</f>
        <v>0</v>
      </c>
      <c r="S891" s="152">
        <f>IF(D891&lt;1.609,0,IF(B891="F",VLOOKUP(I891,Barem!$X$2:$Z$13,2,1),VLOOKUP(I891,Barem!$X$14:$Z$25,2,1)))</f>
        <v>0</v>
      </c>
      <c r="T891" s="21">
        <f>VLOOKUP(A891,Participanti!A:C,3,0)</f>
        <v>0</v>
      </c>
      <c r="U891" s="18">
        <f t="shared" si="343"/>
        <v>2.8912499999999999</v>
      </c>
      <c r="V891" s="58" t="s">
        <v>492</v>
      </c>
      <c r="W891" s="77">
        <f t="shared" si="325"/>
        <v>1</v>
      </c>
      <c r="X891" s="1" t="str">
        <f>VLOOKUP(A891,Data_Echipe!A:R,18,0)</f>
        <v>MedgidiaRunning</v>
      </c>
      <c r="Z891" s="115">
        <f t="shared" si="344"/>
        <v>1</v>
      </c>
    </row>
    <row r="892" spans="1:26" x14ac:dyDescent="0.3">
      <c r="A892" s="49" t="s">
        <v>355</v>
      </c>
      <c r="B892" s="1" t="str">
        <f>VLOOKUP(A892,Participanti!A:B,2,0)</f>
        <v>F</v>
      </c>
      <c r="C892" s="74">
        <v>11</v>
      </c>
      <c r="D892" s="50">
        <v>5.28</v>
      </c>
      <c r="E892" s="51">
        <v>2.0057870370370368E-2</v>
      </c>
      <c r="F892" s="51">
        <v>2.011574074074074E-2</v>
      </c>
      <c r="G892" s="69">
        <f t="shared" si="339"/>
        <v>2.0086805555555552E-2</v>
      </c>
      <c r="H892" s="52"/>
      <c r="I892" s="12">
        <f t="shared" si="340"/>
        <v>3.8043192340067333E-3</v>
      </c>
      <c r="J892" s="37">
        <f t="shared" si="341"/>
        <v>1.32</v>
      </c>
      <c r="K892" s="37">
        <f>IF(J892=0,0,IF(B892="F",VLOOKUP(I892,Barem!$G$2:$H$16,2,1),VLOOKUP(I892,Barem!$G$17:$H$31,2,1)))</f>
        <v>3</v>
      </c>
      <c r="L892" s="50">
        <v>3.25</v>
      </c>
      <c r="M892" s="124" t="s">
        <v>107</v>
      </c>
      <c r="N892" s="10">
        <f t="shared" si="345"/>
        <v>0.25</v>
      </c>
      <c r="O892" s="10">
        <f t="shared" si="345"/>
        <v>0.5</v>
      </c>
      <c r="P892" s="10">
        <f t="shared" si="345"/>
        <v>0.25</v>
      </c>
      <c r="Q892" s="40">
        <f t="shared" si="342"/>
        <v>0</v>
      </c>
      <c r="R892" s="21">
        <f>IF(D892&gt;21,VLOOKUP(D892,Barem!$T$1:$U$141,2,1),0)</f>
        <v>0</v>
      </c>
      <c r="S892" s="152">
        <f>IF(D892&lt;1.609,0,IF(B892="F",VLOOKUP(I892,Barem!$X$2:$Z$13,2,1),VLOOKUP(I892,Barem!$X$14:$Z$25,2,1)))</f>
        <v>0</v>
      </c>
      <c r="T892" s="21">
        <f>VLOOKUP(A892,Participanti!A:C,3,0)</f>
        <v>0</v>
      </c>
      <c r="U892" s="18">
        <f t="shared" si="343"/>
        <v>2.6425000000000001</v>
      </c>
      <c r="V892" s="58" t="s">
        <v>492</v>
      </c>
      <c r="W892" s="77">
        <f t="shared" si="325"/>
        <v>1</v>
      </c>
      <c r="X892" s="1" t="str">
        <f>VLOOKUP(A892,Data_Echipe!A:R,18,0)</f>
        <v>#notSYRious</v>
      </c>
      <c r="Z892" s="115">
        <f t="shared" si="344"/>
        <v>1</v>
      </c>
    </row>
    <row r="893" spans="1:26" x14ac:dyDescent="0.3">
      <c r="A893" s="49" t="s">
        <v>252</v>
      </c>
      <c r="B893" s="1" t="str">
        <f>VLOOKUP(A893,Participanti!A:B,2,0)</f>
        <v>M</v>
      </c>
      <c r="C893" s="74">
        <v>11</v>
      </c>
      <c r="D893" s="50">
        <v>10.25</v>
      </c>
      <c r="E893" s="51">
        <v>2.8923611111111108E-2</v>
      </c>
      <c r="F893" s="51">
        <v>2.8923611111111108E-2</v>
      </c>
      <c r="G893" s="69">
        <f t="shared" si="339"/>
        <v>2.8923611111111108E-2</v>
      </c>
      <c r="H893" s="52"/>
      <c r="I893" s="12">
        <f t="shared" si="340"/>
        <v>2.8218157181571814E-3</v>
      </c>
      <c r="J893" s="37">
        <f t="shared" si="341"/>
        <v>2.4404761904761902</v>
      </c>
      <c r="K893" s="37">
        <f>IF(J893=0,0,IF(B893="F",VLOOKUP(I893,Barem!$G$2:$H$16,2,1),VLOOKUP(I893,Barem!$G$17:$H$31,2,1)))</f>
        <v>4.5</v>
      </c>
      <c r="L893" s="50">
        <v>2.75</v>
      </c>
      <c r="M893" s="124" t="s">
        <v>107</v>
      </c>
      <c r="N893" s="10">
        <f t="shared" si="345"/>
        <v>0.25</v>
      </c>
      <c r="O893" s="10">
        <f t="shared" si="345"/>
        <v>0.5</v>
      </c>
      <c r="P893" s="10">
        <f t="shared" si="345"/>
        <v>0.25</v>
      </c>
      <c r="Q893" s="40">
        <f t="shared" si="342"/>
        <v>0</v>
      </c>
      <c r="R893" s="21">
        <f>IF(D893&gt;21,VLOOKUP(D893,Barem!$T$1:$U$141,2,1),0)</f>
        <v>0</v>
      </c>
      <c r="S893" s="152">
        <f>IF(D893&lt;1.609,0,IF(B893="F",VLOOKUP(I893,Barem!$X$2:$Z$13,2,1),VLOOKUP(I893,Barem!$X$14:$Z$25,2,1)))</f>
        <v>0</v>
      </c>
      <c r="T893" s="21">
        <f>VLOOKUP(A893,Participanti!A:C,3,0)</f>
        <v>0</v>
      </c>
      <c r="U893" s="18">
        <f t="shared" si="343"/>
        <v>3.5476190476190474</v>
      </c>
      <c r="V893" s="58" t="s">
        <v>492</v>
      </c>
      <c r="W893" s="77">
        <f t="shared" si="325"/>
        <v>1</v>
      </c>
      <c r="X893" s="1" t="str">
        <f>VLOOKUP(A893,Data_Echipe!A:R,18,0)</f>
        <v>UltraHaita lu' Borcan</v>
      </c>
      <c r="Z893" s="115">
        <f t="shared" si="344"/>
        <v>1</v>
      </c>
    </row>
    <row r="894" spans="1:26" x14ac:dyDescent="0.3">
      <c r="A894" s="49" t="s">
        <v>275</v>
      </c>
      <c r="B894" s="1" t="str">
        <f>VLOOKUP(A894,Participanti!A:B,2,0)</f>
        <v>M</v>
      </c>
      <c r="C894" s="74">
        <v>11</v>
      </c>
      <c r="D894" s="50">
        <v>21.39</v>
      </c>
      <c r="E894" s="51">
        <v>6.3148148148148148E-2</v>
      </c>
      <c r="F894" s="51">
        <v>6.3194444444444442E-2</v>
      </c>
      <c r="G894" s="69">
        <f t="shared" si="339"/>
        <v>6.3171296296296295E-2</v>
      </c>
      <c r="H894" s="52">
        <v>50</v>
      </c>
      <c r="I894" s="12">
        <f t="shared" si="340"/>
        <v>2.9533097847730854E-3</v>
      </c>
      <c r="J894" s="37">
        <f t="shared" si="341"/>
        <v>5</v>
      </c>
      <c r="K894" s="37">
        <f>IF(J894=0,0,IF(B894="F",VLOOKUP(I894,Barem!$G$2:$H$16,2,1),VLOOKUP(I894,Barem!$G$17:$H$31,2,1)))</f>
        <v>4.5</v>
      </c>
      <c r="L894" s="50">
        <v>2.5</v>
      </c>
      <c r="M894" s="124" t="s">
        <v>107</v>
      </c>
      <c r="N894" s="10">
        <f t="shared" si="345"/>
        <v>0.25</v>
      </c>
      <c r="O894" s="10">
        <f t="shared" si="345"/>
        <v>0.5</v>
      </c>
      <c r="P894" s="10">
        <f t="shared" si="345"/>
        <v>0.25</v>
      </c>
      <c r="Q894" s="40">
        <f t="shared" si="342"/>
        <v>3.3333333333333333E-2</v>
      </c>
      <c r="R894" s="21">
        <f>IF(D894&gt;21,VLOOKUP(D894,Barem!$T$1:$U$141,2,1),0)</f>
        <v>0</v>
      </c>
      <c r="S894" s="152">
        <f>IF(D894&lt;1.609,0,IF(B894="F",VLOOKUP(I894,Barem!$X$2:$Z$13,2,1),VLOOKUP(I894,Barem!$X$14:$Z$25,2,1)))</f>
        <v>0</v>
      </c>
      <c r="T894" s="21">
        <f>VLOOKUP(A894,Participanti!A:C,3,0)</f>
        <v>0</v>
      </c>
      <c r="U894" s="18">
        <f t="shared" si="343"/>
        <v>4.1583333333333332</v>
      </c>
      <c r="V894" s="58" t="s">
        <v>492</v>
      </c>
      <c r="W894" s="77">
        <f t="shared" si="325"/>
        <v>1</v>
      </c>
      <c r="X894" s="1" t="e">
        <f>VLOOKUP(A894,Data_Echipe!A:R,18,0)</f>
        <v>#N/A</v>
      </c>
      <c r="Z894" s="115">
        <f t="shared" si="344"/>
        <v>1</v>
      </c>
    </row>
    <row r="895" spans="1:26" x14ac:dyDescent="0.3">
      <c r="A895" s="49" t="s">
        <v>356</v>
      </c>
      <c r="B895" s="1" t="str">
        <f>VLOOKUP(A895,Participanti!A:B,2,0)</f>
        <v>M</v>
      </c>
      <c r="C895" s="74">
        <v>11</v>
      </c>
      <c r="D895" s="50">
        <v>10.23</v>
      </c>
      <c r="E895" s="51">
        <v>3.2939814814814811E-2</v>
      </c>
      <c r="F895" s="51">
        <v>3.3009259259259259E-2</v>
      </c>
      <c r="G895" s="69">
        <f t="shared" si="339"/>
        <v>3.2974537037037038E-2</v>
      </c>
      <c r="H895" s="52"/>
      <c r="I895" s="12">
        <f t="shared" si="340"/>
        <v>3.2233174034249305E-3</v>
      </c>
      <c r="J895" s="37">
        <f t="shared" si="341"/>
        <v>2.4357142857142855</v>
      </c>
      <c r="K895" s="37">
        <f>IF(J895=0,0,IF(B895="F",VLOOKUP(I895,Barem!$G$2:$H$16,2,1),VLOOKUP(I895,Barem!$G$17:$H$31,2,1)))</f>
        <v>3.5</v>
      </c>
      <c r="L895" s="50">
        <v>3.75</v>
      </c>
      <c r="M895" s="124" t="s">
        <v>207</v>
      </c>
      <c r="N895" s="10">
        <f t="shared" si="345"/>
        <v>0.25</v>
      </c>
      <c r="O895" s="10">
        <f t="shared" si="345"/>
        <v>0.25</v>
      </c>
      <c r="P895" s="10">
        <f t="shared" si="345"/>
        <v>0.5</v>
      </c>
      <c r="Q895" s="40">
        <f t="shared" si="342"/>
        <v>0</v>
      </c>
      <c r="R895" s="21">
        <f>IF(D895&gt;21,VLOOKUP(D895,Barem!$T$1:$U$141,2,1),0)</f>
        <v>0</v>
      </c>
      <c r="S895" s="152">
        <f>IF(D895&lt;1.609,0,IF(B895="F",VLOOKUP(I895,Barem!$X$2:$Z$13,2,1),VLOOKUP(I895,Barem!$X$14:$Z$25,2,1)))</f>
        <v>0</v>
      </c>
      <c r="T895" s="21">
        <f>VLOOKUP(A895,Participanti!A:C,3,0)</f>
        <v>0</v>
      </c>
      <c r="U895" s="18">
        <f t="shared" si="343"/>
        <v>3.3589285714285713</v>
      </c>
      <c r="V895" s="58" t="s">
        <v>492</v>
      </c>
      <c r="W895" s="77">
        <f t="shared" si="325"/>
        <v>1</v>
      </c>
      <c r="X895" s="1" t="str">
        <f>VLOOKUP(A895,Data_Echipe!A:R,18,0)</f>
        <v>MedgidiaRunning</v>
      </c>
      <c r="Z895" s="115">
        <f t="shared" si="344"/>
        <v>1</v>
      </c>
    </row>
    <row r="896" spans="1:26" x14ac:dyDescent="0.3">
      <c r="A896" s="49" t="s">
        <v>347</v>
      </c>
      <c r="B896" s="1" t="str">
        <f>VLOOKUP(A896,Participanti!A:B,2,0)</f>
        <v>F</v>
      </c>
      <c r="C896" s="74">
        <v>11</v>
      </c>
      <c r="D896" s="50">
        <v>12.04</v>
      </c>
      <c r="E896" s="51">
        <v>4.5243055555555557E-2</v>
      </c>
      <c r="F896" s="51">
        <v>4.5578703703703705E-2</v>
      </c>
      <c r="G896" s="69">
        <f t="shared" si="339"/>
        <v>4.5410879629629627E-2</v>
      </c>
      <c r="H896" s="52"/>
      <c r="I896" s="12">
        <f t="shared" si="340"/>
        <v>3.7716677433247202E-3</v>
      </c>
      <c r="J896" s="37">
        <f t="shared" si="341"/>
        <v>3.01</v>
      </c>
      <c r="K896" s="37">
        <f>IF(J896=0,0,IF(B896="F",VLOOKUP(I896,Barem!$G$2:$H$16,2,1),VLOOKUP(I896,Barem!$G$17:$H$31,2,1)))</f>
        <v>3</v>
      </c>
      <c r="L896" s="50">
        <v>2.75</v>
      </c>
      <c r="M896" s="124" t="s">
        <v>106</v>
      </c>
      <c r="N896" s="10">
        <f t="shared" si="345"/>
        <v>0.5</v>
      </c>
      <c r="O896" s="10">
        <f t="shared" si="345"/>
        <v>0.25</v>
      </c>
      <c r="P896" s="10">
        <f t="shared" si="345"/>
        <v>0.25</v>
      </c>
      <c r="Q896" s="40">
        <f t="shared" si="342"/>
        <v>0</v>
      </c>
      <c r="R896" s="21">
        <f>IF(D896&gt;21,VLOOKUP(D896,Barem!$T$1:$U$141,2,1),0)</f>
        <v>0</v>
      </c>
      <c r="S896" s="152">
        <f>IF(D896&lt;1.609,0,IF(B896="F",VLOOKUP(I896,Barem!$X$2:$Z$13,2,1),VLOOKUP(I896,Barem!$X$14:$Z$25,2,1)))</f>
        <v>0</v>
      </c>
      <c r="T896" s="21">
        <f>VLOOKUP(A896,Participanti!A:C,3,0)</f>
        <v>0</v>
      </c>
      <c r="U896" s="18">
        <f t="shared" si="343"/>
        <v>2.9424999999999999</v>
      </c>
      <c r="V896" s="58" t="s">
        <v>492</v>
      </c>
      <c r="W896" s="77">
        <f t="shared" si="325"/>
        <v>1</v>
      </c>
      <c r="X896" s="1" t="str">
        <f>VLOOKUP(A896,Data_Echipe!A:R,18,0)</f>
        <v>MedgidiaRunning</v>
      </c>
      <c r="Z896" s="115">
        <f t="shared" si="344"/>
        <v>1</v>
      </c>
    </row>
    <row r="897" spans="1:26" x14ac:dyDescent="0.3">
      <c r="A897" s="49" t="s">
        <v>225</v>
      </c>
      <c r="B897" s="1" t="str">
        <f>VLOOKUP(A897,Participanti!A:B,2,0)</f>
        <v>F</v>
      </c>
      <c r="C897" s="74">
        <v>11</v>
      </c>
      <c r="D897" s="50">
        <v>21.35</v>
      </c>
      <c r="E897" s="51">
        <v>7.0810185185185184E-2</v>
      </c>
      <c r="F897" s="51">
        <v>7.0937500000000001E-2</v>
      </c>
      <c r="G897" s="69">
        <f t="shared" si="339"/>
        <v>7.0873842592592592E-2</v>
      </c>
      <c r="H897" s="52">
        <v>51</v>
      </c>
      <c r="I897" s="12">
        <f t="shared" si="340"/>
        <v>3.3196179200277558E-3</v>
      </c>
      <c r="J897" s="37">
        <f t="shared" si="341"/>
        <v>5</v>
      </c>
      <c r="K897" s="37">
        <f>IF(J897=0,0,IF(B897="F",VLOOKUP(I897,Barem!$G$2:$H$16,2,1),VLOOKUP(I897,Barem!$G$17:$H$31,2,1)))</f>
        <v>4</v>
      </c>
      <c r="L897" s="50">
        <v>3.75</v>
      </c>
      <c r="M897" s="124" t="s">
        <v>107</v>
      </c>
      <c r="N897" s="10">
        <f t="shared" si="345"/>
        <v>0.25</v>
      </c>
      <c r="O897" s="10">
        <f t="shared" si="345"/>
        <v>0.5</v>
      </c>
      <c r="P897" s="10">
        <f t="shared" si="345"/>
        <v>0.25</v>
      </c>
      <c r="Q897" s="40">
        <f t="shared" si="342"/>
        <v>3.4000000000000002E-2</v>
      </c>
      <c r="R897" s="21">
        <f>IF(D897&gt;21,VLOOKUP(D897,Barem!$T$1:$U$141,2,1),0)</f>
        <v>0</v>
      </c>
      <c r="S897" s="152">
        <f>IF(D897&lt;1.609,0,IF(B897="F",VLOOKUP(I897,Barem!$X$2:$Z$13,2,1),VLOOKUP(I897,Barem!$X$14:$Z$25,2,1)))</f>
        <v>0</v>
      </c>
      <c r="T897" s="21">
        <f>VLOOKUP(A897,Participanti!A:C,3,0)</f>
        <v>0</v>
      </c>
      <c r="U897" s="18">
        <f t="shared" si="343"/>
        <v>4.2214999999999998</v>
      </c>
      <c r="V897" s="58" t="s">
        <v>492</v>
      </c>
      <c r="W897" s="77">
        <f t="shared" si="325"/>
        <v>1</v>
      </c>
      <c r="X897" s="1" t="str">
        <f>VLOOKUP(A897,Data_Echipe!A:R,18,0)</f>
        <v>The GOATs</v>
      </c>
      <c r="Z897" s="115">
        <f t="shared" si="344"/>
        <v>1</v>
      </c>
    </row>
    <row r="898" spans="1:26" x14ac:dyDescent="0.3">
      <c r="A898" s="49" t="s">
        <v>132</v>
      </c>
      <c r="B898" s="1" t="str">
        <f>VLOOKUP(A898,Participanti!A:B,2,0)</f>
        <v>F</v>
      </c>
      <c r="C898" s="74">
        <v>11</v>
      </c>
      <c r="D898" s="50">
        <v>21.6</v>
      </c>
      <c r="E898" s="51">
        <v>8.9502314814814812E-2</v>
      </c>
      <c r="F898" s="51">
        <v>9.0740740740740733E-2</v>
      </c>
      <c r="G898" s="69">
        <f t="shared" si="339"/>
        <v>9.0121527777777766E-2</v>
      </c>
      <c r="H898" s="52"/>
      <c r="I898" s="12">
        <f t="shared" si="340"/>
        <v>4.1722929526748966E-3</v>
      </c>
      <c r="J898" s="37">
        <f t="shared" si="341"/>
        <v>5</v>
      </c>
      <c r="K898" s="37">
        <f>IF(J898=0,0,IF(B898="F",VLOOKUP(I898,Barem!$G$2:$H$16,2,1),VLOOKUP(I898,Barem!$G$17:$H$31,2,1)))</f>
        <v>2</v>
      </c>
      <c r="L898" s="50">
        <v>3.25</v>
      </c>
      <c r="M898" s="124" t="s">
        <v>106</v>
      </c>
      <c r="N898" s="10">
        <f t="shared" si="345"/>
        <v>0.5</v>
      </c>
      <c r="O898" s="10">
        <f t="shared" si="345"/>
        <v>0.25</v>
      </c>
      <c r="P898" s="10">
        <f t="shared" si="345"/>
        <v>0.25</v>
      </c>
      <c r="Q898" s="40">
        <f t="shared" si="342"/>
        <v>0</v>
      </c>
      <c r="R898" s="21">
        <f>IF(D898&gt;21,VLOOKUP(D898,Barem!$T$1:$U$141,2,1),0)</f>
        <v>0</v>
      </c>
      <c r="S898" s="152">
        <f>IF(D898&lt;1.609,0,IF(B898="F",VLOOKUP(I898,Barem!$X$2:$Z$13,2,1),VLOOKUP(I898,Barem!$X$14:$Z$25,2,1)))</f>
        <v>0</v>
      </c>
      <c r="T898" s="21">
        <f>VLOOKUP(A898,Participanti!A:C,3,0)</f>
        <v>0</v>
      </c>
      <c r="U898" s="18">
        <f t="shared" si="343"/>
        <v>3.8125</v>
      </c>
      <c r="V898" s="58" t="s">
        <v>492</v>
      </c>
      <c r="W898" s="77">
        <f t="shared" ref="W898:W961" si="346">COUNTIFS(A:A,A898,C:C,C898)</f>
        <v>1</v>
      </c>
      <c r="X898" s="1" t="str">
        <f>VLOOKUP(A898,Data_Echipe!A:R,18,0)</f>
        <v>MedgidiaRunning</v>
      </c>
      <c r="Z898" s="115">
        <f t="shared" si="344"/>
        <v>1</v>
      </c>
    </row>
    <row r="899" spans="1:26" x14ac:dyDescent="0.3">
      <c r="A899" s="49" t="s">
        <v>300</v>
      </c>
      <c r="B899" s="1" t="str">
        <f>VLOOKUP(A899,Participanti!A:B,2,0)</f>
        <v>M</v>
      </c>
      <c r="C899" s="74">
        <v>11</v>
      </c>
      <c r="D899" s="50">
        <v>4.3</v>
      </c>
      <c r="E899" s="51">
        <v>1.2743055555555556E-2</v>
      </c>
      <c r="F899" s="51">
        <v>1.2743055555555556E-2</v>
      </c>
      <c r="G899" s="69">
        <f t="shared" si="339"/>
        <v>1.2743055555555556E-2</v>
      </c>
      <c r="H899" s="52"/>
      <c r="I899" s="12">
        <f t="shared" si="340"/>
        <v>2.9635012919896641E-3</v>
      </c>
      <c r="J899" s="37">
        <f t="shared" si="341"/>
        <v>1.0238095238095237</v>
      </c>
      <c r="K899" s="37">
        <f>IF(J899=0,0,IF(B899="F",VLOOKUP(I899,Barem!$G$2:$H$16,2,1),VLOOKUP(I899,Barem!$G$17:$H$31,2,1)))</f>
        <v>4</v>
      </c>
      <c r="L899" s="50">
        <v>3</v>
      </c>
      <c r="M899" s="124" t="s">
        <v>107</v>
      </c>
      <c r="N899" s="10">
        <f t="shared" ref="N899:P916" si="347">IF($M899=N$1,50%,25%)</f>
        <v>0.25</v>
      </c>
      <c r="O899" s="10">
        <f t="shared" si="347"/>
        <v>0.5</v>
      </c>
      <c r="P899" s="10">
        <f t="shared" si="347"/>
        <v>0.25</v>
      </c>
      <c r="Q899" s="40">
        <f t="shared" si="342"/>
        <v>0</v>
      </c>
      <c r="R899" s="21">
        <f>IF(D899&gt;21,VLOOKUP(D899,Barem!$T$1:$U$141,2,1),0)</f>
        <v>0</v>
      </c>
      <c r="S899" s="152">
        <f>IF(D899&lt;1.609,0,IF(B899="F",VLOOKUP(I899,Barem!$X$2:$Z$13,2,1),VLOOKUP(I899,Barem!$X$14:$Z$25,2,1)))</f>
        <v>0</v>
      </c>
      <c r="T899" s="21">
        <f>VLOOKUP(A899,Participanti!A:C,3,0)</f>
        <v>0</v>
      </c>
      <c r="U899" s="18">
        <f t="shared" si="343"/>
        <v>3.0059523809523809</v>
      </c>
      <c r="V899" s="58" t="s">
        <v>492</v>
      </c>
      <c r="W899" s="77">
        <f t="shared" si="346"/>
        <v>1</v>
      </c>
      <c r="X899" s="1" t="str">
        <f>VLOOKUP(A899,Data_Echipe!A:R,18,0)</f>
        <v>#notSYRious</v>
      </c>
      <c r="Z899" s="115">
        <f t="shared" si="344"/>
        <v>1</v>
      </c>
    </row>
    <row r="900" spans="1:26" x14ac:dyDescent="0.3">
      <c r="A900" s="49" t="s">
        <v>279</v>
      </c>
      <c r="B900" s="1" t="str">
        <f>VLOOKUP(A900,Participanti!A:B,2,0)</f>
        <v>M</v>
      </c>
      <c r="C900" s="74">
        <v>11</v>
      </c>
      <c r="D900" s="50">
        <v>10.49</v>
      </c>
      <c r="E900" s="51">
        <v>3.5266203703703702E-2</v>
      </c>
      <c r="F900" s="51">
        <v>3.7314814814814815E-2</v>
      </c>
      <c r="G900" s="69">
        <f t="shared" si="339"/>
        <v>3.6290509259259258E-2</v>
      </c>
      <c r="H900" s="52"/>
      <c r="I900" s="12">
        <f t="shared" si="340"/>
        <v>3.4595337711400627E-3</v>
      </c>
      <c r="J900" s="37">
        <f t="shared" si="341"/>
        <v>2.4976190476190476</v>
      </c>
      <c r="K900" s="37">
        <f>IF(J900=0,0,IF(B900="F",VLOOKUP(I900,Barem!$G$2:$H$16,2,1),VLOOKUP(I900,Barem!$G$17:$H$31,2,1)))</f>
        <v>3</v>
      </c>
      <c r="L900" s="50">
        <v>3</v>
      </c>
      <c r="M900" s="124" t="s">
        <v>207</v>
      </c>
      <c r="N900" s="10">
        <f t="shared" si="347"/>
        <v>0.25</v>
      </c>
      <c r="O900" s="10">
        <f t="shared" si="347"/>
        <v>0.25</v>
      </c>
      <c r="P900" s="10">
        <f t="shared" si="347"/>
        <v>0.5</v>
      </c>
      <c r="Q900" s="40">
        <f t="shared" si="342"/>
        <v>0</v>
      </c>
      <c r="R900" s="21">
        <f>IF(D900&gt;21,VLOOKUP(D900,Barem!$T$1:$U$141,2,1),0)</f>
        <v>0</v>
      </c>
      <c r="S900" s="152">
        <f>IF(D900&lt;1.609,0,IF(B900="F",VLOOKUP(I900,Barem!$X$2:$Z$13,2,1),VLOOKUP(I900,Barem!$X$14:$Z$25,2,1)))</f>
        <v>0</v>
      </c>
      <c r="T900" s="21">
        <f>VLOOKUP(A900,Participanti!A:C,3,0)</f>
        <v>0</v>
      </c>
      <c r="U900" s="18">
        <f t="shared" si="343"/>
        <v>2.8744047619047617</v>
      </c>
      <c r="V900" s="58" t="s">
        <v>492</v>
      </c>
      <c r="W900" s="77">
        <f t="shared" si="346"/>
        <v>1</v>
      </c>
      <c r="X900" s="1" t="str">
        <f>VLOOKUP(A900,Data_Echipe!A:R,18,0)</f>
        <v>Almost Kenyan Runners</v>
      </c>
      <c r="Z900" s="115">
        <f t="shared" si="344"/>
        <v>1</v>
      </c>
    </row>
    <row r="901" spans="1:26" x14ac:dyDescent="0.3">
      <c r="A901" s="49" t="s">
        <v>247</v>
      </c>
      <c r="B901" s="1" t="str">
        <f>VLOOKUP(A901,Participanti!A:B,2,0)</f>
        <v>M</v>
      </c>
      <c r="C901" s="74">
        <v>11</v>
      </c>
      <c r="D901" s="50">
        <v>15.01</v>
      </c>
      <c r="E901" s="51">
        <v>7.9907407407407413E-2</v>
      </c>
      <c r="F901" s="51">
        <v>8.3865740740740755E-2</v>
      </c>
      <c r="G901" s="69">
        <f t="shared" si="339"/>
        <v>8.1886574074074084E-2</v>
      </c>
      <c r="H901" s="52">
        <v>714</v>
      </c>
      <c r="I901" s="12">
        <f t="shared" si="340"/>
        <v>5.4554679596318508E-3</v>
      </c>
      <c r="J901" s="37">
        <f t="shared" si="341"/>
        <v>3.5738095238095235</v>
      </c>
      <c r="K901" s="37">
        <f>IF(J901=0,0,IF(B901="F",VLOOKUP(I901,Barem!$G$2:$H$16,2,1),VLOOKUP(I901,Barem!$G$17:$H$31,2,1)))</f>
        <v>0.25</v>
      </c>
      <c r="L901" s="50">
        <v>3</v>
      </c>
      <c r="M901" s="124" t="s">
        <v>207</v>
      </c>
      <c r="N901" s="10">
        <f t="shared" si="347"/>
        <v>0.25</v>
      </c>
      <c r="O901" s="10">
        <f t="shared" si="347"/>
        <v>0.25</v>
      </c>
      <c r="P901" s="10">
        <f t="shared" si="347"/>
        <v>0.5</v>
      </c>
      <c r="Q901" s="40">
        <f t="shared" si="342"/>
        <v>0.47599999999999998</v>
      </c>
      <c r="R901" s="21">
        <f>IF(D901&gt;21,VLOOKUP(D901,Barem!$T$1:$U$141,2,1),0)</f>
        <v>0</v>
      </c>
      <c r="S901" s="152">
        <f>IF(D901&lt;1.609,0,IF(B901="F",VLOOKUP(I901,Barem!$X$2:$Z$13,2,1),VLOOKUP(I901,Barem!$X$14:$Z$25,2,1)))</f>
        <v>0</v>
      </c>
      <c r="T901" s="21">
        <f>VLOOKUP(A901,Participanti!A:C,3,0)</f>
        <v>0</v>
      </c>
      <c r="U901" s="18">
        <f t="shared" si="343"/>
        <v>2.9319523809523806</v>
      </c>
      <c r="V901" s="58" t="s">
        <v>492</v>
      </c>
      <c r="W901" s="77">
        <f t="shared" si="346"/>
        <v>1</v>
      </c>
      <c r="X901" s="1" t="str">
        <f>VLOOKUP(A901,Data_Echipe!A:R,18,0)</f>
        <v>UltraHaita lu' Borcan</v>
      </c>
      <c r="Z901" s="115">
        <f t="shared" si="344"/>
        <v>1</v>
      </c>
    </row>
    <row r="902" spans="1:26" x14ac:dyDescent="0.3">
      <c r="A902" s="49" t="s">
        <v>227</v>
      </c>
      <c r="B902" s="1" t="str">
        <f>VLOOKUP(A902,Participanti!A:B,2,0)</f>
        <v>M</v>
      </c>
      <c r="C902" s="74">
        <v>11</v>
      </c>
      <c r="D902" s="50">
        <v>55.64</v>
      </c>
      <c r="E902" s="51">
        <v>0.28402777777777777</v>
      </c>
      <c r="F902" s="51">
        <v>0.29469907407407409</v>
      </c>
      <c r="G902" s="69">
        <f t="shared" si="339"/>
        <v>0.2893634259259259</v>
      </c>
      <c r="H902" s="52">
        <v>2686</v>
      </c>
      <c r="I902" s="12">
        <f t="shared" si="340"/>
        <v>5.2006366988843616E-3</v>
      </c>
      <c r="J902" s="37">
        <f t="shared" si="341"/>
        <v>5</v>
      </c>
      <c r="K902" s="37">
        <f>IF(J902=0,0,IF(B902="F",VLOOKUP(I902,Barem!$G$2:$H$16,2,1),VLOOKUP(I902,Barem!$G$17:$H$31,2,1)))</f>
        <v>0.25</v>
      </c>
      <c r="L902" s="50">
        <v>4</v>
      </c>
      <c r="M902" s="124" t="s">
        <v>207</v>
      </c>
      <c r="N902" s="10">
        <f t="shared" si="347"/>
        <v>0.25</v>
      </c>
      <c r="O902" s="10">
        <f t="shared" si="347"/>
        <v>0.25</v>
      </c>
      <c r="P902" s="10">
        <f t="shared" si="347"/>
        <v>0.5</v>
      </c>
      <c r="Q902" s="40">
        <f t="shared" si="342"/>
        <v>1.7906666666666666</v>
      </c>
      <c r="R902" s="21">
        <f>IF(D902&gt;21,VLOOKUP(D902,Barem!$T$1:$U$141,2,1),0)</f>
        <v>1.7</v>
      </c>
      <c r="S902" s="152">
        <f>IF(D902&lt;1.609,0,IF(B902="F",VLOOKUP(I902,Barem!$X$2:$Z$13,2,1),VLOOKUP(I902,Barem!$X$14:$Z$25,2,1)))</f>
        <v>0</v>
      </c>
      <c r="T902" s="21">
        <f>VLOOKUP(A902,Participanti!A:C,3,0)</f>
        <v>0</v>
      </c>
      <c r="U902" s="18">
        <f t="shared" si="343"/>
        <v>6.8031666666666668</v>
      </c>
      <c r="V902" s="58" t="s">
        <v>492</v>
      </c>
      <c r="W902" s="77">
        <f t="shared" si="346"/>
        <v>1</v>
      </c>
      <c r="X902" s="1" t="str">
        <f>VLOOKUP(A902,Data_Echipe!A:R,18,0)</f>
        <v>UltraHaita lu' Borcan</v>
      </c>
      <c r="Z902" s="115">
        <f t="shared" si="344"/>
        <v>1</v>
      </c>
    </row>
    <row r="903" spans="1:26" x14ac:dyDescent="0.3">
      <c r="A903" s="49" t="s">
        <v>344</v>
      </c>
      <c r="B903" s="1" t="str">
        <f>VLOOKUP(A903,Participanti!A:B,2,0)</f>
        <v>F</v>
      </c>
      <c r="C903" s="74">
        <v>11</v>
      </c>
      <c r="D903" s="50">
        <v>21.1</v>
      </c>
      <c r="E903" s="51">
        <v>8.0532407407407414E-2</v>
      </c>
      <c r="F903" s="51">
        <v>8.0532407407407414E-2</v>
      </c>
      <c r="G903" s="69">
        <f t="shared" ref="G903:G937" si="348">AVERAGE(E903:F903)</f>
        <v>8.0532407407407414E-2</v>
      </c>
      <c r="H903" s="52"/>
      <c r="I903" s="12">
        <f t="shared" ref="I903:I937" si="349">G903/D903</f>
        <v>3.8167017728629104E-3</v>
      </c>
      <c r="J903" s="37">
        <f t="shared" ref="J903:J937" si="350">IF(B903="F",IF(D903&lt;2.5,0,IF(D903&gt;19.99,5,D903/4)),IF(D903&lt;3,0, IF(D903&gt;20.99,5,D903/4.2)))</f>
        <v>5</v>
      </c>
      <c r="K903" s="37">
        <f>IF(J903=0,0,IF(B903="F",VLOOKUP(I903,Barem!$G$2:$H$16,2,1),VLOOKUP(I903,Barem!$G$17:$H$31,2,1)))</f>
        <v>3</v>
      </c>
      <c r="L903" s="50">
        <v>3.75</v>
      </c>
      <c r="M903" s="124" t="s">
        <v>107</v>
      </c>
      <c r="N903" s="10">
        <f t="shared" si="347"/>
        <v>0.25</v>
      </c>
      <c r="O903" s="10">
        <f t="shared" si="347"/>
        <v>0.5</v>
      </c>
      <c r="P903" s="10">
        <f t="shared" si="347"/>
        <v>0.25</v>
      </c>
      <c r="Q903" s="40">
        <f t="shared" ref="Q903:Q937" si="351">IF(H903&gt;49,H903/1500,0)</f>
        <v>0</v>
      </c>
      <c r="R903" s="21">
        <f>IF(D903&gt;21,VLOOKUP(D903,Barem!$T$1:$U$141,2,1),0)</f>
        <v>0</v>
      </c>
      <c r="S903" s="152">
        <f>IF(D903&lt;1.609,0,IF(B903="F",VLOOKUP(I903,Barem!$X$2:$Z$13,2,1),VLOOKUP(I903,Barem!$X$14:$Z$25,2,1)))</f>
        <v>0</v>
      </c>
      <c r="T903" s="21">
        <f>VLOOKUP(A903,Participanti!A:C,3,0)</f>
        <v>0</v>
      </c>
      <c r="U903" s="18">
        <f t="shared" ref="U903:U937" si="352">IF(H903&lt;0,0,J903*N903+K903*O903+L903*P903+Q903+R903+S903+T903)</f>
        <v>3.6875</v>
      </c>
      <c r="V903" s="58" t="s">
        <v>492</v>
      </c>
      <c r="W903" s="77">
        <f t="shared" si="346"/>
        <v>1</v>
      </c>
      <c r="X903" s="1" t="e">
        <f>VLOOKUP(A903,Data_Echipe!A:R,18,0)</f>
        <v>#N/A</v>
      </c>
      <c r="Z903" s="115">
        <f t="shared" ref="Z903:Z937" si="353">IF(K903&gt;0,1,0)</f>
        <v>1</v>
      </c>
    </row>
    <row r="904" spans="1:26" x14ac:dyDescent="0.3">
      <c r="A904" s="49" t="s">
        <v>387</v>
      </c>
      <c r="B904" s="1" t="str">
        <f>VLOOKUP(A904,Participanti!A:B,2,0)</f>
        <v>F</v>
      </c>
      <c r="C904" s="74">
        <v>11</v>
      </c>
      <c r="D904" s="50">
        <v>5.39</v>
      </c>
      <c r="E904" s="51">
        <v>1.8194444444444444E-2</v>
      </c>
      <c r="F904" s="51">
        <v>1.8287037037037036E-2</v>
      </c>
      <c r="G904" s="69">
        <f t="shared" si="348"/>
        <v>1.8240740740740738E-2</v>
      </c>
      <c r="H904" s="52"/>
      <c r="I904" s="12">
        <f t="shared" si="349"/>
        <v>3.3841819556105269E-3</v>
      </c>
      <c r="J904" s="37">
        <f t="shared" si="350"/>
        <v>1.3474999999999999</v>
      </c>
      <c r="K904" s="37">
        <f>IF(J904=0,0,IF(B904="F",VLOOKUP(I904,Barem!$G$2:$H$16,2,1),VLOOKUP(I904,Barem!$G$17:$H$31,2,1)))</f>
        <v>4</v>
      </c>
      <c r="L904" s="50">
        <v>2.5</v>
      </c>
      <c r="M904" s="124" t="s">
        <v>107</v>
      </c>
      <c r="N904" s="10">
        <f t="shared" si="347"/>
        <v>0.25</v>
      </c>
      <c r="O904" s="10">
        <f t="shared" si="347"/>
        <v>0.5</v>
      </c>
      <c r="P904" s="10">
        <f t="shared" si="347"/>
        <v>0.25</v>
      </c>
      <c r="Q904" s="40">
        <f t="shared" si="351"/>
        <v>0</v>
      </c>
      <c r="R904" s="21">
        <f>IF(D904&gt;21,VLOOKUP(D904,Barem!$T$1:$U$141,2,1),0)</f>
        <v>0</v>
      </c>
      <c r="S904" s="152">
        <f>IF(D904&lt;1.609,0,IF(B904="F",VLOOKUP(I904,Barem!$X$2:$Z$13,2,1),VLOOKUP(I904,Barem!$X$14:$Z$25,2,1)))</f>
        <v>0</v>
      </c>
      <c r="T904" s="21">
        <f>VLOOKUP(A904,Participanti!A:C,3,0)</f>
        <v>0</v>
      </c>
      <c r="U904" s="18">
        <f t="shared" si="352"/>
        <v>2.961875</v>
      </c>
      <c r="V904" s="58" t="s">
        <v>492</v>
      </c>
      <c r="W904" s="77">
        <f t="shared" si="346"/>
        <v>1</v>
      </c>
      <c r="X904" s="1" t="str">
        <f>VLOOKUP(A904,Data_Echipe!A:R,18,0)</f>
        <v>#notSYRious</v>
      </c>
      <c r="Z904" s="115">
        <f t="shared" si="353"/>
        <v>1</v>
      </c>
    </row>
    <row r="905" spans="1:26" x14ac:dyDescent="0.3">
      <c r="A905" s="49" t="s">
        <v>177</v>
      </c>
      <c r="B905" s="1" t="str">
        <f>VLOOKUP(A905,Participanti!A:B,2,0)</f>
        <v>F</v>
      </c>
      <c r="C905" s="74">
        <v>11</v>
      </c>
      <c r="D905" s="50">
        <v>9.1</v>
      </c>
      <c r="E905" s="51">
        <v>4.0879629629629634E-2</v>
      </c>
      <c r="F905" s="51">
        <v>4.3784722222222218E-2</v>
      </c>
      <c r="G905" s="69">
        <f t="shared" si="348"/>
        <v>4.2332175925925926E-2</v>
      </c>
      <c r="H905" s="52"/>
      <c r="I905" s="12">
        <f t="shared" si="349"/>
        <v>4.6518874643874646E-3</v>
      </c>
      <c r="J905" s="37">
        <f t="shared" si="350"/>
        <v>2.2749999999999999</v>
      </c>
      <c r="K905" s="37">
        <f>IF(J905=0,0,IF(B905="F",VLOOKUP(I905,Barem!$G$2:$H$16,2,1),VLOOKUP(I905,Barem!$G$17:$H$31,2,1)))</f>
        <v>1.25</v>
      </c>
      <c r="L905" s="50">
        <v>3.25</v>
      </c>
      <c r="M905" s="124" t="s">
        <v>106</v>
      </c>
      <c r="N905" s="10">
        <f t="shared" si="347"/>
        <v>0.5</v>
      </c>
      <c r="O905" s="10">
        <f t="shared" si="347"/>
        <v>0.25</v>
      </c>
      <c r="P905" s="10">
        <f t="shared" si="347"/>
        <v>0.25</v>
      </c>
      <c r="Q905" s="40">
        <f t="shared" si="351"/>
        <v>0</v>
      </c>
      <c r="R905" s="21">
        <f>IF(D905&gt;21,VLOOKUP(D905,Barem!$T$1:$U$141,2,1),0)</f>
        <v>0</v>
      </c>
      <c r="S905" s="152">
        <f>IF(D905&lt;1.609,0,IF(B905="F",VLOOKUP(I905,Barem!$X$2:$Z$13,2,1),VLOOKUP(I905,Barem!$X$14:$Z$25,2,1)))</f>
        <v>0</v>
      </c>
      <c r="T905" s="21">
        <f>VLOOKUP(A905,Participanti!A:C,3,0)</f>
        <v>0</v>
      </c>
      <c r="U905" s="18">
        <f t="shared" si="352"/>
        <v>2.2625000000000002</v>
      </c>
      <c r="V905" s="58" t="s">
        <v>492</v>
      </c>
      <c r="W905" s="77">
        <f t="shared" si="346"/>
        <v>1</v>
      </c>
      <c r="X905" s="1" t="str">
        <f>VLOOKUP(A905,Data_Echipe!A:R,18,0)</f>
        <v>UltraHaita lu' Borcan</v>
      </c>
      <c r="Z905" s="115">
        <f t="shared" si="353"/>
        <v>1</v>
      </c>
    </row>
    <row r="906" spans="1:26" x14ac:dyDescent="0.3">
      <c r="A906" s="49" t="s">
        <v>116</v>
      </c>
      <c r="B906" s="1" t="str">
        <f>VLOOKUP(A906,Participanti!A:B,2,0)</f>
        <v>F</v>
      </c>
      <c r="C906" s="74">
        <v>11</v>
      </c>
      <c r="D906" s="50">
        <v>5.04</v>
      </c>
      <c r="E906" s="51">
        <v>1.9837962962962963E-2</v>
      </c>
      <c r="F906" s="51">
        <v>2.4502314814814814E-2</v>
      </c>
      <c r="G906" s="69">
        <f t="shared" si="348"/>
        <v>2.2170138888888889E-2</v>
      </c>
      <c r="H906" s="52"/>
      <c r="I906" s="12">
        <f t="shared" si="349"/>
        <v>4.3988370811287479E-3</v>
      </c>
      <c r="J906" s="37">
        <f t="shared" si="350"/>
        <v>1.26</v>
      </c>
      <c r="K906" s="37">
        <f>IF(J906=0,0,IF(B906="F",VLOOKUP(I906,Barem!$G$2:$H$16,2,1),VLOOKUP(I906,Barem!$G$17:$H$31,2,1)))</f>
        <v>1.5</v>
      </c>
      <c r="L906" s="50">
        <v>3.75</v>
      </c>
      <c r="M906" s="124" t="s">
        <v>207</v>
      </c>
      <c r="N906" s="10">
        <f t="shared" si="347"/>
        <v>0.25</v>
      </c>
      <c r="O906" s="10">
        <f t="shared" si="347"/>
        <v>0.25</v>
      </c>
      <c r="P906" s="10">
        <f t="shared" si="347"/>
        <v>0.5</v>
      </c>
      <c r="Q906" s="40">
        <f t="shared" si="351"/>
        <v>0</v>
      </c>
      <c r="R906" s="21">
        <f>IF(D906&gt;21,VLOOKUP(D906,Barem!$T$1:$U$141,2,1),0)</f>
        <v>0</v>
      </c>
      <c r="S906" s="152">
        <f>IF(D906&lt;1.609,0,IF(B906="F",VLOOKUP(I906,Barem!$X$2:$Z$13,2,1),VLOOKUP(I906,Barem!$X$14:$Z$25,2,1)))</f>
        <v>0</v>
      </c>
      <c r="T906" s="21">
        <f>VLOOKUP(A906,Participanti!A:C,3,0)</f>
        <v>0</v>
      </c>
      <c r="U906" s="18">
        <f t="shared" si="352"/>
        <v>2.5649999999999999</v>
      </c>
      <c r="V906" s="58" t="s">
        <v>492</v>
      </c>
      <c r="W906" s="77">
        <f t="shared" si="346"/>
        <v>1</v>
      </c>
      <c r="X906" s="1" t="str">
        <f>VLOOKUP(A906,Data_Echipe!A:R,18,0)</f>
        <v>#notSYRious</v>
      </c>
      <c r="Z906" s="115">
        <f t="shared" si="353"/>
        <v>1</v>
      </c>
    </row>
    <row r="907" spans="1:26" x14ac:dyDescent="0.3">
      <c r="A907" s="49" t="s">
        <v>363</v>
      </c>
      <c r="B907" s="1" t="str">
        <f>VLOOKUP(A907,Participanti!A:B,2,0)</f>
        <v>F</v>
      </c>
      <c r="C907" s="74">
        <v>11</v>
      </c>
      <c r="D907" s="50">
        <v>2.09</v>
      </c>
      <c r="E907" s="51">
        <v>1.0324074074074074E-2</v>
      </c>
      <c r="F907" s="51">
        <v>1.0474537037037037E-2</v>
      </c>
      <c r="G907" s="69">
        <f t="shared" si="348"/>
        <v>1.0399305555555556E-2</v>
      </c>
      <c r="H907" s="52"/>
      <c r="I907" s="12">
        <f t="shared" si="349"/>
        <v>4.9757442849548113E-3</v>
      </c>
      <c r="J907" s="37">
        <f t="shared" si="350"/>
        <v>0</v>
      </c>
      <c r="K907" s="37">
        <f>IF(J907=0,0,IF(B907="F",VLOOKUP(I907,Barem!$G$2:$H$16,2,1),VLOOKUP(I907,Barem!$G$17:$H$31,2,1)))</f>
        <v>0</v>
      </c>
      <c r="L907" s="50">
        <v>1.75</v>
      </c>
      <c r="M907" s="124" t="s">
        <v>107</v>
      </c>
      <c r="N907" s="10">
        <f t="shared" si="347"/>
        <v>0.25</v>
      </c>
      <c r="O907" s="10">
        <f t="shared" si="347"/>
        <v>0.5</v>
      </c>
      <c r="P907" s="10">
        <f t="shared" si="347"/>
        <v>0.25</v>
      </c>
      <c r="Q907" s="40">
        <f t="shared" si="351"/>
        <v>0</v>
      </c>
      <c r="R907" s="21">
        <f>IF(D907&gt;21,VLOOKUP(D907,Barem!$T$1:$U$141,2,1),0)</f>
        <v>0</v>
      </c>
      <c r="S907" s="152">
        <f>IF(D907&lt;1.609,0,IF(B907="F",VLOOKUP(I907,Barem!$X$2:$Z$13,2,1),VLOOKUP(I907,Barem!$X$14:$Z$25,2,1)))</f>
        <v>0</v>
      </c>
      <c r="T907" s="21">
        <f>VLOOKUP(A907,Participanti!A:C,3,0)</f>
        <v>0</v>
      </c>
      <c r="U907" s="18">
        <f t="shared" si="352"/>
        <v>0.4375</v>
      </c>
      <c r="V907" s="58" t="s">
        <v>492</v>
      </c>
      <c r="W907" s="77">
        <f t="shared" si="346"/>
        <v>1</v>
      </c>
      <c r="X907" s="1" t="e">
        <f>VLOOKUP(A907,Data_Echipe!A:R,18,0)</f>
        <v>#N/A</v>
      </c>
      <c r="Z907" s="115">
        <f t="shared" si="353"/>
        <v>0</v>
      </c>
    </row>
    <row r="908" spans="1:26" x14ac:dyDescent="0.3">
      <c r="A908" s="49" t="s">
        <v>346</v>
      </c>
      <c r="B908" s="1" t="str">
        <f>VLOOKUP(A908,Participanti!A:B,2,0)</f>
        <v>M</v>
      </c>
      <c r="C908" s="74">
        <v>11</v>
      </c>
      <c r="D908" s="50">
        <v>84.51</v>
      </c>
      <c r="E908" s="51">
        <v>0.39384259259259258</v>
      </c>
      <c r="F908" s="51">
        <v>0.46684027777777781</v>
      </c>
      <c r="G908" s="69">
        <f t="shared" si="348"/>
        <v>0.43034143518518519</v>
      </c>
      <c r="H908" s="52">
        <v>552</v>
      </c>
      <c r="I908" s="12">
        <f t="shared" si="349"/>
        <v>5.0921954228515583E-3</v>
      </c>
      <c r="J908" s="37">
        <f t="shared" si="350"/>
        <v>5</v>
      </c>
      <c r="K908" s="37">
        <f>IF(J908=0,0,IF(B908="F",VLOOKUP(I908,Barem!$G$2:$H$16,2,1),VLOOKUP(I908,Barem!$G$17:$H$31,2,1)))</f>
        <v>0.25</v>
      </c>
      <c r="L908" s="50">
        <v>2.5</v>
      </c>
      <c r="M908" s="124" t="s">
        <v>207</v>
      </c>
      <c r="N908" s="10">
        <f t="shared" si="347"/>
        <v>0.25</v>
      </c>
      <c r="O908" s="10">
        <f t="shared" si="347"/>
        <v>0.25</v>
      </c>
      <c r="P908" s="10">
        <f t="shared" si="347"/>
        <v>0.5</v>
      </c>
      <c r="Q908" s="40">
        <f t="shared" si="351"/>
        <v>0.36799999999999999</v>
      </c>
      <c r="R908" s="21">
        <f>IF(D908&gt;21,VLOOKUP(D908,Barem!$T$1:$U$141,2,1),0)</f>
        <v>3.1</v>
      </c>
      <c r="S908" s="152">
        <f>IF(D908&lt;1.609,0,IF(B908="F",VLOOKUP(I908,Barem!$X$2:$Z$13,2,1),VLOOKUP(I908,Barem!$X$14:$Z$25,2,1)))</f>
        <v>0</v>
      </c>
      <c r="T908" s="21">
        <f>VLOOKUP(A908,Participanti!A:C,3,0)</f>
        <v>0</v>
      </c>
      <c r="U908" s="18">
        <f t="shared" si="352"/>
        <v>6.0305</v>
      </c>
      <c r="V908" s="58" t="s">
        <v>492</v>
      </c>
      <c r="W908" s="77">
        <f t="shared" si="346"/>
        <v>1</v>
      </c>
      <c r="X908" s="1" t="str">
        <f>VLOOKUP(A908,Data_Echipe!A:R,18,0)</f>
        <v>UltraHaita lu' Borcan</v>
      </c>
      <c r="Z908" s="115">
        <f t="shared" si="353"/>
        <v>1</v>
      </c>
    </row>
    <row r="909" spans="1:26" x14ac:dyDescent="0.3">
      <c r="A909" s="49" t="s">
        <v>128</v>
      </c>
      <c r="B909" s="1" t="str">
        <f>VLOOKUP(A909,Participanti!A:B,2,0)</f>
        <v>M</v>
      </c>
      <c r="C909" s="74">
        <v>11</v>
      </c>
      <c r="D909" s="50">
        <v>33</v>
      </c>
      <c r="E909" s="51">
        <v>0.11278935185185185</v>
      </c>
      <c r="F909" s="51">
        <v>0.11278935185185185</v>
      </c>
      <c r="G909" s="69">
        <f t="shared" si="348"/>
        <v>0.11278935185185185</v>
      </c>
      <c r="H909" s="52">
        <v>102</v>
      </c>
      <c r="I909" s="12">
        <f t="shared" si="349"/>
        <v>3.4178591470258135E-3</v>
      </c>
      <c r="J909" s="37">
        <f t="shared" si="350"/>
        <v>5</v>
      </c>
      <c r="K909" s="37">
        <f>IF(J909=0,0,IF(B909="F",VLOOKUP(I909,Barem!$G$2:$H$16,2,1),VLOOKUP(I909,Barem!$G$17:$H$31,2,1)))</f>
        <v>3</v>
      </c>
      <c r="L909" s="50">
        <v>2</v>
      </c>
      <c r="M909" s="124" t="s">
        <v>207</v>
      </c>
      <c r="N909" s="10">
        <f t="shared" si="347"/>
        <v>0.25</v>
      </c>
      <c r="O909" s="10">
        <f t="shared" si="347"/>
        <v>0.25</v>
      </c>
      <c r="P909" s="10">
        <f t="shared" si="347"/>
        <v>0.5</v>
      </c>
      <c r="Q909" s="40">
        <f t="shared" si="351"/>
        <v>6.8000000000000005E-2</v>
      </c>
      <c r="R909" s="21">
        <f>IF(D909&gt;21,VLOOKUP(D909,Barem!$T$1:$U$141,2,1),0)</f>
        <v>0.6</v>
      </c>
      <c r="S909" s="152">
        <f>IF(D909&lt;1.609,0,IF(B909="F",VLOOKUP(I909,Barem!$X$2:$Z$13,2,1),VLOOKUP(I909,Barem!$X$14:$Z$25,2,1)))</f>
        <v>0</v>
      </c>
      <c r="T909" s="21">
        <f>VLOOKUP(A909,Participanti!A:C,3,0)</f>
        <v>0</v>
      </c>
      <c r="U909" s="18">
        <f t="shared" si="352"/>
        <v>3.6680000000000001</v>
      </c>
      <c r="V909" s="58" t="s">
        <v>492</v>
      </c>
      <c r="W909" s="77">
        <f t="shared" si="346"/>
        <v>1</v>
      </c>
      <c r="X909" s="1" t="str">
        <f>VLOOKUP(A909,Data_Echipe!A:R,18,0)</f>
        <v>Almost Kenyan Runners</v>
      </c>
      <c r="Z909" s="115">
        <f t="shared" si="353"/>
        <v>1</v>
      </c>
    </row>
    <row r="910" spans="1:26" x14ac:dyDescent="0.3">
      <c r="A910" s="49" t="s">
        <v>64</v>
      </c>
      <c r="B910" s="1" t="str">
        <f>VLOOKUP(A910,Participanti!A:B,2,0)</f>
        <v>F</v>
      </c>
      <c r="C910" s="74">
        <v>11</v>
      </c>
      <c r="D910" s="50">
        <v>8.24</v>
      </c>
      <c r="E910" s="51">
        <v>4.1435185185185179E-2</v>
      </c>
      <c r="F910" s="51">
        <v>5.4664351851851846E-2</v>
      </c>
      <c r="G910" s="69">
        <f t="shared" si="348"/>
        <v>4.8049768518518512E-2</v>
      </c>
      <c r="H910" s="52"/>
      <c r="I910" s="12">
        <f t="shared" si="349"/>
        <v>5.8312825871988487E-3</v>
      </c>
      <c r="J910" s="37">
        <f t="shared" si="350"/>
        <v>2.06</v>
      </c>
      <c r="K910" s="37">
        <f>IF(J910=0,0,IF(B910="F",VLOOKUP(I910,Barem!$G$2:$H$16,2,1),VLOOKUP(I910,Barem!$G$17:$H$31,2,1)))</f>
        <v>0.25</v>
      </c>
      <c r="L910" s="50">
        <v>2.25</v>
      </c>
      <c r="M910" s="124" t="s">
        <v>107</v>
      </c>
      <c r="N910" s="10">
        <f t="shared" si="347"/>
        <v>0.25</v>
      </c>
      <c r="O910" s="10">
        <f t="shared" si="347"/>
        <v>0.5</v>
      </c>
      <c r="P910" s="10">
        <f t="shared" si="347"/>
        <v>0.25</v>
      </c>
      <c r="Q910" s="40">
        <f t="shared" si="351"/>
        <v>0</v>
      </c>
      <c r="R910" s="21">
        <f>IF(D910&gt;21,VLOOKUP(D910,Barem!$T$1:$U$141,2,1),0)</f>
        <v>0</v>
      </c>
      <c r="S910" s="152">
        <f>IF(D910&lt;1.609,0,IF(B910="F",VLOOKUP(I910,Barem!$X$2:$Z$13,2,1),VLOOKUP(I910,Barem!$X$14:$Z$25,2,1)))</f>
        <v>0</v>
      </c>
      <c r="T910" s="21">
        <f>VLOOKUP(A910,Participanti!A:C,3,0)</f>
        <v>0.7</v>
      </c>
      <c r="U910" s="18">
        <f t="shared" si="352"/>
        <v>1.9025000000000001</v>
      </c>
      <c r="V910" s="58" t="s">
        <v>492</v>
      </c>
      <c r="W910" s="77">
        <f t="shared" si="346"/>
        <v>1</v>
      </c>
      <c r="X910" s="1" t="str">
        <f>VLOOKUP(A910,Data_Echipe!A:R,18,0)</f>
        <v>UltraHaita lu' Borcan</v>
      </c>
      <c r="Z910" s="115">
        <f t="shared" si="353"/>
        <v>1</v>
      </c>
    </row>
    <row r="911" spans="1:26" x14ac:dyDescent="0.3">
      <c r="A911" s="49" t="s">
        <v>366</v>
      </c>
      <c r="B911" s="1" t="str">
        <f>VLOOKUP(A911,Participanti!A:B,2,0)</f>
        <v>M</v>
      </c>
      <c r="C911" s="74">
        <v>11</v>
      </c>
      <c r="D911" s="50">
        <v>21.33</v>
      </c>
      <c r="E911" s="51">
        <v>6.8923611111111116E-2</v>
      </c>
      <c r="F911" s="51">
        <v>6.8923611111111116E-2</v>
      </c>
      <c r="G911" s="69">
        <f t="shared" si="348"/>
        <v>6.8923611111111116E-2</v>
      </c>
      <c r="H911" s="52">
        <v>51</v>
      </c>
      <c r="I911" s="12">
        <f t="shared" si="349"/>
        <v>3.2312991613272913E-3</v>
      </c>
      <c r="J911" s="37">
        <f t="shared" si="350"/>
        <v>5</v>
      </c>
      <c r="K911" s="37">
        <f>IF(J911=0,0,IF(B911="F",VLOOKUP(I911,Barem!$G$2:$H$16,2,1),VLOOKUP(I911,Barem!$G$17:$H$31,2,1)))</f>
        <v>3.5</v>
      </c>
      <c r="L911" s="50">
        <v>3.5</v>
      </c>
      <c r="M911" s="124" t="s">
        <v>207</v>
      </c>
      <c r="N911" s="10">
        <f t="shared" si="347"/>
        <v>0.25</v>
      </c>
      <c r="O911" s="10">
        <f t="shared" si="347"/>
        <v>0.25</v>
      </c>
      <c r="P911" s="10">
        <f t="shared" si="347"/>
        <v>0.5</v>
      </c>
      <c r="Q911" s="40">
        <f t="shared" si="351"/>
        <v>3.4000000000000002E-2</v>
      </c>
      <c r="R911" s="21">
        <f>IF(D911&gt;21,VLOOKUP(D911,Barem!$T$1:$U$141,2,1),0)</f>
        <v>0</v>
      </c>
      <c r="S911" s="152">
        <f>IF(D911&lt;1.609,0,IF(B911="F",VLOOKUP(I911,Barem!$X$2:$Z$13,2,1),VLOOKUP(I911,Barem!$X$14:$Z$25,2,1)))</f>
        <v>0</v>
      </c>
      <c r="T911" s="21">
        <f>VLOOKUP(A911,Participanti!A:C,3,0)</f>
        <v>0</v>
      </c>
      <c r="U911" s="18">
        <f t="shared" si="352"/>
        <v>3.9089999999999998</v>
      </c>
      <c r="V911" s="58" t="s">
        <v>492</v>
      </c>
      <c r="W911" s="77">
        <f t="shared" si="346"/>
        <v>1</v>
      </c>
      <c r="X911" s="1" t="str">
        <f>VLOOKUP(A911,Data_Echipe!A:R,18,0)</f>
        <v>The GOATs</v>
      </c>
      <c r="Z911" s="115">
        <f t="shared" si="353"/>
        <v>1</v>
      </c>
    </row>
    <row r="912" spans="1:26" x14ac:dyDescent="0.3">
      <c r="A912" s="49" t="s">
        <v>205</v>
      </c>
      <c r="B912" s="1" t="str">
        <f>VLOOKUP(A912,Participanti!A:B,2,0)</f>
        <v>M</v>
      </c>
      <c r="C912" s="74">
        <v>11</v>
      </c>
      <c r="D912" s="50">
        <v>28.05</v>
      </c>
      <c r="E912" s="51">
        <v>8.6111111111111124E-2</v>
      </c>
      <c r="F912" s="51">
        <v>9.2326388888888888E-2</v>
      </c>
      <c r="G912" s="69">
        <f t="shared" si="348"/>
        <v>8.9218750000000013E-2</v>
      </c>
      <c r="H912" s="52">
        <v>191</v>
      </c>
      <c r="I912" s="12">
        <f t="shared" si="349"/>
        <v>3.1807040998217471E-3</v>
      </c>
      <c r="J912" s="37">
        <f t="shared" si="350"/>
        <v>5</v>
      </c>
      <c r="K912" s="37">
        <f>IF(J912=0,0,IF(B912="F",VLOOKUP(I912,Barem!$G$2:$H$16,2,1),VLOOKUP(I912,Barem!$G$17:$H$31,2,1)))</f>
        <v>3.5</v>
      </c>
      <c r="L912" s="50">
        <v>3.5</v>
      </c>
      <c r="M912" s="124" t="s">
        <v>207</v>
      </c>
      <c r="N912" s="10">
        <f t="shared" si="347"/>
        <v>0.25</v>
      </c>
      <c r="O912" s="10">
        <f t="shared" si="347"/>
        <v>0.25</v>
      </c>
      <c r="P912" s="10">
        <f t="shared" si="347"/>
        <v>0.5</v>
      </c>
      <c r="Q912" s="40">
        <f t="shared" si="351"/>
        <v>0.12733333333333333</v>
      </c>
      <c r="R912" s="21">
        <f>IF(D912&gt;21,VLOOKUP(D912,Barem!$T$1:$U$141,2,1),0)</f>
        <v>0.3</v>
      </c>
      <c r="S912" s="152">
        <f>IF(D912&lt;1.609,0,IF(B912="F",VLOOKUP(I912,Barem!$X$2:$Z$13,2,1),VLOOKUP(I912,Barem!$X$14:$Z$25,2,1)))</f>
        <v>0</v>
      </c>
      <c r="T912" s="21">
        <f>VLOOKUP(A912,Participanti!A:C,3,0)</f>
        <v>0</v>
      </c>
      <c r="U912" s="18">
        <f t="shared" si="352"/>
        <v>4.3023333333333333</v>
      </c>
      <c r="V912" s="58" t="s">
        <v>492</v>
      </c>
      <c r="W912" s="77">
        <f t="shared" si="346"/>
        <v>1</v>
      </c>
      <c r="X912" s="1" t="str">
        <f>VLOOKUP(A912,Data_Echipe!A:R,18,0)</f>
        <v>Almost Kenyan Runners</v>
      </c>
      <c r="Z912" s="115">
        <f t="shared" si="353"/>
        <v>1</v>
      </c>
    </row>
    <row r="913" spans="1:26" x14ac:dyDescent="0.3">
      <c r="A913" s="49" t="s">
        <v>493</v>
      </c>
      <c r="B913" s="1" t="str">
        <f>VLOOKUP(A913,Participanti!A:B,2,0)</f>
        <v>M</v>
      </c>
      <c r="C913" s="74">
        <v>11</v>
      </c>
      <c r="D913" s="50">
        <v>10.3</v>
      </c>
      <c r="E913" s="51">
        <v>3.1400462962962963E-2</v>
      </c>
      <c r="F913" s="51">
        <v>3.1400462962962963E-2</v>
      </c>
      <c r="G913" s="69">
        <f t="shared" si="348"/>
        <v>3.1400462962962963E-2</v>
      </c>
      <c r="H913" s="52"/>
      <c r="I913" s="12">
        <f t="shared" si="349"/>
        <v>3.0485886371808702E-3</v>
      </c>
      <c r="J913" s="37">
        <f t="shared" si="350"/>
        <v>2.4523809523809526</v>
      </c>
      <c r="K913" s="37">
        <f>IF(J913=0,0,IF(B913="F",VLOOKUP(I913,Barem!$G$2:$H$16,2,1),VLOOKUP(I913,Barem!$G$17:$H$31,2,1)))</f>
        <v>4</v>
      </c>
      <c r="L913" s="50">
        <v>1.25</v>
      </c>
      <c r="M913" s="124" t="s">
        <v>107</v>
      </c>
      <c r="N913" s="10">
        <f t="shared" si="347"/>
        <v>0.25</v>
      </c>
      <c r="O913" s="10">
        <f t="shared" si="347"/>
        <v>0.5</v>
      </c>
      <c r="P913" s="10">
        <f t="shared" si="347"/>
        <v>0.25</v>
      </c>
      <c r="Q913" s="40">
        <f t="shared" si="351"/>
        <v>0</v>
      </c>
      <c r="R913" s="21">
        <f>IF(D913&gt;21,VLOOKUP(D913,Barem!$T$1:$U$141,2,1),0)</f>
        <v>0</v>
      </c>
      <c r="S913" s="152">
        <f>IF(D913&lt;1.609,0,IF(B913="F",VLOOKUP(I913,Barem!$X$2:$Z$13,2,1),VLOOKUP(I913,Barem!$X$14:$Z$25,2,1)))</f>
        <v>0</v>
      </c>
      <c r="T913" s="21">
        <f>VLOOKUP(A913,Participanti!A:C,3,0)</f>
        <v>0</v>
      </c>
      <c r="U913" s="18">
        <f t="shared" si="352"/>
        <v>2.9255952380952381</v>
      </c>
      <c r="V913" s="58" t="s">
        <v>492</v>
      </c>
      <c r="W913" s="77">
        <f t="shared" si="346"/>
        <v>1</v>
      </c>
      <c r="X913" s="1" t="e">
        <f>VLOOKUP(A913,Data_Echipe!A:R,18,0)</f>
        <v>#N/A</v>
      </c>
      <c r="Z913" s="115">
        <f t="shared" si="353"/>
        <v>1</v>
      </c>
    </row>
    <row r="914" spans="1:26" x14ac:dyDescent="0.3">
      <c r="A914" s="49" t="s">
        <v>125</v>
      </c>
      <c r="B914" s="1" t="str">
        <f>VLOOKUP(A914,Participanti!A:B,2,0)</f>
        <v>M</v>
      </c>
      <c r="C914" s="74">
        <v>11</v>
      </c>
      <c r="D914" s="50">
        <v>10.34</v>
      </c>
      <c r="E914" s="51">
        <v>2.8298611111111111E-2</v>
      </c>
      <c r="F914" s="51">
        <v>2.8298611111111111E-2</v>
      </c>
      <c r="G914" s="69">
        <f t="shared" si="348"/>
        <v>2.8298611111111111E-2</v>
      </c>
      <c r="H914" s="52"/>
      <c r="I914" s="12">
        <f t="shared" si="349"/>
        <v>2.7368095852138407E-3</v>
      </c>
      <c r="J914" s="37">
        <f t="shared" si="350"/>
        <v>2.4619047619047616</v>
      </c>
      <c r="K914" s="37">
        <f>IF(J914=0,0,IF(B914="F",VLOOKUP(I914,Barem!$G$2:$H$16,2,1),VLOOKUP(I914,Barem!$G$17:$H$31,2,1)))</f>
        <v>5</v>
      </c>
      <c r="L914" s="50">
        <v>2.25</v>
      </c>
      <c r="M914" s="124" t="s">
        <v>207</v>
      </c>
      <c r="N914" s="10">
        <f t="shared" si="347"/>
        <v>0.25</v>
      </c>
      <c r="O914" s="10">
        <f t="shared" si="347"/>
        <v>0.25</v>
      </c>
      <c r="P914" s="10">
        <f t="shared" si="347"/>
        <v>0.5</v>
      </c>
      <c r="Q914" s="40">
        <f t="shared" si="351"/>
        <v>0</v>
      </c>
      <c r="R914" s="21">
        <f>IF(D914&gt;21,VLOOKUP(D914,Barem!$T$1:$U$141,2,1),0)</f>
        <v>0</v>
      </c>
      <c r="S914" s="152">
        <f>IF(D914&lt;1.609,0,IF(B914="F",VLOOKUP(I914,Barem!$X$2:$Z$13,2,1),VLOOKUP(I914,Barem!$X$14:$Z$25,2,1)))</f>
        <v>0.15000000000000002</v>
      </c>
      <c r="T914" s="21">
        <f>VLOOKUP(A914,Participanti!A:C,3,0)</f>
        <v>0</v>
      </c>
      <c r="U914" s="18">
        <f t="shared" si="352"/>
        <v>3.1404761904761904</v>
      </c>
      <c r="V914" s="58" t="s">
        <v>492</v>
      </c>
      <c r="W914" s="77">
        <f t="shared" si="346"/>
        <v>1</v>
      </c>
      <c r="X914" s="1" t="str">
        <f>VLOOKUP(A914,Data_Echipe!A:R,18,0)</f>
        <v>The GOATs</v>
      </c>
      <c r="Z914" s="115">
        <f t="shared" si="353"/>
        <v>1</v>
      </c>
    </row>
    <row r="915" spans="1:26" x14ac:dyDescent="0.3">
      <c r="A915" s="49" t="s">
        <v>137</v>
      </c>
      <c r="B915" s="1" t="str">
        <f>VLOOKUP(A915,Participanti!A:B,2,0)</f>
        <v>M</v>
      </c>
      <c r="C915" s="74">
        <v>11</v>
      </c>
      <c r="D915" s="50">
        <v>4.01</v>
      </c>
      <c r="E915" s="51">
        <v>1.1249999999999998E-2</v>
      </c>
      <c r="F915" s="51">
        <v>1.1377314814814814E-2</v>
      </c>
      <c r="G915" s="69">
        <f t="shared" si="348"/>
        <v>1.1313657407407406E-2</v>
      </c>
      <c r="H915" s="52"/>
      <c r="I915" s="12">
        <f t="shared" si="349"/>
        <v>2.8213609494781564E-3</v>
      </c>
      <c r="J915" s="37">
        <f t="shared" si="350"/>
        <v>0.9547619047619047</v>
      </c>
      <c r="K915" s="37">
        <f>IF(J915=0,0,IF(B915="F",VLOOKUP(I915,Barem!$G$2:$H$16,2,1),VLOOKUP(I915,Barem!$G$17:$H$31,2,1)))</f>
        <v>4.5</v>
      </c>
      <c r="L915" s="50">
        <v>3.25</v>
      </c>
      <c r="M915" s="124" t="s">
        <v>107</v>
      </c>
      <c r="N915" s="10">
        <f t="shared" si="347"/>
        <v>0.25</v>
      </c>
      <c r="O915" s="10">
        <f t="shared" si="347"/>
        <v>0.5</v>
      </c>
      <c r="P915" s="10">
        <f t="shared" si="347"/>
        <v>0.25</v>
      </c>
      <c r="Q915" s="40">
        <f t="shared" si="351"/>
        <v>0</v>
      </c>
      <c r="R915" s="21">
        <f>IF(D915&gt;21,VLOOKUP(D915,Barem!$T$1:$U$141,2,1),0)</f>
        <v>0</v>
      </c>
      <c r="S915" s="152">
        <f>IF(D915&lt;1.609,0,IF(B915="F",VLOOKUP(I915,Barem!$X$2:$Z$13,2,1),VLOOKUP(I915,Barem!$X$14:$Z$25,2,1)))</f>
        <v>0</v>
      </c>
      <c r="T915" s="21">
        <f>VLOOKUP(A915,Participanti!A:C,3,0)</f>
        <v>0</v>
      </c>
      <c r="U915" s="18">
        <f t="shared" si="352"/>
        <v>3.301190476190476</v>
      </c>
      <c r="V915" s="58" t="s">
        <v>492</v>
      </c>
      <c r="W915" s="77">
        <f t="shared" si="346"/>
        <v>1</v>
      </c>
      <c r="X915" s="1" t="str">
        <f>VLOOKUP(A915,Data_Echipe!A:R,18,0)</f>
        <v>The GOATs</v>
      </c>
      <c r="Z915" s="115">
        <f t="shared" si="353"/>
        <v>1</v>
      </c>
    </row>
    <row r="916" spans="1:26" x14ac:dyDescent="0.3">
      <c r="A916" s="49" t="s">
        <v>242</v>
      </c>
      <c r="B916" s="1" t="str">
        <f>VLOOKUP(A916,Participanti!A:B,2,0)</f>
        <v>M</v>
      </c>
      <c r="C916" s="74">
        <v>11</v>
      </c>
      <c r="D916" s="50">
        <v>10.14</v>
      </c>
      <c r="E916" s="51">
        <v>3.788194444444444E-2</v>
      </c>
      <c r="F916" s="51">
        <v>3.7939814814814815E-2</v>
      </c>
      <c r="G916" s="69">
        <f t="shared" si="348"/>
        <v>3.7910879629629628E-2</v>
      </c>
      <c r="H916" s="52"/>
      <c r="I916" s="12">
        <f t="shared" si="349"/>
        <v>3.7387455256044995E-3</v>
      </c>
      <c r="J916" s="37">
        <f t="shared" si="350"/>
        <v>2.4142857142857141</v>
      </c>
      <c r="K916" s="37">
        <f>IF(J916=0,0,IF(B916="F",VLOOKUP(I916,Barem!$G$2:$H$16,2,1),VLOOKUP(I916,Barem!$G$17:$H$31,2,1)))</f>
        <v>2</v>
      </c>
      <c r="L916" s="50">
        <v>1.75</v>
      </c>
      <c r="M916" s="124" t="s">
        <v>107</v>
      </c>
      <c r="N916" s="10">
        <f t="shared" si="347"/>
        <v>0.25</v>
      </c>
      <c r="O916" s="10">
        <f t="shared" si="347"/>
        <v>0.5</v>
      </c>
      <c r="P916" s="10">
        <f t="shared" si="347"/>
        <v>0.25</v>
      </c>
      <c r="Q916" s="40">
        <f t="shared" si="351"/>
        <v>0</v>
      </c>
      <c r="R916" s="21">
        <f>IF(D916&gt;21,VLOOKUP(D916,Barem!$T$1:$U$141,2,1),0)</f>
        <v>0</v>
      </c>
      <c r="S916" s="152">
        <f>IF(D916&lt;1.609,0,IF(B916="F",VLOOKUP(I916,Barem!$X$2:$Z$13,2,1),VLOOKUP(I916,Barem!$X$14:$Z$25,2,1)))</f>
        <v>0</v>
      </c>
      <c r="T916" s="21">
        <f>VLOOKUP(A916,Participanti!A:C,3,0)</f>
        <v>0</v>
      </c>
      <c r="U916" s="18">
        <f t="shared" si="352"/>
        <v>2.0410714285714286</v>
      </c>
      <c r="V916" s="58" t="s">
        <v>492</v>
      </c>
      <c r="W916" s="77">
        <f t="shared" si="346"/>
        <v>1</v>
      </c>
      <c r="X916" s="1" t="e">
        <f>VLOOKUP(A916,Data_Echipe!A:R,18,0)</f>
        <v>#N/A</v>
      </c>
      <c r="Z916" s="115">
        <f t="shared" si="353"/>
        <v>1</v>
      </c>
    </row>
    <row r="917" spans="1:26" x14ac:dyDescent="0.3">
      <c r="A917" s="49" t="s">
        <v>375</v>
      </c>
      <c r="B917" s="1" t="str">
        <f>VLOOKUP(A917,Participanti!A:B,2,0)</f>
        <v>M</v>
      </c>
      <c r="C917" s="74">
        <v>11</v>
      </c>
      <c r="D917" s="50">
        <v>23.1</v>
      </c>
      <c r="E917" s="51">
        <v>0.11984953703703705</v>
      </c>
      <c r="F917" s="51">
        <v>0.12431712962962964</v>
      </c>
      <c r="G917" s="69">
        <f t="shared" si="348"/>
        <v>0.12208333333333335</v>
      </c>
      <c r="H917" s="52">
        <v>1025</v>
      </c>
      <c r="I917" s="12">
        <f t="shared" si="349"/>
        <v>5.2849927849927857E-3</v>
      </c>
      <c r="J917" s="37">
        <f t="shared" si="350"/>
        <v>5</v>
      </c>
      <c r="K917" s="37">
        <f>IF(J917=0,0,IF(B917="F",VLOOKUP(I917,Barem!$G$2:$H$16,2,1),VLOOKUP(I917,Barem!$G$17:$H$31,2,1)))</f>
        <v>0.25</v>
      </c>
      <c r="L917" s="50">
        <v>2</v>
      </c>
      <c r="M917" s="124" t="s">
        <v>106</v>
      </c>
      <c r="N917" s="10">
        <f t="shared" ref="N917:P938" si="354">IF($M917=N$1,50%,25%)</f>
        <v>0.5</v>
      </c>
      <c r="O917" s="10">
        <f t="shared" si="354"/>
        <v>0.25</v>
      </c>
      <c r="P917" s="10">
        <f t="shared" si="354"/>
        <v>0.25</v>
      </c>
      <c r="Q917" s="40">
        <f t="shared" si="351"/>
        <v>0.68333333333333335</v>
      </c>
      <c r="R917" s="21">
        <f>IF(D917&gt;21,VLOOKUP(D917,Barem!$T$1:$U$141,2,1),0)</f>
        <v>0.1</v>
      </c>
      <c r="S917" s="152">
        <f>IF(D917&lt;1.609,0,IF(B917="F",VLOOKUP(I917,Barem!$X$2:$Z$13,2,1),VLOOKUP(I917,Barem!$X$14:$Z$25,2,1)))</f>
        <v>0</v>
      </c>
      <c r="T917" s="21">
        <f>VLOOKUP(A917,Participanti!A:C,3,0)</f>
        <v>0</v>
      </c>
      <c r="U917" s="18">
        <f t="shared" si="352"/>
        <v>3.8458333333333337</v>
      </c>
      <c r="V917" s="58" t="s">
        <v>492</v>
      </c>
      <c r="W917" s="77">
        <f t="shared" si="346"/>
        <v>1</v>
      </c>
      <c r="X917" s="1" t="e">
        <f>VLOOKUP(A917,Data_Echipe!A:R,18,0)</f>
        <v>#N/A</v>
      </c>
      <c r="Z917" s="115">
        <f t="shared" si="353"/>
        <v>1</v>
      </c>
    </row>
    <row r="918" spans="1:26" x14ac:dyDescent="0.3">
      <c r="A918" s="49" t="s">
        <v>431</v>
      </c>
      <c r="B918" s="1" t="str">
        <f>VLOOKUP(A918,Participanti!A:B,2,0)</f>
        <v>F</v>
      </c>
      <c r="C918" s="74">
        <v>11</v>
      </c>
      <c r="D918" s="50">
        <v>5.63</v>
      </c>
      <c r="E918" s="51">
        <v>2.3692129629629629E-2</v>
      </c>
      <c r="F918" s="51">
        <v>2.5891203703703704E-2</v>
      </c>
      <c r="G918" s="69">
        <f t="shared" si="348"/>
        <v>2.4791666666666667E-2</v>
      </c>
      <c r="H918" s="52"/>
      <c r="I918" s="12">
        <f t="shared" si="349"/>
        <v>4.4034931912374188E-3</v>
      </c>
      <c r="J918" s="37">
        <f t="shared" si="350"/>
        <v>1.4075</v>
      </c>
      <c r="K918" s="37">
        <f>IF(J918=0,0,IF(B918="F",VLOOKUP(I918,Barem!$G$2:$H$16,2,1),VLOOKUP(I918,Barem!$G$17:$H$31,2,1)))</f>
        <v>1.5</v>
      </c>
      <c r="L918" s="50">
        <v>2.25</v>
      </c>
      <c r="M918" s="124" t="s">
        <v>107</v>
      </c>
      <c r="N918" s="10">
        <f t="shared" si="354"/>
        <v>0.25</v>
      </c>
      <c r="O918" s="10">
        <f t="shared" si="354"/>
        <v>0.5</v>
      </c>
      <c r="P918" s="10">
        <f t="shared" si="354"/>
        <v>0.25</v>
      </c>
      <c r="Q918" s="40">
        <f t="shared" si="351"/>
        <v>0</v>
      </c>
      <c r="R918" s="21">
        <f>IF(D918&gt;21,VLOOKUP(D918,Barem!$T$1:$U$141,2,1),0)</f>
        <v>0</v>
      </c>
      <c r="S918" s="152">
        <f>IF(D918&lt;1.609,0,IF(B918="F",VLOOKUP(I918,Barem!$X$2:$Z$13,2,1),VLOOKUP(I918,Barem!$X$14:$Z$25,2,1)))</f>
        <v>0</v>
      </c>
      <c r="T918" s="21">
        <f>VLOOKUP(A918,Participanti!A:C,3,0)</f>
        <v>0.4</v>
      </c>
      <c r="U918" s="18">
        <f t="shared" si="352"/>
        <v>2.0643750000000001</v>
      </c>
      <c r="V918" s="58" t="s">
        <v>492</v>
      </c>
      <c r="W918" s="77">
        <f t="shared" si="346"/>
        <v>1</v>
      </c>
      <c r="X918" s="1" t="e">
        <f>VLOOKUP(A918,Data_Echipe!A:R,18,0)</f>
        <v>#N/A</v>
      </c>
      <c r="Z918" s="115">
        <f t="shared" si="353"/>
        <v>1</v>
      </c>
    </row>
    <row r="919" spans="1:26" x14ac:dyDescent="0.3">
      <c r="A919" s="49" t="s">
        <v>136</v>
      </c>
      <c r="B919" s="1" t="str">
        <f>VLOOKUP(A919,Participanti!A:B,2,0)</f>
        <v>F</v>
      </c>
      <c r="C919" s="74">
        <v>11</v>
      </c>
      <c r="D919" s="50">
        <v>2.71</v>
      </c>
      <c r="E919" s="51">
        <v>8.8773148148148153E-3</v>
      </c>
      <c r="F919" s="51">
        <v>1.2337962962962962E-2</v>
      </c>
      <c r="G919" s="69">
        <f t="shared" si="348"/>
        <v>1.0607638888888889E-2</v>
      </c>
      <c r="H919" s="52"/>
      <c r="I919" s="12">
        <f t="shared" si="349"/>
        <v>3.9142578925789257E-3</v>
      </c>
      <c r="J919" s="37">
        <f t="shared" si="350"/>
        <v>0.67749999999999999</v>
      </c>
      <c r="K919" s="37">
        <f>IF(J919=0,0,IF(B919="F",VLOOKUP(I919,Barem!$G$2:$H$16,2,1),VLOOKUP(I919,Barem!$G$17:$H$31,2,1)))</f>
        <v>2.5</v>
      </c>
      <c r="L919" s="50">
        <v>2.5</v>
      </c>
      <c r="M919" s="124" t="s">
        <v>107</v>
      </c>
      <c r="N919" s="10">
        <f t="shared" si="354"/>
        <v>0.25</v>
      </c>
      <c r="O919" s="10">
        <f t="shared" si="354"/>
        <v>0.5</v>
      </c>
      <c r="P919" s="10">
        <f t="shared" si="354"/>
        <v>0.25</v>
      </c>
      <c r="Q919" s="40">
        <f t="shared" si="351"/>
        <v>0</v>
      </c>
      <c r="R919" s="21">
        <f>IF(D919&gt;21,VLOOKUP(D919,Barem!$T$1:$U$141,2,1),0)</f>
        <v>0</v>
      </c>
      <c r="S919" s="152">
        <f>IF(D919&lt;1.609,0,IF(B919="F",VLOOKUP(I919,Barem!$X$2:$Z$13,2,1),VLOOKUP(I919,Barem!$X$14:$Z$25,2,1)))</f>
        <v>0</v>
      </c>
      <c r="T919" s="21">
        <f>VLOOKUP(A919,Participanti!A:C,3,0)</f>
        <v>0</v>
      </c>
      <c r="U919" s="18">
        <f t="shared" si="352"/>
        <v>2.0443750000000001</v>
      </c>
      <c r="V919" s="58" t="s">
        <v>492</v>
      </c>
      <c r="W919" s="77">
        <f t="shared" si="346"/>
        <v>1</v>
      </c>
      <c r="X919" s="1" t="e">
        <f>VLOOKUP(A919,Data_Echipe!A:R,18,0)</f>
        <v>#N/A</v>
      </c>
      <c r="Z919" s="115">
        <f t="shared" si="353"/>
        <v>1</v>
      </c>
    </row>
    <row r="920" spans="1:26" x14ac:dyDescent="0.3">
      <c r="A920" s="49" t="s">
        <v>292</v>
      </c>
      <c r="B920" s="1" t="str">
        <f>VLOOKUP(A920,Participanti!A:B,2,0)</f>
        <v>F</v>
      </c>
      <c r="C920" s="74">
        <v>11</v>
      </c>
      <c r="D920" s="50">
        <v>10.06</v>
      </c>
      <c r="E920" s="51">
        <v>5.6886574074074076E-2</v>
      </c>
      <c r="F920" s="51">
        <v>5.9837962962962961E-2</v>
      </c>
      <c r="G920" s="69">
        <f t="shared" si="348"/>
        <v>5.8362268518518515E-2</v>
      </c>
      <c r="H920" s="52">
        <v>433</v>
      </c>
      <c r="I920" s="12">
        <f t="shared" si="349"/>
        <v>5.801418341801045E-3</v>
      </c>
      <c r="J920" s="37">
        <f t="shared" si="350"/>
        <v>2.5150000000000001</v>
      </c>
      <c r="K920" s="37">
        <f>IF(J920=0,0,IF(B920="F",VLOOKUP(I920,Barem!$G$2:$H$16,2,1),VLOOKUP(I920,Barem!$G$17:$H$31,2,1)))</f>
        <v>0.25</v>
      </c>
      <c r="L920" s="50">
        <v>1</v>
      </c>
      <c r="M920" s="124" t="s">
        <v>107</v>
      </c>
      <c r="N920" s="10">
        <f t="shared" si="354"/>
        <v>0.25</v>
      </c>
      <c r="O920" s="10">
        <f t="shared" si="354"/>
        <v>0.5</v>
      </c>
      <c r="P920" s="10">
        <f t="shared" si="354"/>
        <v>0.25</v>
      </c>
      <c r="Q920" s="40">
        <f t="shared" si="351"/>
        <v>0.28866666666666668</v>
      </c>
      <c r="R920" s="21">
        <f>IF(D920&gt;21,VLOOKUP(D920,Barem!$T$1:$U$141,2,1),0)</f>
        <v>0</v>
      </c>
      <c r="S920" s="152">
        <f>IF(D920&lt;1.609,0,IF(B920="F",VLOOKUP(I920,Barem!$X$2:$Z$13,2,1),VLOOKUP(I920,Barem!$X$14:$Z$25,2,1)))</f>
        <v>0</v>
      </c>
      <c r="T920" s="21">
        <f>VLOOKUP(A920,Participanti!A:C,3,0)</f>
        <v>0</v>
      </c>
      <c r="U920" s="18">
        <f t="shared" si="352"/>
        <v>1.2924166666666668</v>
      </c>
      <c r="V920" s="58" t="s">
        <v>492</v>
      </c>
      <c r="W920" s="77">
        <f t="shared" si="346"/>
        <v>1</v>
      </c>
      <c r="X920" s="1" t="e">
        <f>VLOOKUP(A920,Data_Echipe!A:R,18,0)</f>
        <v>#N/A</v>
      </c>
      <c r="Z920" s="115">
        <f t="shared" si="353"/>
        <v>1</v>
      </c>
    </row>
    <row r="921" spans="1:26" x14ac:dyDescent="0.3">
      <c r="A921" s="49" t="s">
        <v>100</v>
      </c>
      <c r="B921" s="1" t="str">
        <f>VLOOKUP(A921,Participanti!A:B,2,0)</f>
        <v>F</v>
      </c>
      <c r="C921" s="74">
        <v>11</v>
      </c>
      <c r="D921" s="50">
        <v>5.01</v>
      </c>
      <c r="E921" s="51">
        <v>1.7939814814814815E-2</v>
      </c>
      <c r="F921" s="51">
        <v>1.9351851851851853E-2</v>
      </c>
      <c r="G921" s="69">
        <f t="shared" si="348"/>
        <v>1.8645833333333334E-2</v>
      </c>
      <c r="H921" s="52"/>
      <c r="I921" s="12">
        <f t="shared" si="349"/>
        <v>3.7217232202262146E-3</v>
      </c>
      <c r="J921" s="37">
        <f t="shared" si="350"/>
        <v>1.2524999999999999</v>
      </c>
      <c r="K921" s="37">
        <f>IF(J921=0,0,IF(B921="F",VLOOKUP(I921,Barem!$G$2:$H$16,2,1),VLOOKUP(I921,Barem!$G$17:$H$31,2,1)))</f>
        <v>3</v>
      </c>
      <c r="L921" s="50">
        <v>2.5</v>
      </c>
      <c r="M921" s="124" t="s">
        <v>107</v>
      </c>
      <c r="N921" s="10">
        <f t="shared" si="354"/>
        <v>0.25</v>
      </c>
      <c r="O921" s="10">
        <f t="shared" si="354"/>
        <v>0.5</v>
      </c>
      <c r="P921" s="10">
        <f t="shared" si="354"/>
        <v>0.25</v>
      </c>
      <c r="Q921" s="40">
        <f t="shared" si="351"/>
        <v>0</v>
      </c>
      <c r="R921" s="21">
        <f>IF(D921&gt;21,VLOOKUP(D921,Barem!$T$1:$U$141,2,1),0)</f>
        <v>0</v>
      </c>
      <c r="S921" s="152">
        <f>IF(D921&lt;1.609,0,IF(B921="F",VLOOKUP(I921,Barem!$X$2:$Z$13,2,1),VLOOKUP(I921,Barem!$X$14:$Z$25,2,1)))</f>
        <v>0</v>
      </c>
      <c r="T921" s="21">
        <f>VLOOKUP(A921,Participanti!A:C,3,0)</f>
        <v>0</v>
      </c>
      <c r="U921" s="18">
        <f t="shared" si="352"/>
        <v>2.4381249999999999</v>
      </c>
      <c r="V921" s="58" t="s">
        <v>492</v>
      </c>
      <c r="W921" s="77">
        <f t="shared" si="346"/>
        <v>1</v>
      </c>
      <c r="X921" s="1" t="e">
        <f>VLOOKUP(A921,Data_Echipe!A:R,18,0)</f>
        <v>#N/A</v>
      </c>
      <c r="Z921" s="115">
        <f t="shared" si="353"/>
        <v>1</v>
      </c>
    </row>
    <row r="922" spans="1:26" x14ac:dyDescent="0.3">
      <c r="A922" s="49" t="s">
        <v>351</v>
      </c>
      <c r="B922" s="1" t="str">
        <f>VLOOKUP(A922,Participanti!A:B,2,0)</f>
        <v>F</v>
      </c>
      <c r="C922" s="74">
        <v>11</v>
      </c>
      <c r="D922" s="50">
        <v>21.34</v>
      </c>
      <c r="E922" s="51">
        <v>7.4212962962962967E-2</v>
      </c>
      <c r="F922" s="51">
        <v>7.4212962962962967E-2</v>
      </c>
      <c r="G922" s="69">
        <f t="shared" si="348"/>
        <v>7.4212962962962967E-2</v>
      </c>
      <c r="H922" s="52"/>
      <c r="I922" s="12">
        <f t="shared" si="349"/>
        <v>3.4776458745530911E-3</v>
      </c>
      <c r="J922" s="37">
        <f t="shared" si="350"/>
        <v>5</v>
      </c>
      <c r="K922" s="37">
        <f>IF(J922=0,0,IF(B922="F",VLOOKUP(I922,Barem!$G$2:$H$16,2,1),VLOOKUP(I922,Barem!$G$17:$H$31,2,1)))</f>
        <v>4</v>
      </c>
      <c r="L922" s="50">
        <v>2</v>
      </c>
      <c r="M922" s="124" t="s">
        <v>107</v>
      </c>
      <c r="N922" s="10">
        <f t="shared" si="354"/>
        <v>0.25</v>
      </c>
      <c r="O922" s="10">
        <f t="shared" si="354"/>
        <v>0.5</v>
      </c>
      <c r="P922" s="10">
        <f t="shared" si="354"/>
        <v>0.25</v>
      </c>
      <c r="Q922" s="40">
        <f t="shared" si="351"/>
        <v>0</v>
      </c>
      <c r="R922" s="21">
        <f>IF(D922&gt;21,VLOOKUP(D922,Barem!$T$1:$U$141,2,1),0)</f>
        <v>0</v>
      </c>
      <c r="S922" s="152">
        <f>IF(D922&lt;1.609,0,IF(B922="F",VLOOKUP(I922,Barem!$X$2:$Z$13,2,1),VLOOKUP(I922,Barem!$X$14:$Z$25,2,1)))</f>
        <v>0</v>
      </c>
      <c r="T922" s="21">
        <f>VLOOKUP(A922,Participanti!A:C,3,0)</f>
        <v>0</v>
      </c>
      <c r="U922" s="18">
        <f t="shared" si="352"/>
        <v>3.75</v>
      </c>
      <c r="V922" s="58" t="s">
        <v>492</v>
      </c>
      <c r="W922" s="77">
        <f t="shared" si="346"/>
        <v>1</v>
      </c>
      <c r="X922" s="1" t="e">
        <f>VLOOKUP(A922,Data_Echipe!A:R,18,0)</f>
        <v>#N/A</v>
      </c>
      <c r="Z922" s="115">
        <f t="shared" si="353"/>
        <v>1</v>
      </c>
    </row>
    <row r="923" spans="1:26" x14ac:dyDescent="0.3">
      <c r="A923" s="49" t="s">
        <v>341</v>
      </c>
      <c r="B923" s="1" t="str">
        <f>VLOOKUP(A923,Participanti!A:B,2,0)</f>
        <v>M</v>
      </c>
      <c r="C923" s="74">
        <v>11</v>
      </c>
      <c r="D923" s="50">
        <v>10.02</v>
      </c>
      <c r="E923" s="51">
        <v>2.6620370370370374E-2</v>
      </c>
      <c r="F923" s="51">
        <v>2.6620370370370374E-2</v>
      </c>
      <c r="G923" s="69">
        <f t="shared" si="348"/>
        <v>2.6620370370370374E-2</v>
      </c>
      <c r="H923" s="52"/>
      <c r="I923" s="12">
        <f t="shared" si="349"/>
        <v>2.6567235898573229E-3</v>
      </c>
      <c r="J923" s="37">
        <f t="shared" si="350"/>
        <v>2.3857142857142857</v>
      </c>
      <c r="K923" s="37">
        <f>IF(J923=0,0,IF(B923="F",VLOOKUP(I923,Barem!$G$2:$H$16,2,1),VLOOKUP(I923,Barem!$G$17:$H$31,2,1)))</f>
        <v>5</v>
      </c>
      <c r="L923" s="50">
        <v>1.75</v>
      </c>
      <c r="M923" s="124" t="s">
        <v>107</v>
      </c>
      <c r="N923" s="10">
        <f t="shared" si="354"/>
        <v>0.25</v>
      </c>
      <c r="O923" s="10">
        <f t="shared" si="354"/>
        <v>0.5</v>
      </c>
      <c r="P923" s="10">
        <f t="shared" si="354"/>
        <v>0.25</v>
      </c>
      <c r="Q923" s="40">
        <f t="shared" si="351"/>
        <v>0</v>
      </c>
      <c r="R923" s="21">
        <f>IF(D923&gt;21,VLOOKUP(D923,Barem!$T$1:$U$141,2,1),0)</f>
        <v>0</v>
      </c>
      <c r="S923" s="152">
        <f>IF(D923&lt;1.609,0,IF(B923="F",VLOOKUP(I923,Barem!$X$2:$Z$13,2,1),VLOOKUP(I923,Barem!$X$14:$Z$25,2,1)))</f>
        <v>0.89999999999999991</v>
      </c>
      <c r="T923" s="21">
        <f>VLOOKUP(A923,Participanti!A:C,3,0)</f>
        <v>0</v>
      </c>
      <c r="U923" s="18">
        <f t="shared" si="352"/>
        <v>4.4339285714285719</v>
      </c>
      <c r="V923" s="58" t="s">
        <v>492</v>
      </c>
      <c r="W923" s="77">
        <f t="shared" si="346"/>
        <v>1</v>
      </c>
      <c r="X923" s="1" t="str">
        <f>VLOOKUP(A923,Data_Echipe!A:R,18,0)</f>
        <v>The GOATs</v>
      </c>
      <c r="Z923" s="115">
        <f t="shared" si="353"/>
        <v>1</v>
      </c>
    </row>
    <row r="924" spans="1:26" x14ac:dyDescent="0.3">
      <c r="A924" s="49" t="s">
        <v>335</v>
      </c>
      <c r="B924" s="1" t="str">
        <f>VLOOKUP(A924,Participanti!A:B,2,0)</f>
        <v>M</v>
      </c>
      <c r="C924" s="74">
        <v>11</v>
      </c>
      <c r="D924" s="50">
        <v>5</v>
      </c>
      <c r="E924" s="51">
        <v>1.7199074074074071E-2</v>
      </c>
      <c r="F924" s="51">
        <v>1.7199074074074071E-2</v>
      </c>
      <c r="G924" s="69">
        <f t="shared" si="348"/>
        <v>1.7199074074074071E-2</v>
      </c>
      <c r="H924" s="52"/>
      <c r="I924" s="12">
        <f t="shared" si="349"/>
        <v>3.4398148148148144E-3</v>
      </c>
      <c r="J924" s="37">
        <f t="shared" si="350"/>
        <v>1.1904761904761905</v>
      </c>
      <c r="K924" s="37">
        <f>IF(J924=0,0,IF(B924="F",VLOOKUP(I924,Barem!$G$2:$H$16,2,1),VLOOKUP(I924,Barem!$G$17:$H$31,2,1)))</f>
        <v>3</v>
      </c>
      <c r="L924" s="50">
        <v>1</v>
      </c>
      <c r="M924" s="124" t="s">
        <v>107</v>
      </c>
      <c r="N924" s="10">
        <f t="shared" si="354"/>
        <v>0.25</v>
      </c>
      <c r="O924" s="10">
        <f t="shared" si="354"/>
        <v>0.5</v>
      </c>
      <c r="P924" s="10">
        <f t="shared" si="354"/>
        <v>0.25</v>
      </c>
      <c r="Q924" s="40">
        <f t="shared" si="351"/>
        <v>0</v>
      </c>
      <c r="R924" s="21">
        <f>IF(D924&gt;21,VLOOKUP(D924,Barem!$T$1:$U$141,2,1),0)</f>
        <v>0</v>
      </c>
      <c r="S924" s="152">
        <f>IF(D924&lt;1.609,0,IF(B924="F",VLOOKUP(I924,Barem!$X$2:$Z$13,2,1),VLOOKUP(I924,Barem!$X$14:$Z$25,2,1)))</f>
        <v>0</v>
      </c>
      <c r="T924" s="21">
        <f>VLOOKUP(A924,Participanti!A:C,3,0)</f>
        <v>0.4</v>
      </c>
      <c r="U924" s="18">
        <f t="shared" si="352"/>
        <v>2.4476190476190474</v>
      </c>
      <c r="V924" s="58" t="s">
        <v>492</v>
      </c>
      <c r="W924" s="77">
        <f t="shared" si="346"/>
        <v>1</v>
      </c>
      <c r="X924" s="1" t="e">
        <f>VLOOKUP(A924,Data_Echipe!A:R,18,0)</f>
        <v>#N/A</v>
      </c>
      <c r="Z924" s="115">
        <f t="shared" si="353"/>
        <v>1</v>
      </c>
    </row>
    <row r="925" spans="1:26" x14ac:dyDescent="0.3">
      <c r="A925" s="49" t="s">
        <v>288</v>
      </c>
      <c r="B925" s="1" t="str">
        <f>VLOOKUP(A925,Participanti!A:B,2,0)</f>
        <v>M</v>
      </c>
      <c r="C925" s="74">
        <v>11</v>
      </c>
      <c r="D925" s="50">
        <v>10.17</v>
      </c>
      <c r="E925" s="51">
        <v>3.1620370370370368E-2</v>
      </c>
      <c r="F925" s="51">
        <v>3.1620370370370368E-2</v>
      </c>
      <c r="G925" s="69">
        <f t="shared" si="348"/>
        <v>3.1620370370370368E-2</v>
      </c>
      <c r="H925" s="52"/>
      <c r="I925" s="12">
        <f t="shared" si="349"/>
        <v>3.1091809607050511E-3</v>
      </c>
      <c r="J925" s="37">
        <f t="shared" si="350"/>
        <v>2.4214285714285713</v>
      </c>
      <c r="K925" s="37">
        <f>IF(J925=0,0,IF(B925="F",VLOOKUP(I925,Barem!$G$2:$H$16,2,1),VLOOKUP(I925,Barem!$G$17:$H$31,2,1)))</f>
        <v>4</v>
      </c>
      <c r="L925" s="50">
        <v>2.25</v>
      </c>
      <c r="M925" s="124" t="s">
        <v>107</v>
      </c>
      <c r="N925" s="10">
        <f t="shared" si="354"/>
        <v>0.25</v>
      </c>
      <c r="O925" s="10">
        <f t="shared" si="354"/>
        <v>0.5</v>
      </c>
      <c r="P925" s="10">
        <f t="shared" si="354"/>
        <v>0.25</v>
      </c>
      <c r="Q925" s="40">
        <f t="shared" si="351"/>
        <v>0</v>
      </c>
      <c r="R925" s="21">
        <f>IF(D925&gt;21,VLOOKUP(D925,Barem!$T$1:$U$141,2,1),0)</f>
        <v>0</v>
      </c>
      <c r="S925" s="152">
        <f>IF(D925&lt;1.609,0,IF(B925="F",VLOOKUP(I925,Barem!$X$2:$Z$13,2,1),VLOOKUP(I925,Barem!$X$14:$Z$25,2,1)))</f>
        <v>0</v>
      </c>
      <c r="T925" s="21">
        <f>VLOOKUP(A925,Participanti!A:C,3,0)</f>
        <v>0</v>
      </c>
      <c r="U925" s="18">
        <f t="shared" si="352"/>
        <v>3.1678571428571427</v>
      </c>
      <c r="V925" s="58" t="s">
        <v>492</v>
      </c>
      <c r="W925" s="77">
        <f t="shared" si="346"/>
        <v>1</v>
      </c>
      <c r="X925" s="1" t="e">
        <f>VLOOKUP(A925,Data_Echipe!A:R,18,0)</f>
        <v>#N/A</v>
      </c>
      <c r="Z925" s="115">
        <f t="shared" si="353"/>
        <v>1</v>
      </c>
    </row>
    <row r="926" spans="1:26" x14ac:dyDescent="0.3">
      <c r="A926" s="49" t="s">
        <v>204</v>
      </c>
      <c r="B926" s="1" t="str">
        <f>VLOOKUP(A926,Participanti!A:B,2,0)</f>
        <v>M</v>
      </c>
      <c r="C926" s="74">
        <v>11</v>
      </c>
      <c r="D926" s="50">
        <v>10.71</v>
      </c>
      <c r="E926" s="51">
        <v>2.8668981481481479E-2</v>
      </c>
      <c r="F926" s="51">
        <v>2.9374999999999998E-2</v>
      </c>
      <c r="G926" s="69">
        <f t="shared" si="348"/>
        <v>2.9021990740740737E-2</v>
      </c>
      <c r="H926" s="52"/>
      <c r="I926" s="12">
        <f t="shared" si="349"/>
        <v>2.7098030570252788E-3</v>
      </c>
      <c r="J926" s="37">
        <f t="shared" si="350"/>
        <v>2.5500000000000003</v>
      </c>
      <c r="K926" s="37">
        <f>IF(J926=0,0,IF(B926="F",VLOOKUP(I926,Barem!$G$2:$H$16,2,1),VLOOKUP(I926,Barem!$G$17:$H$31,2,1)))</f>
        <v>5</v>
      </c>
      <c r="L926" s="50">
        <v>2.25</v>
      </c>
      <c r="M926" s="124" t="s">
        <v>107</v>
      </c>
      <c r="N926" s="10">
        <f t="shared" si="354"/>
        <v>0.25</v>
      </c>
      <c r="O926" s="10">
        <f t="shared" si="354"/>
        <v>0.5</v>
      </c>
      <c r="P926" s="10">
        <f t="shared" si="354"/>
        <v>0.25</v>
      </c>
      <c r="Q926" s="40">
        <f t="shared" si="351"/>
        <v>0</v>
      </c>
      <c r="R926" s="21">
        <f>IF(D926&gt;21,VLOOKUP(D926,Barem!$T$1:$U$141,2,1),0)</f>
        <v>0</v>
      </c>
      <c r="S926" s="152">
        <f>IF(D926&lt;1.609,0,IF(B926="F",VLOOKUP(I926,Barem!$X$2:$Z$13,2,1),VLOOKUP(I926,Barem!$X$14:$Z$25,2,1)))</f>
        <v>0.45000000000000007</v>
      </c>
      <c r="T926" s="21">
        <f>VLOOKUP(A926,Participanti!A:C,3,0)</f>
        <v>0</v>
      </c>
      <c r="U926" s="18">
        <f t="shared" si="352"/>
        <v>4.1500000000000004</v>
      </c>
      <c r="V926" s="58" t="s">
        <v>492</v>
      </c>
      <c r="W926" s="77">
        <f t="shared" si="346"/>
        <v>1</v>
      </c>
      <c r="X926" s="1" t="e">
        <f>VLOOKUP(A926,Data_Echipe!A:R,18,0)</f>
        <v>#N/A</v>
      </c>
      <c r="Z926" s="115">
        <f t="shared" si="353"/>
        <v>1</v>
      </c>
    </row>
    <row r="927" spans="1:26" x14ac:dyDescent="0.3">
      <c r="A927" s="49" t="s">
        <v>368</v>
      </c>
      <c r="B927" s="1" t="str">
        <f>VLOOKUP(A927,Participanti!A:B,2,0)</f>
        <v>M</v>
      </c>
      <c r="C927" s="74">
        <v>11</v>
      </c>
      <c r="D927" s="50">
        <v>3.53</v>
      </c>
      <c r="E927" s="51">
        <v>9.6759259259259264E-3</v>
      </c>
      <c r="F927" s="51">
        <v>9.7222222222222224E-3</v>
      </c>
      <c r="G927" s="69">
        <f t="shared" si="348"/>
        <v>9.6990740740740752E-3</v>
      </c>
      <c r="H927" s="52"/>
      <c r="I927" s="12">
        <f t="shared" si="349"/>
        <v>2.7476130521456306E-3</v>
      </c>
      <c r="J927" s="37">
        <f t="shared" si="350"/>
        <v>0.84047619047619038</v>
      </c>
      <c r="K927" s="37">
        <f>IF(J927=0,0,IF(B927="F",VLOOKUP(I927,Barem!$G$2:$H$16,2,1),VLOOKUP(I927,Barem!$G$17:$H$31,2,1)))</f>
        <v>5</v>
      </c>
      <c r="L927" s="50">
        <v>2</v>
      </c>
      <c r="M927" s="124" t="s">
        <v>107</v>
      </c>
      <c r="N927" s="10">
        <f t="shared" si="354"/>
        <v>0.25</v>
      </c>
      <c r="O927" s="10">
        <f t="shared" si="354"/>
        <v>0.5</v>
      </c>
      <c r="P927" s="10">
        <f t="shared" si="354"/>
        <v>0.25</v>
      </c>
      <c r="Q927" s="40">
        <f t="shared" si="351"/>
        <v>0</v>
      </c>
      <c r="R927" s="21">
        <f>IF(D927&gt;21,VLOOKUP(D927,Barem!$T$1:$U$141,2,1),0)</f>
        <v>0</v>
      </c>
      <c r="S927" s="152">
        <f>IF(D927&lt;1.609,0,IF(B927="F",VLOOKUP(I927,Barem!$X$2:$Z$13,2,1),VLOOKUP(I927,Barem!$X$14:$Z$25,2,1)))</f>
        <v>0.15000000000000002</v>
      </c>
      <c r="T927" s="21">
        <f>VLOOKUP(A927,Participanti!A:C,3,0)</f>
        <v>0</v>
      </c>
      <c r="U927" s="18">
        <f t="shared" si="352"/>
        <v>3.3601190476190474</v>
      </c>
      <c r="V927" s="58" t="s">
        <v>492</v>
      </c>
      <c r="W927" s="77">
        <f t="shared" si="346"/>
        <v>1</v>
      </c>
      <c r="X927" s="1" t="str">
        <f>VLOOKUP(A927,Data_Echipe!A:R,18,0)</f>
        <v>Almost Kenyan Runners</v>
      </c>
      <c r="Z927" s="115">
        <f t="shared" si="353"/>
        <v>1</v>
      </c>
    </row>
    <row r="928" spans="1:26" x14ac:dyDescent="0.3">
      <c r="A928" s="49" t="s">
        <v>357</v>
      </c>
      <c r="B928" s="1" t="str">
        <f>VLOOKUP(A928,Participanti!A:B,2,0)</f>
        <v>M</v>
      </c>
      <c r="C928" s="74">
        <v>11</v>
      </c>
      <c r="D928" s="50">
        <v>3.01</v>
      </c>
      <c r="E928" s="51">
        <v>8.9351851851851866E-3</v>
      </c>
      <c r="F928" s="51">
        <v>8.9351851851851866E-3</v>
      </c>
      <c r="G928" s="69">
        <f t="shared" si="348"/>
        <v>8.9351851851851866E-3</v>
      </c>
      <c r="H928" s="52"/>
      <c r="I928" s="12">
        <f t="shared" si="349"/>
        <v>2.9685000615233179E-3</v>
      </c>
      <c r="J928" s="37">
        <f t="shared" si="350"/>
        <v>0.71666666666666656</v>
      </c>
      <c r="K928" s="37">
        <f>IF(J928=0,0,IF(B928="F",VLOOKUP(I928,Barem!$G$2:$H$16,2,1),VLOOKUP(I928,Barem!$G$17:$H$31,2,1)))</f>
        <v>4</v>
      </c>
      <c r="L928" s="50">
        <v>2</v>
      </c>
      <c r="M928" s="124" t="s">
        <v>107</v>
      </c>
      <c r="N928" s="10">
        <f t="shared" si="354"/>
        <v>0.25</v>
      </c>
      <c r="O928" s="10">
        <f t="shared" si="354"/>
        <v>0.5</v>
      </c>
      <c r="P928" s="10">
        <f t="shared" si="354"/>
        <v>0.25</v>
      </c>
      <c r="Q928" s="40">
        <f t="shared" si="351"/>
        <v>0</v>
      </c>
      <c r="R928" s="21">
        <f>IF(D928&gt;21,VLOOKUP(D928,Barem!$T$1:$U$141,2,1),0)</f>
        <v>0</v>
      </c>
      <c r="S928" s="152">
        <f>IF(D928&lt;1.609,0,IF(B928="F",VLOOKUP(I928,Barem!$X$2:$Z$13,2,1),VLOOKUP(I928,Barem!$X$14:$Z$25,2,1)))</f>
        <v>0</v>
      </c>
      <c r="T928" s="21">
        <f>VLOOKUP(A928,Participanti!A:C,3,0)</f>
        <v>0</v>
      </c>
      <c r="U928" s="18">
        <f t="shared" si="352"/>
        <v>2.6791666666666667</v>
      </c>
      <c r="V928" s="58" t="s">
        <v>492</v>
      </c>
      <c r="W928" s="77">
        <f t="shared" si="346"/>
        <v>1</v>
      </c>
      <c r="X928" s="1" t="e">
        <f>VLOOKUP(A928,Data_Echipe!A:R,18,0)</f>
        <v>#N/A</v>
      </c>
      <c r="Z928" s="115">
        <f t="shared" si="353"/>
        <v>1</v>
      </c>
    </row>
    <row r="929" spans="1:26" x14ac:dyDescent="0.3">
      <c r="A929" s="49" t="s">
        <v>332</v>
      </c>
      <c r="B929" s="1" t="str">
        <f>VLOOKUP(A929,Participanti!A:B,2,0)</f>
        <v>M</v>
      </c>
      <c r="C929" s="74">
        <v>11</v>
      </c>
      <c r="D929" s="50">
        <v>8.01</v>
      </c>
      <c r="E929" s="51">
        <v>2.6689814814814816E-2</v>
      </c>
      <c r="F929" s="51">
        <v>2.8287037037037038E-2</v>
      </c>
      <c r="G929" s="69">
        <f t="shared" si="348"/>
        <v>2.7488425925925927E-2</v>
      </c>
      <c r="H929" s="52"/>
      <c r="I929" s="12">
        <f t="shared" si="349"/>
        <v>3.4317635363203406E-3</v>
      </c>
      <c r="J929" s="37">
        <f t="shared" si="350"/>
        <v>1.907142857142857</v>
      </c>
      <c r="K929" s="37">
        <f>IF(J929=0,0,IF(B929="F",VLOOKUP(I929,Barem!$G$2:$H$16,2,1),VLOOKUP(I929,Barem!$G$17:$H$31,2,1)))</f>
        <v>3</v>
      </c>
      <c r="L929" s="50">
        <v>2.75</v>
      </c>
      <c r="M929" s="124" t="s">
        <v>107</v>
      </c>
      <c r="N929" s="10">
        <f t="shared" si="354"/>
        <v>0.25</v>
      </c>
      <c r="O929" s="10">
        <f t="shared" si="354"/>
        <v>0.5</v>
      </c>
      <c r="P929" s="10">
        <f t="shared" si="354"/>
        <v>0.25</v>
      </c>
      <c r="Q929" s="40">
        <f t="shared" si="351"/>
        <v>0</v>
      </c>
      <c r="R929" s="21">
        <f>IF(D929&gt;21,VLOOKUP(D929,Barem!$T$1:$U$141,2,1),0)</f>
        <v>0</v>
      </c>
      <c r="S929" s="152">
        <f>IF(D929&lt;1.609,0,IF(B929="F",VLOOKUP(I929,Barem!$X$2:$Z$13,2,1),VLOOKUP(I929,Barem!$X$14:$Z$25,2,1)))</f>
        <v>0</v>
      </c>
      <c r="T929" s="21">
        <f>VLOOKUP(A929,Participanti!A:C,3,0)</f>
        <v>0.4</v>
      </c>
      <c r="U929" s="18">
        <f t="shared" si="352"/>
        <v>3.0642857142857141</v>
      </c>
      <c r="V929" s="58" t="s">
        <v>492</v>
      </c>
      <c r="W929" s="77">
        <f t="shared" si="346"/>
        <v>1</v>
      </c>
      <c r="X929" s="1" t="str">
        <f>VLOOKUP(A929,Data_Echipe!A:R,18,0)</f>
        <v>MedgidiaRunning</v>
      </c>
      <c r="Z929" s="115">
        <f t="shared" si="353"/>
        <v>1</v>
      </c>
    </row>
    <row r="930" spans="1:26" x14ac:dyDescent="0.3">
      <c r="A930" s="49" t="s">
        <v>333</v>
      </c>
      <c r="B930" s="1" t="str">
        <f>VLOOKUP(A930,Participanti!A:B,2,0)</f>
        <v>M</v>
      </c>
      <c r="C930" s="74">
        <v>11</v>
      </c>
      <c r="D930" s="50">
        <v>21.1</v>
      </c>
      <c r="E930" s="51">
        <v>7.6655092592592594E-2</v>
      </c>
      <c r="F930" s="51">
        <v>7.6655092592592594E-2</v>
      </c>
      <c r="G930" s="69">
        <f t="shared" si="348"/>
        <v>7.6655092592592594E-2</v>
      </c>
      <c r="H930" s="52"/>
      <c r="I930" s="12">
        <f t="shared" si="349"/>
        <v>3.6329427769001229E-3</v>
      </c>
      <c r="J930" s="37">
        <f t="shared" si="350"/>
        <v>5</v>
      </c>
      <c r="K930" s="37">
        <f>IF(J930=0,0,IF(B930="F",VLOOKUP(I930,Barem!$G$2:$H$16,2,1),VLOOKUP(I930,Barem!$G$17:$H$31,2,1)))</f>
        <v>2.5</v>
      </c>
      <c r="L930" s="50">
        <v>2.25</v>
      </c>
      <c r="M930" s="124" t="s">
        <v>107</v>
      </c>
      <c r="N930" s="10">
        <f t="shared" si="354"/>
        <v>0.25</v>
      </c>
      <c r="O930" s="10">
        <f t="shared" si="354"/>
        <v>0.5</v>
      </c>
      <c r="P930" s="10">
        <f t="shared" si="354"/>
        <v>0.25</v>
      </c>
      <c r="Q930" s="40">
        <f t="shared" si="351"/>
        <v>0</v>
      </c>
      <c r="R930" s="21">
        <f>IF(D930&gt;21,VLOOKUP(D930,Barem!$T$1:$U$141,2,1),0)</f>
        <v>0</v>
      </c>
      <c r="S930" s="152">
        <f>IF(D930&lt;1.609,0,IF(B930="F",VLOOKUP(I930,Barem!$X$2:$Z$13,2,1),VLOOKUP(I930,Barem!$X$14:$Z$25,2,1)))</f>
        <v>0</v>
      </c>
      <c r="T930" s="21">
        <f>VLOOKUP(A930,Participanti!A:C,3,0)</f>
        <v>0</v>
      </c>
      <c r="U930" s="18">
        <f t="shared" si="352"/>
        <v>3.0625</v>
      </c>
      <c r="V930" s="58" t="s">
        <v>492</v>
      </c>
      <c r="W930" s="77">
        <f t="shared" si="346"/>
        <v>1</v>
      </c>
      <c r="X930" s="1" t="str">
        <f>VLOOKUP(A930,Data_Echipe!A:R,18,0)</f>
        <v>UltraHaita lu' Borcan</v>
      </c>
      <c r="Z930" s="115">
        <f t="shared" si="353"/>
        <v>1</v>
      </c>
    </row>
    <row r="931" spans="1:26" x14ac:dyDescent="0.3">
      <c r="A931" s="132" t="s">
        <v>359</v>
      </c>
      <c r="B931" s="133" t="str">
        <f>VLOOKUP(A931,Participanti!A:B,2,0)</f>
        <v>M</v>
      </c>
      <c r="C931" s="134">
        <v>11</v>
      </c>
      <c r="D931" s="135">
        <v>0</v>
      </c>
      <c r="E931" s="136">
        <v>0</v>
      </c>
      <c r="F931" s="136">
        <v>0</v>
      </c>
      <c r="G931" s="137">
        <f t="shared" si="348"/>
        <v>0</v>
      </c>
      <c r="H931" s="138"/>
      <c r="I931" s="139">
        <v>0</v>
      </c>
      <c r="J931" s="140">
        <f t="shared" si="350"/>
        <v>0</v>
      </c>
      <c r="K931" s="140">
        <f>IF(J931=0,0,IF(B931="F",VLOOKUP(I931,Barem!$G$2:$H$16,2,1),VLOOKUP(I931,Barem!$G$17:$H$31,2,1)))</f>
        <v>0</v>
      </c>
      <c r="L931" s="135"/>
      <c r="M931" s="141" t="s">
        <v>459</v>
      </c>
      <c r="N931" s="142">
        <f t="shared" si="354"/>
        <v>0.25</v>
      </c>
      <c r="O931" s="142">
        <f t="shared" si="354"/>
        <v>0.25</v>
      </c>
      <c r="P931" s="142">
        <f t="shared" si="354"/>
        <v>0.25</v>
      </c>
      <c r="Q931" s="143">
        <f t="shared" si="351"/>
        <v>0</v>
      </c>
      <c r="R931" s="144">
        <f>IF(D931&gt;21,VLOOKUP(D931,Barem!$T$1:$U$141,2,1),0)</f>
        <v>0</v>
      </c>
      <c r="S931" s="156">
        <f>IF(D931&lt;1.609,0,IF(B931="F",VLOOKUP(I931,Barem!$X$2:$Z$13,2,1),VLOOKUP(I931,Barem!$X$14:$Z$25,2,1)))</f>
        <v>0</v>
      </c>
      <c r="T931" s="144">
        <f>VLOOKUP(A931,Participanti!A:C,3,0)</f>
        <v>0</v>
      </c>
      <c r="U931" s="143">
        <v>1.5</v>
      </c>
      <c r="V931" s="145" t="s">
        <v>492</v>
      </c>
      <c r="W931" s="146">
        <f t="shared" si="346"/>
        <v>1</v>
      </c>
      <c r="X931" s="133" t="str">
        <f>VLOOKUP(A931,Data_Echipe!A:R,18,0)</f>
        <v>Almost Kenyan Runners</v>
      </c>
      <c r="Y931" s="133"/>
      <c r="Z931" s="147">
        <f t="shared" si="353"/>
        <v>0</v>
      </c>
    </row>
    <row r="932" spans="1:26" x14ac:dyDescent="0.3">
      <c r="A932" s="49" t="s">
        <v>448</v>
      </c>
      <c r="B932" s="1" t="str">
        <f>VLOOKUP(A932,Participanti!A:B,2,0)</f>
        <v>M</v>
      </c>
      <c r="C932" s="74">
        <v>11</v>
      </c>
      <c r="D932" s="50">
        <v>21.06</v>
      </c>
      <c r="E932" s="51">
        <v>7.0324074074074081E-2</v>
      </c>
      <c r="F932" s="51">
        <v>7.0451388888888897E-2</v>
      </c>
      <c r="G932" s="69">
        <f t="shared" si="348"/>
        <v>7.0387731481481489E-2</v>
      </c>
      <c r="H932" s="52"/>
      <c r="I932" s="12">
        <f t="shared" si="349"/>
        <v>3.3422474587598049E-3</v>
      </c>
      <c r="J932" s="37">
        <f t="shared" si="350"/>
        <v>5</v>
      </c>
      <c r="K932" s="37">
        <f>IF(J932=0,0,IF(B932="F",VLOOKUP(I932,Barem!$G$2:$H$16,2,1),VLOOKUP(I932,Barem!$G$17:$H$31,2,1)))</f>
        <v>3</v>
      </c>
      <c r="L932" s="50">
        <v>1.25</v>
      </c>
      <c r="M932" s="124" t="s">
        <v>107</v>
      </c>
      <c r="N932" s="10">
        <f t="shared" si="354"/>
        <v>0.25</v>
      </c>
      <c r="O932" s="10">
        <f t="shared" si="354"/>
        <v>0.5</v>
      </c>
      <c r="P932" s="10">
        <f t="shared" si="354"/>
        <v>0.25</v>
      </c>
      <c r="Q932" s="40">
        <f t="shared" si="351"/>
        <v>0</v>
      </c>
      <c r="R932" s="21">
        <f>IF(D932&gt;21,VLOOKUP(D932,Barem!$T$1:$U$141,2,1),0)</f>
        <v>0</v>
      </c>
      <c r="S932" s="152">
        <f>IF(D932&lt;1.609,0,IF(B932="F",VLOOKUP(I932,Barem!$X$2:$Z$13,2,1),VLOOKUP(I932,Barem!$X$14:$Z$25,2,1)))</f>
        <v>0</v>
      </c>
      <c r="T932" s="21">
        <f>VLOOKUP(A932,Participanti!A:C,3,0)</f>
        <v>0</v>
      </c>
      <c r="U932" s="18">
        <f t="shared" si="352"/>
        <v>3.0625</v>
      </c>
      <c r="V932" s="58" t="s">
        <v>492</v>
      </c>
      <c r="W932" s="77">
        <f t="shared" si="346"/>
        <v>1</v>
      </c>
      <c r="X932" s="1" t="e">
        <f>VLOOKUP(A932,Data_Echipe!A:R,18,0)</f>
        <v>#N/A</v>
      </c>
      <c r="Z932" s="115">
        <f t="shared" si="353"/>
        <v>1</v>
      </c>
    </row>
    <row r="933" spans="1:26" x14ac:dyDescent="0.3">
      <c r="A933" s="49" t="s">
        <v>353</v>
      </c>
      <c r="B933" s="1" t="str">
        <f>VLOOKUP(A933,Participanti!A:B,2,0)</f>
        <v>M</v>
      </c>
      <c r="C933" s="74">
        <v>11</v>
      </c>
      <c r="D933" s="50">
        <v>21.48</v>
      </c>
      <c r="E933" s="51">
        <v>6.7245370370370372E-2</v>
      </c>
      <c r="F933" s="51">
        <v>6.7106481481481475E-2</v>
      </c>
      <c r="G933" s="69">
        <f t="shared" si="348"/>
        <v>6.7175925925925917E-2</v>
      </c>
      <c r="H933" s="52"/>
      <c r="I933" s="12">
        <f t="shared" si="349"/>
        <v>3.1273708531622865E-3</v>
      </c>
      <c r="J933" s="37">
        <f t="shared" si="350"/>
        <v>5</v>
      </c>
      <c r="K933" s="37">
        <f>IF(J933=0,0,IF(B933="F",VLOOKUP(I933,Barem!$G$2:$H$16,2,1),VLOOKUP(I933,Barem!$G$17:$H$31,2,1)))</f>
        <v>4</v>
      </c>
      <c r="L933" s="50">
        <v>2.75</v>
      </c>
      <c r="M933" s="124" t="s">
        <v>107</v>
      </c>
      <c r="N933" s="10">
        <f t="shared" si="354"/>
        <v>0.25</v>
      </c>
      <c r="O933" s="10">
        <f t="shared" si="354"/>
        <v>0.5</v>
      </c>
      <c r="P933" s="10">
        <f t="shared" si="354"/>
        <v>0.25</v>
      </c>
      <c r="Q933" s="40">
        <f t="shared" si="351"/>
        <v>0</v>
      </c>
      <c r="R933" s="21">
        <f>IF(D933&gt;21,VLOOKUP(D933,Barem!$T$1:$U$141,2,1),0)</f>
        <v>0</v>
      </c>
      <c r="S933" s="152">
        <f>IF(D933&lt;1.609,0,IF(B933="F",VLOOKUP(I933,Barem!$X$2:$Z$13,2,1),VLOOKUP(I933,Barem!$X$14:$Z$25,2,1)))</f>
        <v>0</v>
      </c>
      <c r="T933" s="21">
        <f>VLOOKUP(A933,Participanti!A:C,3,0)</f>
        <v>0</v>
      </c>
      <c r="U933" s="18">
        <f t="shared" si="352"/>
        <v>3.9375</v>
      </c>
      <c r="V933" s="58" t="s">
        <v>492</v>
      </c>
      <c r="W933" s="77">
        <f t="shared" si="346"/>
        <v>1</v>
      </c>
      <c r="X933" s="1" t="e">
        <f>VLOOKUP(A933,Data_Echipe!A:R,18,0)</f>
        <v>#N/A</v>
      </c>
      <c r="Z933" s="115">
        <f t="shared" si="353"/>
        <v>1</v>
      </c>
    </row>
    <row r="934" spans="1:26" x14ac:dyDescent="0.3">
      <c r="A934" s="49" t="s">
        <v>303</v>
      </c>
      <c r="B934" s="1" t="str">
        <f>VLOOKUP(A934,Participanti!A:B,2,0)</f>
        <v>F</v>
      </c>
      <c r="C934" s="74">
        <v>11</v>
      </c>
      <c r="D934" s="50">
        <v>10.02</v>
      </c>
      <c r="E934" s="51">
        <v>5.2071759259259255E-2</v>
      </c>
      <c r="F934" s="51">
        <v>5.5763888888888891E-2</v>
      </c>
      <c r="G934" s="69">
        <f t="shared" si="348"/>
        <v>5.3917824074074069E-2</v>
      </c>
      <c r="H934" s="52">
        <v>427</v>
      </c>
      <c r="I934" s="12">
        <f t="shared" si="349"/>
        <v>5.3810203666740594E-3</v>
      </c>
      <c r="J934" s="37">
        <f t="shared" si="350"/>
        <v>2.5049999999999999</v>
      </c>
      <c r="K934" s="37">
        <f>IF(J934=0,0,IF(B934="F",VLOOKUP(I934,Barem!$G$2:$H$16,2,1),VLOOKUP(I934,Barem!$G$17:$H$31,2,1)))</f>
        <v>0.25</v>
      </c>
      <c r="L934" s="50">
        <v>1.75</v>
      </c>
      <c r="M934" s="124" t="s">
        <v>107</v>
      </c>
      <c r="N934" s="10">
        <f t="shared" si="354"/>
        <v>0.25</v>
      </c>
      <c r="O934" s="10">
        <f t="shared" si="354"/>
        <v>0.5</v>
      </c>
      <c r="P934" s="10">
        <f t="shared" si="354"/>
        <v>0.25</v>
      </c>
      <c r="Q934" s="40">
        <f t="shared" si="351"/>
        <v>0.28466666666666668</v>
      </c>
      <c r="R934" s="21">
        <f>IF(D934&gt;21,VLOOKUP(D934,Barem!$T$1:$U$141,2,1),0)</f>
        <v>0</v>
      </c>
      <c r="S934" s="152">
        <f>IF(D934&lt;1.609,0,IF(B934="F",VLOOKUP(I934,Barem!$X$2:$Z$13,2,1),VLOOKUP(I934,Barem!$X$14:$Z$25,2,1)))</f>
        <v>0</v>
      </c>
      <c r="T934" s="21">
        <f>VLOOKUP(A934,Participanti!A:C,3,0)</f>
        <v>0</v>
      </c>
      <c r="U934" s="18">
        <f t="shared" si="352"/>
        <v>1.4734166666666666</v>
      </c>
      <c r="V934" s="58" t="s">
        <v>492</v>
      </c>
      <c r="W934" s="77">
        <f t="shared" si="346"/>
        <v>1</v>
      </c>
      <c r="X934" s="1" t="e">
        <f>VLOOKUP(A934,Data_Echipe!A:R,18,0)</f>
        <v>#N/A</v>
      </c>
      <c r="Z934" s="115">
        <f t="shared" si="353"/>
        <v>1</v>
      </c>
    </row>
    <row r="935" spans="1:26" x14ac:dyDescent="0.3">
      <c r="A935" s="49" t="s">
        <v>430</v>
      </c>
      <c r="B935" s="1" t="str">
        <f>VLOOKUP(A935,Participanti!A:B,2,0)</f>
        <v>M</v>
      </c>
      <c r="C935" s="74">
        <v>11</v>
      </c>
      <c r="D935" s="50">
        <v>16.010000000000002</v>
      </c>
      <c r="E935" s="51">
        <v>5.230324074074074E-2</v>
      </c>
      <c r="F935" s="51">
        <v>5.230324074074074E-2</v>
      </c>
      <c r="G935" s="69">
        <f t="shared" si="348"/>
        <v>5.230324074074074E-2</v>
      </c>
      <c r="H935" s="52">
        <v>186</v>
      </c>
      <c r="I935" s="12">
        <f t="shared" si="349"/>
        <v>3.2669107270918638E-3</v>
      </c>
      <c r="J935" s="37">
        <f t="shared" si="350"/>
        <v>3.8119047619047621</v>
      </c>
      <c r="K935" s="37">
        <f>IF(J935=0,0,IF(B935="F",VLOOKUP(I935,Barem!$G$2:$H$16,2,1),VLOOKUP(I935,Barem!$G$17:$H$31,2,1)))</f>
        <v>3.5</v>
      </c>
      <c r="L935" s="50">
        <v>1.5</v>
      </c>
      <c r="M935" s="124" t="s">
        <v>107</v>
      </c>
      <c r="N935" s="10">
        <f t="shared" si="354"/>
        <v>0.25</v>
      </c>
      <c r="O935" s="10">
        <f t="shared" si="354"/>
        <v>0.5</v>
      </c>
      <c r="P935" s="10">
        <f t="shared" si="354"/>
        <v>0.25</v>
      </c>
      <c r="Q935" s="40">
        <f t="shared" si="351"/>
        <v>0.124</v>
      </c>
      <c r="R935" s="21">
        <f>IF(D935&gt;21,VLOOKUP(D935,Barem!$T$1:$U$141,2,1),0)</f>
        <v>0</v>
      </c>
      <c r="S935" s="152">
        <f>IF(D935&lt;1.609,0,IF(B935="F",VLOOKUP(I935,Barem!$X$2:$Z$13,2,1),VLOOKUP(I935,Barem!$X$14:$Z$25,2,1)))</f>
        <v>0</v>
      </c>
      <c r="T935" s="21">
        <f>VLOOKUP(A935,Participanti!A:C,3,0)</f>
        <v>0</v>
      </c>
      <c r="U935" s="18">
        <f t="shared" si="352"/>
        <v>3.2019761904761905</v>
      </c>
      <c r="V935" s="58" t="s">
        <v>492</v>
      </c>
      <c r="W935" s="77">
        <f t="shared" si="346"/>
        <v>1</v>
      </c>
      <c r="X935" s="1" t="e">
        <f>VLOOKUP(A935,Data_Echipe!A:R,18,0)</f>
        <v>#N/A</v>
      </c>
      <c r="Z935" s="115">
        <f t="shared" si="353"/>
        <v>1</v>
      </c>
    </row>
    <row r="936" spans="1:26" x14ac:dyDescent="0.3">
      <c r="A936" s="49" t="s">
        <v>250</v>
      </c>
      <c r="B936" s="1" t="str">
        <f>VLOOKUP(A936,Participanti!A:B,2,0)</f>
        <v>F</v>
      </c>
      <c r="C936" s="74">
        <v>11</v>
      </c>
      <c r="D936" s="50">
        <v>5</v>
      </c>
      <c r="E936" s="51">
        <v>2.3124999999999996E-2</v>
      </c>
      <c r="F936" s="51">
        <v>2.3124999999999996E-2</v>
      </c>
      <c r="G936" s="69">
        <f t="shared" si="348"/>
        <v>2.3124999999999996E-2</v>
      </c>
      <c r="H936" s="52"/>
      <c r="I936" s="12">
        <f t="shared" si="349"/>
        <v>4.6249999999999989E-3</v>
      </c>
      <c r="J936" s="37">
        <f t="shared" si="350"/>
        <v>1.25</v>
      </c>
      <c r="K936" s="37">
        <f>IF(J936=0,0,IF(B936="F",VLOOKUP(I936,Barem!$G$2:$H$16,2,1),VLOOKUP(I936,Barem!$G$17:$H$31,2,1)))</f>
        <v>1.25</v>
      </c>
      <c r="L936" s="50">
        <v>1.5</v>
      </c>
      <c r="M936" s="124" t="s">
        <v>107</v>
      </c>
      <c r="N936" s="10">
        <f t="shared" si="354"/>
        <v>0.25</v>
      </c>
      <c r="O936" s="10">
        <f t="shared" si="354"/>
        <v>0.5</v>
      </c>
      <c r="P936" s="10">
        <f t="shared" si="354"/>
        <v>0.25</v>
      </c>
      <c r="Q936" s="40">
        <f t="shared" si="351"/>
        <v>0</v>
      </c>
      <c r="R936" s="21">
        <f>IF(D936&gt;21,VLOOKUP(D936,Barem!$T$1:$U$141,2,1),0)</f>
        <v>0</v>
      </c>
      <c r="S936" s="152">
        <f>IF(D936&lt;1.609,0,IF(B936="F",VLOOKUP(I936,Barem!$X$2:$Z$13,2,1),VLOOKUP(I936,Barem!$X$14:$Z$25,2,1)))</f>
        <v>0</v>
      </c>
      <c r="T936" s="21">
        <f>VLOOKUP(A936,Participanti!A:C,3,0)</f>
        <v>0</v>
      </c>
      <c r="U936" s="18">
        <f t="shared" si="352"/>
        <v>1.3125</v>
      </c>
      <c r="V936" s="58" t="s">
        <v>492</v>
      </c>
      <c r="W936" s="77">
        <f t="shared" si="346"/>
        <v>1</v>
      </c>
      <c r="X936" s="1" t="e">
        <f>VLOOKUP(A936,Data_Echipe!A:R,18,0)</f>
        <v>#N/A</v>
      </c>
      <c r="Z936" s="115">
        <f t="shared" si="353"/>
        <v>1</v>
      </c>
    </row>
    <row r="937" spans="1:26" x14ac:dyDescent="0.3">
      <c r="A937" s="49" t="s">
        <v>370</v>
      </c>
      <c r="B937" s="1" t="str">
        <f>VLOOKUP(A937,Participanti!A:B,2,0)</f>
        <v>F</v>
      </c>
      <c r="C937" s="74">
        <v>11</v>
      </c>
      <c r="D937" s="50">
        <v>13.09</v>
      </c>
      <c r="E937" s="51">
        <v>5.6898148148148149E-2</v>
      </c>
      <c r="F937" s="51">
        <v>5.6898148148148149E-2</v>
      </c>
      <c r="G937" s="69">
        <f t="shared" si="348"/>
        <v>5.6898148148148149E-2</v>
      </c>
      <c r="H937" s="52"/>
      <c r="I937" s="12">
        <f t="shared" si="349"/>
        <v>4.3466881702175818E-3</v>
      </c>
      <c r="J937" s="37">
        <f t="shared" si="350"/>
        <v>3.2725</v>
      </c>
      <c r="K937" s="37">
        <f>IF(J937=0,0,IF(B937="F",VLOOKUP(I937,Barem!$G$2:$H$16,2,1),VLOOKUP(I937,Barem!$G$17:$H$31,2,1)))</f>
        <v>1.75</v>
      </c>
      <c r="L937" s="50">
        <v>1.5</v>
      </c>
      <c r="M937" s="124" t="s">
        <v>107</v>
      </c>
      <c r="N937" s="10">
        <f t="shared" si="354"/>
        <v>0.25</v>
      </c>
      <c r="O937" s="10">
        <f t="shared" si="354"/>
        <v>0.5</v>
      </c>
      <c r="P937" s="10">
        <f t="shared" si="354"/>
        <v>0.25</v>
      </c>
      <c r="Q937" s="40">
        <f t="shared" si="351"/>
        <v>0</v>
      </c>
      <c r="R937" s="21">
        <f>IF(D937&gt;21,VLOOKUP(D937,Barem!$T$1:$U$141,2,1),0)</f>
        <v>0</v>
      </c>
      <c r="S937" s="152">
        <f>IF(D937&lt;1.609,0,IF(B937="F",VLOOKUP(I937,Barem!$X$2:$Z$13,2,1),VLOOKUP(I937,Barem!$X$14:$Z$25,2,1)))</f>
        <v>0</v>
      </c>
      <c r="T937" s="21">
        <f>VLOOKUP(A937,Participanti!A:C,3,0)</f>
        <v>0</v>
      </c>
      <c r="U937" s="18">
        <f t="shared" si="352"/>
        <v>2.0681250000000002</v>
      </c>
      <c r="V937" s="58" t="s">
        <v>492</v>
      </c>
      <c r="W937" s="77">
        <f t="shared" si="346"/>
        <v>1</v>
      </c>
      <c r="X937" s="1" t="e">
        <f>VLOOKUP(A937,Data_Echipe!A:R,18,0)</f>
        <v>#N/A</v>
      </c>
      <c r="Z937" s="115">
        <f t="shared" si="353"/>
        <v>1</v>
      </c>
    </row>
    <row r="938" spans="1:26" x14ac:dyDescent="0.3">
      <c r="A938" s="49" t="s">
        <v>248</v>
      </c>
      <c r="B938" s="1" t="str">
        <f>VLOOKUP(A938,Participanti!A:B,2,0)</f>
        <v>M</v>
      </c>
      <c r="C938" s="74">
        <v>11</v>
      </c>
      <c r="D938" s="50">
        <v>13</v>
      </c>
      <c r="E938" s="51">
        <v>4.1793981481481481E-2</v>
      </c>
      <c r="F938" s="51">
        <v>4.2361111111111106E-2</v>
      </c>
      <c r="G938" s="69">
        <f t="shared" ref="G938:G960" si="355">AVERAGE(E938:F938)</f>
        <v>4.2077546296296293E-2</v>
      </c>
      <c r="H938" s="52">
        <v>86</v>
      </c>
      <c r="I938" s="12">
        <f t="shared" ref="I938:I960" si="356">G938/D938</f>
        <v>3.2367343304843302E-3</v>
      </c>
      <c r="J938" s="37">
        <f t="shared" ref="J938:J960" si="357">IF(B938="F",IF(D938&lt;2.5,0,IF(D938&gt;19.99,5,D938/4)),IF(D938&lt;3,0, IF(D938&gt;20.99,5,D938/4.2)))</f>
        <v>3.0952380952380949</v>
      </c>
      <c r="K938" s="37">
        <f>IF(J938=0,0,IF(B938="F",VLOOKUP(I938,Barem!$G$2:$H$16,2,1),VLOOKUP(I938,Barem!$G$17:$H$31,2,1)))</f>
        <v>3.5</v>
      </c>
      <c r="L938" s="50">
        <v>4</v>
      </c>
      <c r="M938" s="124" t="s">
        <v>207</v>
      </c>
      <c r="N938" s="10">
        <f t="shared" si="354"/>
        <v>0.25</v>
      </c>
      <c r="O938" s="10">
        <f t="shared" si="354"/>
        <v>0.25</v>
      </c>
      <c r="P938" s="10">
        <f t="shared" si="354"/>
        <v>0.5</v>
      </c>
      <c r="Q938" s="40">
        <f t="shared" ref="Q938:Q960" si="358">IF(H938&gt;49,H938/1500,0)</f>
        <v>5.7333333333333333E-2</v>
      </c>
      <c r="R938" s="21">
        <f>IF(D938&gt;21,VLOOKUP(D938,Barem!$T$1:$U$141,2,1),0)</f>
        <v>0</v>
      </c>
      <c r="S938" s="152">
        <f>IF(D938&lt;1.609,0,IF(B938="F",VLOOKUP(I938,Barem!$X$2:$Z$13,2,1),VLOOKUP(I938,Barem!$X$14:$Z$25,2,1)))</f>
        <v>0</v>
      </c>
      <c r="T938" s="21">
        <f>VLOOKUP(A938,Participanti!A:C,3,0)</f>
        <v>0</v>
      </c>
      <c r="U938" s="18">
        <f t="shared" ref="U938:U960" si="359">IF(H938&lt;0,0,J938*N938+K938*O938+L938*P938+Q938+R938+S938+T938)</f>
        <v>3.706142857142857</v>
      </c>
      <c r="V938" s="58" t="s">
        <v>492</v>
      </c>
      <c r="W938" s="77">
        <f t="shared" si="346"/>
        <v>1</v>
      </c>
      <c r="X938" s="1" t="str">
        <f>VLOOKUP(A938,Data_Echipe!A:R,18,0)</f>
        <v>Almost Kenyan Runners</v>
      </c>
      <c r="Z938" s="115">
        <f t="shared" ref="Z938:Z960" si="360">IF(K938&gt;0,1,0)</f>
        <v>1</v>
      </c>
    </row>
    <row r="939" spans="1:26" x14ac:dyDescent="0.3">
      <c r="A939" s="49" t="s">
        <v>369</v>
      </c>
      <c r="B939" s="1" t="str">
        <f>VLOOKUP(A939,Participanti!A:B,2,0)</f>
        <v>M</v>
      </c>
      <c r="C939" s="74">
        <v>11</v>
      </c>
      <c r="D939" s="50">
        <v>5.05</v>
      </c>
      <c r="E939" s="51">
        <v>2.0219907407407409E-2</v>
      </c>
      <c r="F939" s="51">
        <v>2.0358796296296295E-2</v>
      </c>
      <c r="G939" s="69">
        <f t="shared" si="355"/>
        <v>2.028935185185185E-2</v>
      </c>
      <c r="H939" s="52"/>
      <c r="I939" s="12">
        <f t="shared" si="356"/>
        <v>4.0176934360102671E-3</v>
      </c>
      <c r="J939" s="37">
        <f t="shared" si="357"/>
        <v>1.2023809523809523</v>
      </c>
      <c r="K939" s="37">
        <f>IF(J939=0,0,IF(B939="F",VLOOKUP(I939,Barem!$G$2:$H$16,2,1),VLOOKUP(I939,Barem!$G$17:$H$31,2,1)))</f>
        <v>1.5</v>
      </c>
      <c r="L939" s="50">
        <v>1.5</v>
      </c>
      <c r="M939" s="124" t="s">
        <v>107</v>
      </c>
      <c r="N939" s="10">
        <f t="shared" ref="N939:P961" si="361">IF($M939=N$1,50%,25%)</f>
        <v>0.25</v>
      </c>
      <c r="O939" s="10">
        <f t="shared" si="361"/>
        <v>0.5</v>
      </c>
      <c r="P939" s="10">
        <f t="shared" si="361"/>
        <v>0.25</v>
      </c>
      <c r="Q939" s="40">
        <f t="shared" si="358"/>
        <v>0</v>
      </c>
      <c r="R939" s="21">
        <f>IF(D939&gt;21,VLOOKUP(D939,Barem!$T$1:$U$141,2,1),0)</f>
        <v>0</v>
      </c>
      <c r="S939" s="152">
        <f>IF(D939&lt;1.609,0,IF(B939="F",VLOOKUP(I939,Barem!$X$2:$Z$13,2,1),VLOOKUP(I939,Barem!$X$14:$Z$25,2,1)))</f>
        <v>0</v>
      </c>
      <c r="T939" s="21">
        <f>VLOOKUP(A939,Participanti!A:C,3,0)</f>
        <v>0</v>
      </c>
      <c r="U939" s="18">
        <f t="shared" si="359"/>
        <v>1.4255952380952381</v>
      </c>
      <c r="V939" s="58" t="s">
        <v>492</v>
      </c>
      <c r="W939" s="77">
        <f t="shared" si="346"/>
        <v>1</v>
      </c>
      <c r="X939" s="1" t="str">
        <f>VLOOKUP(A939,Data_Echipe!A:R,18,0)</f>
        <v>MedgidiaRunning</v>
      </c>
      <c r="Z939" s="115">
        <f t="shared" si="360"/>
        <v>1</v>
      </c>
    </row>
    <row r="940" spans="1:26" x14ac:dyDescent="0.3">
      <c r="A940" s="49" t="s">
        <v>120</v>
      </c>
      <c r="B940" s="1" t="str">
        <f>VLOOKUP(A940,Participanti!A:B,2,0)</f>
        <v>M</v>
      </c>
      <c r="C940" s="74">
        <v>11</v>
      </c>
      <c r="D940" s="50">
        <v>10.17</v>
      </c>
      <c r="E940" s="51">
        <v>2.854166666666667E-2</v>
      </c>
      <c r="F940" s="51">
        <v>2.854166666666667E-2</v>
      </c>
      <c r="G940" s="69">
        <f t="shared" si="355"/>
        <v>2.854166666666667E-2</v>
      </c>
      <c r="H940" s="52"/>
      <c r="I940" s="12">
        <f t="shared" si="356"/>
        <v>2.8064568993772538E-3</v>
      </c>
      <c r="J940" s="37">
        <f t="shared" si="357"/>
        <v>2.4214285714285713</v>
      </c>
      <c r="K940" s="37">
        <f>IF(J940=0,0,IF(B940="F",VLOOKUP(I940,Barem!$G$2:$H$16,2,1),VLOOKUP(I940,Barem!$G$17:$H$31,2,1)))</f>
        <v>4.5</v>
      </c>
      <c r="L940" s="50">
        <v>3</v>
      </c>
      <c r="M940" s="124" t="s">
        <v>107</v>
      </c>
      <c r="N940" s="10">
        <f t="shared" si="361"/>
        <v>0.25</v>
      </c>
      <c r="O940" s="10">
        <f t="shared" si="361"/>
        <v>0.5</v>
      </c>
      <c r="P940" s="10">
        <f t="shared" si="361"/>
        <v>0.25</v>
      </c>
      <c r="Q940" s="40">
        <f t="shared" si="358"/>
        <v>0</v>
      </c>
      <c r="R940" s="21">
        <f>IF(D940&gt;21,VLOOKUP(D940,Barem!$T$1:$U$141,2,1),0)</f>
        <v>0</v>
      </c>
      <c r="S940" s="152">
        <f>IF(D940&lt;1.609,0,IF(B940="F",VLOOKUP(I940,Barem!$X$2:$Z$13,2,1),VLOOKUP(I940,Barem!$X$14:$Z$25,2,1)))</f>
        <v>0</v>
      </c>
      <c r="T940" s="21">
        <f>VLOOKUP(A940,Participanti!A:C,3,0)</f>
        <v>0</v>
      </c>
      <c r="U940" s="18">
        <f t="shared" si="359"/>
        <v>3.6053571428571427</v>
      </c>
      <c r="V940" s="58" t="s">
        <v>492</v>
      </c>
      <c r="W940" s="77">
        <f t="shared" si="346"/>
        <v>1</v>
      </c>
      <c r="X940" s="1" t="str">
        <f>VLOOKUP(A940,Data_Echipe!A:R,18,0)</f>
        <v>Almost Kenyan Runners</v>
      </c>
      <c r="Z940" s="115">
        <f t="shared" si="360"/>
        <v>1</v>
      </c>
    </row>
    <row r="941" spans="1:26" x14ac:dyDescent="0.3">
      <c r="A941" s="49" t="s">
        <v>41</v>
      </c>
      <c r="B941" s="1" t="str">
        <f>VLOOKUP(A941,Participanti!A:B,2,0)</f>
        <v>M</v>
      </c>
      <c r="C941" s="74">
        <v>11</v>
      </c>
      <c r="D941" s="50">
        <v>10.25</v>
      </c>
      <c r="E941" s="51">
        <v>3.3726851851851855E-2</v>
      </c>
      <c r="F941" s="51">
        <v>3.3854166666666664E-2</v>
      </c>
      <c r="G941" s="69">
        <f t="shared" si="355"/>
        <v>3.3790509259259263E-2</v>
      </c>
      <c r="H941" s="52"/>
      <c r="I941" s="12">
        <f t="shared" si="356"/>
        <v>3.2966350496838304E-3</v>
      </c>
      <c r="J941" s="37">
        <f t="shared" si="357"/>
        <v>2.4404761904761902</v>
      </c>
      <c r="K941" s="37">
        <f>IF(J941=0,0,IF(B941="F",VLOOKUP(I941,Barem!$G$2:$H$16,2,1),VLOOKUP(I941,Barem!$G$17:$H$31,2,1)))</f>
        <v>3.5</v>
      </c>
      <c r="L941" s="50">
        <v>3.5</v>
      </c>
      <c r="M941" s="124" t="s">
        <v>107</v>
      </c>
      <c r="N941" s="10">
        <f t="shared" si="361"/>
        <v>0.25</v>
      </c>
      <c r="O941" s="10">
        <f t="shared" si="361"/>
        <v>0.5</v>
      </c>
      <c r="P941" s="10">
        <f t="shared" si="361"/>
        <v>0.25</v>
      </c>
      <c r="Q941" s="40">
        <f t="shared" si="358"/>
        <v>0</v>
      </c>
      <c r="R941" s="21">
        <f>IF(D941&gt;21,VLOOKUP(D941,Barem!$T$1:$U$141,2,1),0)</f>
        <v>0</v>
      </c>
      <c r="S941" s="152">
        <f>IF(D941&lt;1.609,0,IF(B941="F",VLOOKUP(I941,Barem!$X$2:$Z$13,2,1),VLOOKUP(I941,Barem!$X$14:$Z$25,2,1)))</f>
        <v>0</v>
      </c>
      <c r="T941" s="21">
        <f>VLOOKUP(A941,Participanti!A:C,3,0)</f>
        <v>0</v>
      </c>
      <c r="U941" s="18">
        <f t="shared" si="359"/>
        <v>3.2351190476190474</v>
      </c>
      <c r="V941" s="58" t="s">
        <v>492</v>
      </c>
      <c r="W941" s="77">
        <f t="shared" si="346"/>
        <v>1</v>
      </c>
      <c r="X941" s="1" t="str">
        <f>VLOOKUP(A941,Data_Echipe!A:R,18,0)</f>
        <v>Almost Kenyan Runners</v>
      </c>
      <c r="Z941" s="115">
        <f t="shared" si="360"/>
        <v>1</v>
      </c>
    </row>
    <row r="942" spans="1:26" x14ac:dyDescent="0.3">
      <c r="A942" s="49" t="s">
        <v>291</v>
      </c>
      <c r="B942" s="1" t="str">
        <f>VLOOKUP(A942,Participanti!A:B,2,0)</f>
        <v>F</v>
      </c>
      <c r="C942" s="74">
        <v>11</v>
      </c>
      <c r="D942" s="50">
        <v>10</v>
      </c>
      <c r="E942" s="51">
        <v>3.9571759259259258E-2</v>
      </c>
      <c r="F942" s="51">
        <v>4.3321759259259261E-2</v>
      </c>
      <c r="G942" s="69">
        <f t="shared" si="355"/>
        <v>4.144675925925926E-2</v>
      </c>
      <c r="H942" s="52"/>
      <c r="I942" s="12">
        <f t="shared" si="356"/>
        <v>4.1446759259259258E-3</v>
      </c>
      <c r="J942" s="37">
        <f t="shared" si="357"/>
        <v>2.5</v>
      </c>
      <c r="K942" s="37">
        <f>IF(J942=0,0,IF(B942="F",VLOOKUP(I942,Barem!$G$2:$H$16,2,1),VLOOKUP(I942,Barem!$G$17:$H$31,2,1)))</f>
        <v>2</v>
      </c>
      <c r="L942" s="50">
        <v>1.25</v>
      </c>
      <c r="M942" s="124" t="s">
        <v>107</v>
      </c>
      <c r="N942" s="10">
        <f t="shared" si="361"/>
        <v>0.25</v>
      </c>
      <c r="O942" s="10">
        <f t="shared" si="361"/>
        <v>0.5</v>
      </c>
      <c r="P942" s="10">
        <f t="shared" si="361"/>
        <v>0.25</v>
      </c>
      <c r="Q942" s="40">
        <f t="shared" si="358"/>
        <v>0</v>
      </c>
      <c r="R942" s="21">
        <f>IF(D942&gt;21,VLOOKUP(D942,Barem!$T$1:$U$141,2,1),0)</f>
        <v>0</v>
      </c>
      <c r="S942" s="152">
        <f>IF(D942&lt;1.609,0,IF(B942="F",VLOOKUP(I942,Barem!$X$2:$Z$13,2,1),VLOOKUP(I942,Barem!$X$14:$Z$25,2,1)))</f>
        <v>0</v>
      </c>
      <c r="T942" s="21">
        <f>VLOOKUP(A942,Participanti!A:C,3,0)</f>
        <v>0</v>
      </c>
      <c r="U942" s="18">
        <f t="shared" si="359"/>
        <v>1.9375</v>
      </c>
      <c r="V942" s="58" t="s">
        <v>492</v>
      </c>
      <c r="W942" s="77">
        <f t="shared" si="346"/>
        <v>1</v>
      </c>
      <c r="X942" s="1" t="str">
        <f>VLOOKUP(A942,Data_Echipe!A:R,18,0)</f>
        <v>#notSYRious</v>
      </c>
      <c r="Z942" s="115">
        <f t="shared" si="360"/>
        <v>1</v>
      </c>
    </row>
    <row r="943" spans="1:26" x14ac:dyDescent="0.3">
      <c r="A943" s="49" t="s">
        <v>122</v>
      </c>
      <c r="B943" s="1" t="str">
        <f>VLOOKUP(A943,Participanti!A:B,2,0)</f>
        <v>M</v>
      </c>
      <c r="C943" s="74">
        <v>11</v>
      </c>
      <c r="D943" s="50">
        <v>21.41</v>
      </c>
      <c r="E943" s="51">
        <v>6.9791666666666669E-2</v>
      </c>
      <c r="F943" s="51">
        <v>6.9791666666666669E-2</v>
      </c>
      <c r="G943" s="69">
        <f t="shared" si="355"/>
        <v>6.9791666666666669E-2</v>
      </c>
      <c r="H943" s="52"/>
      <c r="I943" s="12">
        <f t="shared" si="356"/>
        <v>3.2597695780787793E-3</v>
      </c>
      <c r="J943" s="37">
        <f t="shared" si="357"/>
        <v>5</v>
      </c>
      <c r="K943" s="37">
        <f>IF(J943=0,0,IF(B943="F",VLOOKUP(I943,Barem!$G$2:$H$16,2,1),VLOOKUP(I943,Barem!$G$17:$H$31,2,1)))</f>
        <v>3.5</v>
      </c>
      <c r="L943" s="50">
        <v>3</v>
      </c>
      <c r="M943" s="124" t="s">
        <v>107</v>
      </c>
      <c r="N943" s="10">
        <f t="shared" si="361"/>
        <v>0.25</v>
      </c>
      <c r="O943" s="10">
        <f t="shared" si="361"/>
        <v>0.5</v>
      </c>
      <c r="P943" s="10">
        <f t="shared" si="361"/>
        <v>0.25</v>
      </c>
      <c r="Q943" s="40">
        <f t="shared" si="358"/>
        <v>0</v>
      </c>
      <c r="R943" s="21">
        <f>IF(D943&gt;21,VLOOKUP(D943,Barem!$T$1:$U$141,2,1),0)</f>
        <v>0</v>
      </c>
      <c r="S943" s="152">
        <f>IF(D943&lt;1.609,0,IF(B943="F",VLOOKUP(I943,Barem!$X$2:$Z$13,2,1),VLOOKUP(I943,Barem!$X$14:$Z$25,2,1)))</f>
        <v>0</v>
      </c>
      <c r="T943" s="21">
        <f>VLOOKUP(A943,Participanti!A:C,3,0)</f>
        <v>0</v>
      </c>
      <c r="U943" s="18">
        <f t="shared" si="359"/>
        <v>3.75</v>
      </c>
      <c r="V943" s="58" t="s">
        <v>492</v>
      </c>
      <c r="W943" s="77">
        <f t="shared" si="346"/>
        <v>1</v>
      </c>
      <c r="X943" s="1" t="str">
        <f>VLOOKUP(A943,Data_Echipe!A:R,18,0)</f>
        <v>#notSYRious</v>
      </c>
      <c r="Z943" s="115">
        <f t="shared" si="360"/>
        <v>1</v>
      </c>
    </row>
    <row r="944" spans="1:26" x14ac:dyDescent="0.3">
      <c r="A944" s="49" t="s">
        <v>51</v>
      </c>
      <c r="B944" s="1" t="str">
        <f>VLOOKUP(A944,Participanti!A:B,2,0)</f>
        <v>M</v>
      </c>
      <c r="C944" s="74">
        <v>11</v>
      </c>
      <c r="D944" s="50">
        <v>61.6</v>
      </c>
      <c r="E944" s="51">
        <v>0.31589120370370372</v>
      </c>
      <c r="F944" s="51">
        <v>0.32927083333333335</v>
      </c>
      <c r="G944" s="69">
        <f t="shared" si="355"/>
        <v>0.3225810185185185</v>
      </c>
      <c r="H944" s="52">
        <v>2876</v>
      </c>
      <c r="I944" s="12">
        <f t="shared" si="356"/>
        <v>5.236704846079846E-3</v>
      </c>
      <c r="J944" s="37">
        <f t="shared" si="357"/>
        <v>5</v>
      </c>
      <c r="K944" s="37">
        <f>IF(J944=0,0,IF(B944="F",VLOOKUP(I944,Barem!$G$2:$H$16,2,1),VLOOKUP(I944,Barem!$G$17:$H$31,2,1)))</f>
        <v>0.25</v>
      </c>
      <c r="L944" s="50">
        <v>4.5</v>
      </c>
      <c r="M944" s="124" t="s">
        <v>106</v>
      </c>
      <c r="N944" s="10">
        <f t="shared" si="361"/>
        <v>0.5</v>
      </c>
      <c r="O944" s="10">
        <f t="shared" si="361"/>
        <v>0.25</v>
      </c>
      <c r="P944" s="10">
        <f t="shared" si="361"/>
        <v>0.25</v>
      </c>
      <c r="Q944" s="40">
        <f t="shared" si="358"/>
        <v>1.9173333333333333</v>
      </c>
      <c r="R944" s="21">
        <f>IF(D944&gt;21,VLOOKUP(D944,Barem!$T$1:$U$141,2,1),0)</f>
        <v>2</v>
      </c>
      <c r="S944" s="152">
        <f>IF(D944&lt;1.609,0,IF(B944="F",VLOOKUP(I944,Barem!$X$2:$Z$13,2,1),VLOOKUP(I944,Barem!$X$14:$Z$25,2,1)))</f>
        <v>0</v>
      </c>
      <c r="T944" s="21">
        <f>VLOOKUP(A944,Participanti!A:C,3,0)</f>
        <v>0</v>
      </c>
      <c r="U944" s="18">
        <f t="shared" si="359"/>
        <v>7.6048333333333336</v>
      </c>
      <c r="V944" s="58" t="s">
        <v>492</v>
      </c>
      <c r="W944" s="77">
        <f t="shared" si="346"/>
        <v>1</v>
      </c>
      <c r="X944" s="1" t="str">
        <f>VLOOKUP(A944,Data_Echipe!A:R,18,0)</f>
        <v>The GOATs</v>
      </c>
      <c r="Z944" s="115">
        <f t="shared" si="360"/>
        <v>1</v>
      </c>
    </row>
    <row r="945" spans="1:26" x14ac:dyDescent="0.3">
      <c r="A945" s="49" t="s">
        <v>383</v>
      </c>
      <c r="B945" s="1" t="str">
        <f>VLOOKUP(A945,Participanti!A:B,2,0)</f>
        <v>F</v>
      </c>
      <c r="C945" s="74">
        <v>11</v>
      </c>
      <c r="D945" s="50">
        <v>14.04</v>
      </c>
      <c r="E945" s="51">
        <v>5.7129629629629634E-2</v>
      </c>
      <c r="F945" s="51">
        <v>7.4108796296296298E-2</v>
      </c>
      <c r="G945" s="69">
        <f t="shared" si="355"/>
        <v>6.5619212962962969E-2</v>
      </c>
      <c r="H945" s="52"/>
      <c r="I945" s="12">
        <f t="shared" si="356"/>
        <v>4.6737331170201551E-3</v>
      </c>
      <c r="J945" s="37">
        <f t="shared" si="357"/>
        <v>3.51</v>
      </c>
      <c r="K945" s="37">
        <f>IF(J945=0,0,IF(B945="F",VLOOKUP(I945,Barem!$G$2:$H$16,2,1),VLOOKUP(I945,Barem!$G$17:$H$31,2,1)))</f>
        <v>1.25</v>
      </c>
      <c r="L945" s="50">
        <v>3</v>
      </c>
      <c r="M945" s="124" t="s">
        <v>207</v>
      </c>
      <c r="N945" s="10">
        <f t="shared" si="361"/>
        <v>0.25</v>
      </c>
      <c r="O945" s="10">
        <f t="shared" si="361"/>
        <v>0.25</v>
      </c>
      <c r="P945" s="10">
        <f t="shared" si="361"/>
        <v>0.5</v>
      </c>
      <c r="Q945" s="40">
        <f t="shared" si="358"/>
        <v>0</v>
      </c>
      <c r="R945" s="21">
        <f>IF(D945&gt;21,VLOOKUP(D945,Barem!$T$1:$U$141,2,1),0)</f>
        <v>0</v>
      </c>
      <c r="S945" s="152">
        <f>IF(D945&lt;1.609,0,IF(B945="F",VLOOKUP(I945,Barem!$X$2:$Z$13,2,1),VLOOKUP(I945,Barem!$X$14:$Z$25,2,1)))</f>
        <v>0</v>
      </c>
      <c r="T945" s="21">
        <f>VLOOKUP(A945,Participanti!A:C,3,0)</f>
        <v>0</v>
      </c>
      <c r="U945" s="18">
        <f t="shared" si="359"/>
        <v>2.69</v>
      </c>
      <c r="V945" s="58" t="s">
        <v>492</v>
      </c>
      <c r="W945" s="77">
        <f t="shared" si="346"/>
        <v>1</v>
      </c>
      <c r="X945" s="1" t="str">
        <f>VLOOKUP(A945,Data_Echipe!A:R,18,0)</f>
        <v>The GOATs</v>
      </c>
      <c r="Z945" s="115">
        <f t="shared" si="360"/>
        <v>1</v>
      </c>
    </row>
    <row r="946" spans="1:26" x14ac:dyDescent="0.3">
      <c r="A946" s="49" t="s">
        <v>45</v>
      </c>
      <c r="B946" s="1" t="str">
        <f>VLOOKUP(A946,Participanti!A:B,2,0)</f>
        <v>F</v>
      </c>
      <c r="C946" s="74">
        <v>11</v>
      </c>
      <c r="D946" s="50">
        <v>10.220000000000001</v>
      </c>
      <c r="E946" s="51">
        <v>4.0208333333333332E-2</v>
      </c>
      <c r="F946" s="51">
        <v>4.0428240740740744E-2</v>
      </c>
      <c r="G946" s="69">
        <f t="shared" si="355"/>
        <v>4.0318287037037034E-2</v>
      </c>
      <c r="H946" s="52"/>
      <c r="I946" s="12">
        <f t="shared" si="356"/>
        <v>3.9450378705515685E-3</v>
      </c>
      <c r="J946" s="37">
        <f t="shared" si="357"/>
        <v>2.5550000000000002</v>
      </c>
      <c r="K946" s="37">
        <f>IF(J946=0,0,IF(B946="F",VLOOKUP(I946,Barem!$G$2:$H$16,2,1),VLOOKUP(I946,Barem!$G$17:$H$31,2,1)))</f>
        <v>2.5</v>
      </c>
      <c r="L946" s="50">
        <v>3.5</v>
      </c>
      <c r="M946" s="124" t="s">
        <v>107</v>
      </c>
      <c r="N946" s="10">
        <f t="shared" si="361"/>
        <v>0.25</v>
      </c>
      <c r="O946" s="10">
        <f t="shared" si="361"/>
        <v>0.5</v>
      </c>
      <c r="P946" s="10">
        <f t="shared" si="361"/>
        <v>0.25</v>
      </c>
      <c r="Q946" s="40">
        <f t="shared" si="358"/>
        <v>0</v>
      </c>
      <c r="R946" s="21">
        <f>IF(D946&gt;21,VLOOKUP(D946,Barem!$T$1:$U$141,2,1),0)</f>
        <v>0</v>
      </c>
      <c r="S946" s="152">
        <f>IF(D946&lt;1.609,0,IF(B946="F",VLOOKUP(I946,Barem!$X$2:$Z$13,2,1),VLOOKUP(I946,Barem!$X$14:$Z$25,2,1)))</f>
        <v>0</v>
      </c>
      <c r="T946" s="21">
        <f>VLOOKUP(A946,Participanti!A:C,3,0)</f>
        <v>0</v>
      </c>
      <c r="U946" s="18">
        <f t="shared" si="359"/>
        <v>2.7637499999999999</v>
      </c>
      <c r="V946" s="58" t="s">
        <v>492</v>
      </c>
      <c r="W946" s="77">
        <f t="shared" si="346"/>
        <v>1</v>
      </c>
      <c r="X946" s="1" t="e">
        <f>VLOOKUP(A946,Data_Echipe!A:R,18,0)</f>
        <v>#N/A</v>
      </c>
      <c r="Z946" s="115">
        <f t="shared" si="360"/>
        <v>1</v>
      </c>
    </row>
    <row r="947" spans="1:26" x14ac:dyDescent="0.3">
      <c r="A947" s="49" t="s">
        <v>283</v>
      </c>
      <c r="B947" s="1" t="str">
        <f>VLOOKUP(A947,Participanti!A:B,2,0)</f>
        <v>M</v>
      </c>
      <c r="C947" s="74">
        <v>11</v>
      </c>
      <c r="D947" s="50">
        <v>42.88</v>
      </c>
      <c r="E947" s="51">
        <v>0.22916666666666666</v>
      </c>
      <c r="F947" s="51">
        <v>0.22998842592592594</v>
      </c>
      <c r="G947" s="69">
        <f t="shared" si="355"/>
        <v>0.22957754629629629</v>
      </c>
      <c r="H947" s="52">
        <v>252</v>
      </c>
      <c r="I947" s="12">
        <f t="shared" si="356"/>
        <v>5.3539539714621328E-3</v>
      </c>
      <c r="J947" s="37">
        <f t="shared" si="357"/>
        <v>5</v>
      </c>
      <c r="K947" s="37">
        <f>IF(J947=0,0,IF(B947="F",VLOOKUP(I947,Barem!$G$2:$H$16,2,1),VLOOKUP(I947,Barem!$G$17:$H$31,2,1)))</f>
        <v>0.25</v>
      </c>
      <c r="L947" s="50">
        <v>4.75</v>
      </c>
      <c r="M947" s="124" t="s">
        <v>207</v>
      </c>
      <c r="N947" s="10">
        <f t="shared" si="361"/>
        <v>0.25</v>
      </c>
      <c r="O947" s="10">
        <f t="shared" si="361"/>
        <v>0.25</v>
      </c>
      <c r="P947" s="10">
        <f t="shared" si="361"/>
        <v>0.5</v>
      </c>
      <c r="Q947" s="40">
        <f t="shared" si="358"/>
        <v>0.16800000000000001</v>
      </c>
      <c r="R947" s="21">
        <f>IF(D947&gt;21,VLOOKUP(D947,Barem!$T$1:$U$141,2,1),0)</f>
        <v>1</v>
      </c>
      <c r="S947" s="152">
        <f>IF(D947&lt;1.609,0,IF(B947="F",VLOOKUP(I947,Barem!$X$2:$Z$13,2,1),VLOOKUP(I947,Barem!$X$14:$Z$25,2,1)))</f>
        <v>0</v>
      </c>
      <c r="T947" s="21">
        <f>VLOOKUP(A947,Participanti!A:C,3,0)</f>
        <v>0</v>
      </c>
      <c r="U947" s="18">
        <f t="shared" si="359"/>
        <v>4.8555000000000001</v>
      </c>
      <c r="V947" s="58" t="s">
        <v>492</v>
      </c>
      <c r="W947" s="77">
        <f t="shared" si="346"/>
        <v>1</v>
      </c>
      <c r="X947" s="1" t="str">
        <f>VLOOKUP(A947,Data_Echipe!A:R,18,0)</f>
        <v>The GOATs</v>
      </c>
      <c r="Z947" s="115">
        <f t="shared" si="360"/>
        <v>1</v>
      </c>
    </row>
    <row r="948" spans="1:26" x14ac:dyDescent="0.3">
      <c r="A948" s="132" t="s">
        <v>226</v>
      </c>
      <c r="B948" s="133" t="str">
        <f>VLOOKUP(A948,Participanti!A:B,2,0)</f>
        <v>M</v>
      </c>
      <c r="C948" s="134">
        <v>11</v>
      </c>
      <c r="D948" s="135">
        <v>0</v>
      </c>
      <c r="E948" s="136">
        <v>0</v>
      </c>
      <c r="F948" s="136">
        <v>0</v>
      </c>
      <c r="G948" s="137">
        <f t="shared" si="355"/>
        <v>0</v>
      </c>
      <c r="H948" s="138"/>
      <c r="I948" s="139">
        <v>0</v>
      </c>
      <c r="J948" s="140">
        <f t="shared" si="357"/>
        <v>0</v>
      </c>
      <c r="K948" s="140">
        <f>IF(J948=0,0,IF(B948="F",VLOOKUP(I948,Barem!$G$2:$H$16,2,1),VLOOKUP(I948,Barem!$G$17:$H$31,2,1)))</f>
        <v>0</v>
      </c>
      <c r="L948" s="135"/>
      <c r="M948" s="141" t="s">
        <v>459</v>
      </c>
      <c r="N948" s="142">
        <f t="shared" si="361"/>
        <v>0.25</v>
      </c>
      <c r="O948" s="142">
        <f t="shared" si="361"/>
        <v>0.25</v>
      </c>
      <c r="P948" s="142">
        <f t="shared" si="361"/>
        <v>0.25</v>
      </c>
      <c r="Q948" s="143">
        <f t="shared" si="358"/>
        <v>0</v>
      </c>
      <c r="R948" s="144">
        <f>IF(D948&gt;21,VLOOKUP(D948,Barem!$T$1:$U$141,2,1),0)</f>
        <v>0</v>
      </c>
      <c r="S948" s="156">
        <f>IF(D948&lt;1.609,0,IF(B948="F",VLOOKUP(I948,Barem!$X$2:$Z$13,2,1),VLOOKUP(I948,Barem!$X$14:$Z$25,2,1)))</f>
        <v>0</v>
      </c>
      <c r="T948" s="144">
        <f>VLOOKUP(A948,Participanti!A:C,3,0)</f>
        <v>0</v>
      </c>
      <c r="U948" s="143">
        <v>1.5</v>
      </c>
      <c r="V948" s="145" t="s">
        <v>492</v>
      </c>
      <c r="W948" s="146">
        <f t="shared" si="346"/>
        <v>1</v>
      </c>
      <c r="X948" s="133" t="e">
        <f>VLOOKUP(A948,Data_Echipe!A:R,18,0)</f>
        <v>#N/A</v>
      </c>
      <c r="Y948" s="133"/>
      <c r="Z948" s="147">
        <f t="shared" si="360"/>
        <v>0</v>
      </c>
    </row>
    <row r="949" spans="1:26" x14ac:dyDescent="0.3">
      <c r="A949" s="49" t="s">
        <v>49</v>
      </c>
      <c r="B949" s="1" t="str">
        <f>VLOOKUP(A949,Participanti!A:B,2,0)</f>
        <v>M</v>
      </c>
      <c r="C949" s="74">
        <v>11</v>
      </c>
      <c r="D949" s="50">
        <v>21.4</v>
      </c>
      <c r="E949" s="51">
        <v>6.1817129629629632E-2</v>
      </c>
      <c r="F949" s="51">
        <v>6.1817129629629632E-2</v>
      </c>
      <c r="G949" s="69">
        <f t="shared" si="355"/>
        <v>6.1817129629629632E-2</v>
      </c>
      <c r="H949" s="52"/>
      <c r="I949" s="12">
        <f t="shared" si="356"/>
        <v>2.888650917272413E-3</v>
      </c>
      <c r="J949" s="37">
        <f t="shared" si="357"/>
        <v>5</v>
      </c>
      <c r="K949" s="37">
        <f>IF(J949=0,0,IF(B949="F",VLOOKUP(I949,Barem!$G$2:$H$16,2,1),VLOOKUP(I949,Barem!$G$17:$H$31,2,1)))</f>
        <v>4.5</v>
      </c>
      <c r="L949" s="50">
        <v>4.25</v>
      </c>
      <c r="M949" s="124" t="s">
        <v>107</v>
      </c>
      <c r="N949" s="10">
        <f t="shared" si="361"/>
        <v>0.25</v>
      </c>
      <c r="O949" s="10">
        <f t="shared" si="361"/>
        <v>0.5</v>
      </c>
      <c r="P949" s="10">
        <f t="shared" si="361"/>
        <v>0.25</v>
      </c>
      <c r="Q949" s="40">
        <f t="shared" si="358"/>
        <v>0</v>
      </c>
      <c r="R949" s="21">
        <f>IF(D949&gt;21,VLOOKUP(D949,Barem!$T$1:$U$141,2,1),0)</f>
        <v>0</v>
      </c>
      <c r="S949" s="152">
        <f>IF(D949&lt;1.609,0,IF(B949="F",VLOOKUP(I949,Barem!$X$2:$Z$13,2,1),VLOOKUP(I949,Barem!$X$14:$Z$25,2,1)))</f>
        <v>0</v>
      </c>
      <c r="T949" s="21">
        <f>VLOOKUP(A949,Participanti!A:C,3,0)</f>
        <v>0</v>
      </c>
      <c r="U949" s="18">
        <f t="shared" si="359"/>
        <v>4.5625</v>
      </c>
      <c r="V949" s="58" t="s">
        <v>492</v>
      </c>
      <c r="W949" s="77">
        <f t="shared" si="346"/>
        <v>1</v>
      </c>
      <c r="X949" s="1" t="str">
        <f>VLOOKUP(A949,Data_Echipe!A:R,18,0)</f>
        <v>The GOATs</v>
      </c>
      <c r="Z949" s="115">
        <f t="shared" si="360"/>
        <v>1</v>
      </c>
    </row>
    <row r="950" spans="1:26" x14ac:dyDescent="0.3">
      <c r="A950" s="49" t="s">
        <v>114</v>
      </c>
      <c r="B950" s="1" t="str">
        <f>VLOOKUP(A950,Participanti!A:B,2,0)</f>
        <v>M</v>
      </c>
      <c r="C950" s="74">
        <v>11</v>
      </c>
      <c r="D950" s="50">
        <v>10.17</v>
      </c>
      <c r="E950" s="51">
        <v>3.3923611111111113E-2</v>
      </c>
      <c r="F950" s="51">
        <v>3.3923611111111113E-2</v>
      </c>
      <c r="G950" s="69">
        <f t="shared" si="355"/>
        <v>3.3923611111111113E-2</v>
      </c>
      <c r="H950" s="52"/>
      <c r="I950" s="12">
        <f t="shared" si="356"/>
        <v>3.3356549765104341E-3</v>
      </c>
      <c r="J950" s="37">
        <f t="shared" si="357"/>
        <v>2.4214285714285713</v>
      </c>
      <c r="K950" s="37">
        <f>IF(J950=0,0,IF(B950="F",VLOOKUP(I950,Barem!$G$2:$H$16,2,1),VLOOKUP(I950,Barem!$G$17:$H$31,2,1)))</f>
        <v>3</v>
      </c>
      <c r="L950" s="50">
        <v>3.75</v>
      </c>
      <c r="M950" s="124" t="s">
        <v>107</v>
      </c>
      <c r="N950" s="10">
        <f t="shared" si="361"/>
        <v>0.25</v>
      </c>
      <c r="O950" s="10">
        <f t="shared" si="361"/>
        <v>0.5</v>
      </c>
      <c r="P950" s="10">
        <f t="shared" si="361"/>
        <v>0.25</v>
      </c>
      <c r="Q950" s="40">
        <f t="shared" si="358"/>
        <v>0</v>
      </c>
      <c r="R950" s="21">
        <f>IF(D950&gt;21,VLOOKUP(D950,Barem!$T$1:$U$141,2,1),0)</f>
        <v>0</v>
      </c>
      <c r="S950" s="152">
        <f>IF(D950&lt;1.609,0,IF(B950="F",VLOOKUP(I950,Barem!$X$2:$Z$13,2,1),VLOOKUP(I950,Barem!$X$14:$Z$25,2,1)))</f>
        <v>0</v>
      </c>
      <c r="T950" s="21">
        <f>VLOOKUP(A950,Participanti!A:C,3,0)</f>
        <v>0</v>
      </c>
      <c r="U950" s="18">
        <f t="shared" si="359"/>
        <v>3.0428571428571427</v>
      </c>
      <c r="V950" s="58" t="s">
        <v>492</v>
      </c>
      <c r="W950" s="77">
        <f t="shared" si="346"/>
        <v>1</v>
      </c>
      <c r="X950" s="1" t="str">
        <f>VLOOKUP(A950,Data_Echipe!A:R,18,0)</f>
        <v>#notSYRious</v>
      </c>
      <c r="Z950" s="115">
        <f t="shared" si="360"/>
        <v>1</v>
      </c>
    </row>
    <row r="951" spans="1:26" x14ac:dyDescent="0.3">
      <c r="A951" s="49" t="s">
        <v>374</v>
      </c>
      <c r="B951" s="1" t="str">
        <f>VLOOKUP(A951,Participanti!A:B,2,0)</f>
        <v>M</v>
      </c>
      <c r="C951" s="74">
        <v>11</v>
      </c>
      <c r="D951" s="50">
        <v>10.26</v>
      </c>
      <c r="E951" s="51">
        <v>2.3657407407407408E-2</v>
      </c>
      <c r="F951" s="51">
        <v>2.3657407407407408E-2</v>
      </c>
      <c r="G951" s="69">
        <f t="shared" si="355"/>
        <v>2.3657407407407408E-2</v>
      </c>
      <c r="H951" s="52"/>
      <c r="I951" s="12">
        <f t="shared" si="356"/>
        <v>2.3057901956537435E-3</v>
      </c>
      <c r="J951" s="37">
        <f t="shared" si="357"/>
        <v>2.4428571428571426</v>
      </c>
      <c r="K951" s="37">
        <f>IF(J951=0,0,IF(B951="F",VLOOKUP(I951,Barem!$G$2:$H$16,2,1),VLOOKUP(I951,Barem!$G$17:$H$31,2,1)))</f>
        <v>5</v>
      </c>
      <c r="L951" s="50">
        <v>2.5</v>
      </c>
      <c r="M951" s="124" t="s">
        <v>107</v>
      </c>
      <c r="N951" s="10">
        <f t="shared" si="361"/>
        <v>0.25</v>
      </c>
      <c r="O951" s="10">
        <f t="shared" si="361"/>
        <v>0.5</v>
      </c>
      <c r="P951" s="10">
        <f t="shared" si="361"/>
        <v>0.25</v>
      </c>
      <c r="Q951" s="40">
        <f t="shared" si="358"/>
        <v>0</v>
      </c>
      <c r="R951" s="21">
        <f>IF(D951&gt;21,VLOOKUP(D951,Barem!$T$1:$U$141,2,1),0)</f>
        <v>0</v>
      </c>
      <c r="S951" s="152">
        <f>IF(D951&lt;1.609,0,IF(B951="F",VLOOKUP(I951,Barem!$X$2:$Z$13,2,1),VLOOKUP(I951,Barem!$X$14:$Z$25,2,1)))</f>
        <v>6.75</v>
      </c>
      <c r="T951" s="21">
        <f>VLOOKUP(A951,Participanti!A:C,3,0)</f>
        <v>0</v>
      </c>
      <c r="U951" s="18">
        <f t="shared" si="359"/>
        <v>10.485714285714286</v>
      </c>
      <c r="V951" s="58" t="s">
        <v>492</v>
      </c>
      <c r="W951" s="77">
        <f t="shared" si="346"/>
        <v>1</v>
      </c>
      <c r="X951" s="1" t="e">
        <f>VLOOKUP(A951,Data_Echipe!A:R,18,0)</f>
        <v>#N/A</v>
      </c>
      <c r="Z951" s="115">
        <f t="shared" si="360"/>
        <v>1</v>
      </c>
    </row>
    <row r="952" spans="1:26" x14ac:dyDescent="0.3">
      <c r="A952" s="49" t="s">
        <v>396</v>
      </c>
      <c r="B952" s="1" t="str">
        <f>VLOOKUP(A952,Participanti!A:B,2,0)</f>
        <v>F</v>
      </c>
      <c r="C952" s="74">
        <v>11</v>
      </c>
      <c r="D952" s="50">
        <v>10.48</v>
      </c>
      <c r="E952" s="51">
        <v>4.8518518518518516E-2</v>
      </c>
      <c r="F952" s="51">
        <v>5.230324074074074E-2</v>
      </c>
      <c r="G952" s="69">
        <f t="shared" si="355"/>
        <v>5.0410879629629632E-2</v>
      </c>
      <c r="H952" s="52"/>
      <c r="I952" s="12">
        <f t="shared" si="356"/>
        <v>4.8101984379417583E-3</v>
      </c>
      <c r="J952" s="37">
        <f t="shared" si="357"/>
        <v>2.62</v>
      </c>
      <c r="K952" s="37">
        <f>IF(J952=0,0,IF(B952="F",VLOOKUP(I952,Barem!$G$2:$H$16,2,1),VLOOKUP(I952,Barem!$G$17:$H$31,2,1)))</f>
        <v>1</v>
      </c>
      <c r="L952" s="50">
        <v>1.75</v>
      </c>
      <c r="M952" s="124" t="s">
        <v>107</v>
      </c>
      <c r="N952" s="10">
        <f t="shared" si="361"/>
        <v>0.25</v>
      </c>
      <c r="O952" s="10">
        <f t="shared" si="361"/>
        <v>0.5</v>
      </c>
      <c r="P952" s="10">
        <f t="shared" si="361"/>
        <v>0.25</v>
      </c>
      <c r="Q952" s="40">
        <f t="shared" si="358"/>
        <v>0</v>
      </c>
      <c r="R952" s="21">
        <f>IF(D952&gt;21,VLOOKUP(D952,Barem!$T$1:$U$141,2,1),0)</f>
        <v>0</v>
      </c>
      <c r="S952" s="152">
        <f>IF(D952&lt;1.609,0,IF(B952="F",VLOOKUP(I952,Barem!$X$2:$Z$13,2,1),VLOOKUP(I952,Barem!$X$14:$Z$25,2,1)))</f>
        <v>0</v>
      </c>
      <c r="T952" s="21">
        <f>VLOOKUP(A952,Participanti!A:C,3,0)</f>
        <v>0</v>
      </c>
      <c r="U952" s="18">
        <f t="shared" si="359"/>
        <v>1.5925</v>
      </c>
      <c r="V952" s="58" t="s">
        <v>492</v>
      </c>
      <c r="W952" s="77">
        <f t="shared" si="346"/>
        <v>1</v>
      </c>
      <c r="X952" s="1" t="str">
        <f>VLOOKUP(A952,Data_Echipe!A:R,18,0)</f>
        <v>MedgidiaRunning</v>
      </c>
      <c r="Z952" s="115">
        <f t="shared" si="360"/>
        <v>1</v>
      </c>
    </row>
    <row r="953" spans="1:26" x14ac:dyDescent="0.3">
      <c r="A953" s="49" t="s">
        <v>58</v>
      </c>
      <c r="B953" s="1" t="str">
        <f>VLOOKUP(A953,Participanti!A:B,2,0)</f>
        <v>M</v>
      </c>
      <c r="C953" s="74">
        <v>11</v>
      </c>
      <c r="D953" s="50">
        <v>10.050000000000001</v>
      </c>
      <c r="E953" s="51">
        <v>4.6944444444444448E-2</v>
      </c>
      <c r="F953" s="51">
        <v>4.6944444444444448E-2</v>
      </c>
      <c r="G953" s="69">
        <f t="shared" si="355"/>
        <v>4.6944444444444448E-2</v>
      </c>
      <c r="H953" s="52"/>
      <c r="I953" s="12">
        <f t="shared" si="356"/>
        <v>4.6710889994472085E-3</v>
      </c>
      <c r="J953" s="37">
        <f t="shared" si="357"/>
        <v>2.3928571428571428</v>
      </c>
      <c r="K953" s="37">
        <f>IF(J953=0,0,IF(B953="F",VLOOKUP(I953,Barem!$G$2:$H$16,2,1),VLOOKUP(I953,Barem!$G$17:$H$31,2,1)))</f>
        <v>0.75</v>
      </c>
      <c r="L953" s="50">
        <v>2</v>
      </c>
      <c r="M953" s="124" t="s">
        <v>107</v>
      </c>
      <c r="N953" s="10">
        <f t="shared" si="361"/>
        <v>0.25</v>
      </c>
      <c r="O953" s="10">
        <f t="shared" si="361"/>
        <v>0.5</v>
      </c>
      <c r="P953" s="10">
        <f t="shared" si="361"/>
        <v>0.25</v>
      </c>
      <c r="Q953" s="40">
        <f t="shared" si="358"/>
        <v>0</v>
      </c>
      <c r="R953" s="21">
        <f>IF(D953&gt;21,VLOOKUP(D953,Barem!$T$1:$U$141,2,1),0)</f>
        <v>0</v>
      </c>
      <c r="S953" s="152">
        <f>IF(D953&lt;1.609,0,IF(B953="F",VLOOKUP(I953,Barem!$X$2:$Z$13,2,1),VLOOKUP(I953,Barem!$X$14:$Z$25,2,1)))</f>
        <v>0</v>
      </c>
      <c r="T953" s="21">
        <f>VLOOKUP(A953,Participanti!A:C,3,0)</f>
        <v>0</v>
      </c>
      <c r="U953" s="18">
        <f t="shared" si="359"/>
        <v>1.4732142857142856</v>
      </c>
      <c r="V953" s="58" t="s">
        <v>492</v>
      </c>
      <c r="W953" s="77">
        <f t="shared" si="346"/>
        <v>1</v>
      </c>
      <c r="X953" s="1" t="e">
        <f>VLOOKUP(A953,Data_Echipe!A:R,18,0)</f>
        <v>#N/A</v>
      </c>
      <c r="Z953" s="115">
        <f t="shared" si="360"/>
        <v>1</v>
      </c>
    </row>
    <row r="954" spans="1:26" x14ac:dyDescent="0.3">
      <c r="A954" s="49" t="s">
        <v>376</v>
      </c>
      <c r="B954" s="1" t="str">
        <f>VLOOKUP(A954,Participanti!A:B,2,0)</f>
        <v>M</v>
      </c>
      <c r="C954" s="74">
        <v>11</v>
      </c>
      <c r="D954" s="50">
        <v>30.02</v>
      </c>
      <c r="E954" s="51">
        <v>8.6805555555555566E-2</v>
      </c>
      <c r="F954" s="51">
        <v>8.8449074074074083E-2</v>
      </c>
      <c r="G954" s="69">
        <f t="shared" si="355"/>
        <v>8.7627314814814825E-2</v>
      </c>
      <c r="H954" s="52"/>
      <c r="I954" s="12">
        <f t="shared" si="356"/>
        <v>2.9189645174821726E-3</v>
      </c>
      <c r="J954" s="37">
        <f t="shared" si="357"/>
        <v>5</v>
      </c>
      <c r="K954" s="37">
        <f>IF(J954=0,0,IF(B954="F",VLOOKUP(I954,Barem!$G$2:$H$16,2,1),VLOOKUP(I954,Barem!$G$17:$H$31,2,1)))</f>
        <v>4.5</v>
      </c>
      <c r="L954" s="50">
        <v>1.5</v>
      </c>
      <c r="M954" s="124" t="s">
        <v>106</v>
      </c>
      <c r="N954" s="10">
        <f t="shared" si="361"/>
        <v>0.5</v>
      </c>
      <c r="O954" s="10">
        <f t="shared" si="361"/>
        <v>0.25</v>
      </c>
      <c r="P954" s="10">
        <f t="shared" si="361"/>
        <v>0.25</v>
      </c>
      <c r="Q954" s="40">
        <f t="shared" si="358"/>
        <v>0</v>
      </c>
      <c r="R954" s="21">
        <f>IF(D954&gt;21,VLOOKUP(D954,Barem!$T$1:$U$141,2,1),0)</f>
        <v>0.4</v>
      </c>
      <c r="S954" s="152">
        <f>IF(D954&lt;1.609,0,IF(B954="F",VLOOKUP(I954,Barem!$X$2:$Z$13,2,1),VLOOKUP(I954,Barem!$X$14:$Z$25,2,1)))</f>
        <v>0</v>
      </c>
      <c r="T954" s="21">
        <f>VLOOKUP(A954,Participanti!A:C,3,0)</f>
        <v>0</v>
      </c>
      <c r="U954" s="18">
        <f t="shared" si="359"/>
        <v>4.4000000000000004</v>
      </c>
      <c r="V954" s="58" t="s">
        <v>492</v>
      </c>
      <c r="W954" s="77">
        <f t="shared" si="346"/>
        <v>1</v>
      </c>
      <c r="X954" s="1" t="e">
        <f>VLOOKUP(A954,Data_Echipe!A:R,18,0)</f>
        <v>#N/A</v>
      </c>
      <c r="Z954" s="115">
        <f t="shared" si="360"/>
        <v>1</v>
      </c>
    </row>
    <row r="955" spans="1:26" x14ac:dyDescent="0.3">
      <c r="A955" s="49" t="s">
        <v>203</v>
      </c>
      <c r="B955" s="1" t="str">
        <f>VLOOKUP(A955,Participanti!A:B,2,0)</f>
        <v>M</v>
      </c>
      <c r="C955" s="74">
        <v>11</v>
      </c>
      <c r="D955" s="50">
        <v>10.24</v>
      </c>
      <c r="E955" s="51">
        <v>2.9050925925925928E-2</v>
      </c>
      <c r="F955" s="51">
        <v>2.9189814814814811E-2</v>
      </c>
      <c r="G955" s="69">
        <f t="shared" si="355"/>
        <v>2.9120370370370369E-2</v>
      </c>
      <c r="H955" s="52"/>
      <c r="I955" s="12">
        <f t="shared" si="356"/>
        <v>2.8437861689814812E-3</v>
      </c>
      <c r="J955" s="37">
        <f t="shared" si="357"/>
        <v>2.4380952380952379</v>
      </c>
      <c r="K955" s="37">
        <f>IF(J955=0,0,IF(B955="F",VLOOKUP(I955,Barem!$G$2:$H$16,2,1),VLOOKUP(I955,Barem!$G$17:$H$31,2,1)))</f>
        <v>4.5</v>
      </c>
      <c r="L955" s="50">
        <v>4</v>
      </c>
      <c r="M955" s="124" t="s">
        <v>107</v>
      </c>
      <c r="N955" s="10">
        <f t="shared" si="361"/>
        <v>0.25</v>
      </c>
      <c r="O955" s="10">
        <f t="shared" si="361"/>
        <v>0.5</v>
      </c>
      <c r="P955" s="10">
        <f t="shared" si="361"/>
        <v>0.25</v>
      </c>
      <c r="Q955" s="40">
        <f t="shared" si="358"/>
        <v>0</v>
      </c>
      <c r="R955" s="21">
        <f>IF(D955&gt;21,VLOOKUP(D955,Barem!$T$1:$U$141,2,1),0)</f>
        <v>0</v>
      </c>
      <c r="S955" s="152">
        <f>IF(D955&lt;1.609,0,IF(B955="F",VLOOKUP(I955,Barem!$X$2:$Z$13,2,1),VLOOKUP(I955,Barem!$X$14:$Z$25,2,1)))</f>
        <v>0</v>
      </c>
      <c r="T955" s="21">
        <f>VLOOKUP(A955,Participanti!A:C,3,0)</f>
        <v>0</v>
      </c>
      <c r="U955" s="18">
        <f t="shared" si="359"/>
        <v>3.8595238095238096</v>
      </c>
      <c r="V955" s="58" t="s">
        <v>492</v>
      </c>
      <c r="W955" s="77">
        <f t="shared" si="346"/>
        <v>1</v>
      </c>
      <c r="X955" s="1" t="str">
        <f>VLOOKUP(A955,Data_Echipe!A:R,18,0)</f>
        <v>The GOATs</v>
      </c>
      <c r="Z955" s="115">
        <f t="shared" si="360"/>
        <v>1</v>
      </c>
    </row>
    <row r="956" spans="1:26" x14ac:dyDescent="0.3">
      <c r="A956" s="49" t="s">
        <v>78</v>
      </c>
      <c r="B956" s="1" t="str">
        <f>VLOOKUP(A956,Participanti!A:B,2,0)</f>
        <v>M</v>
      </c>
      <c r="C956" s="74">
        <v>11</v>
      </c>
      <c r="D956" s="50">
        <v>26.13</v>
      </c>
      <c r="E956" s="51">
        <v>0.22865740740740739</v>
      </c>
      <c r="F956" s="51">
        <v>0.25484953703703705</v>
      </c>
      <c r="G956" s="69">
        <f t="shared" si="355"/>
        <v>0.24175347222222221</v>
      </c>
      <c r="H956" s="52">
        <v>1502</v>
      </c>
      <c r="I956" s="12">
        <f t="shared" si="356"/>
        <v>9.251950716502956E-3</v>
      </c>
      <c r="J956" s="37">
        <f t="shared" si="357"/>
        <v>5</v>
      </c>
      <c r="K956" s="37">
        <f>IF(J956=0,0,IF(B956="F",VLOOKUP(I956,Barem!$G$2:$H$16,2,1),VLOOKUP(I956,Barem!$G$17:$H$31,2,1)))</f>
        <v>0</v>
      </c>
      <c r="L956" s="50">
        <v>3.25</v>
      </c>
      <c r="M956" s="124" t="s">
        <v>106</v>
      </c>
      <c r="N956" s="10">
        <f t="shared" si="361"/>
        <v>0.5</v>
      </c>
      <c r="O956" s="10">
        <f t="shared" si="361"/>
        <v>0.25</v>
      </c>
      <c r="P956" s="10">
        <f t="shared" si="361"/>
        <v>0.25</v>
      </c>
      <c r="Q956" s="40">
        <f t="shared" si="358"/>
        <v>1.0013333333333334</v>
      </c>
      <c r="R956" s="21">
        <f>IF(D956&gt;21,VLOOKUP(D956,Barem!$T$1:$U$141,2,1),0)</f>
        <v>0.2</v>
      </c>
      <c r="S956" s="152">
        <f>IF(D956&lt;1.609,0,IF(B956="F",VLOOKUP(I956,Barem!$X$2:$Z$13,2,1),VLOOKUP(I956,Barem!$X$14:$Z$25,2,1)))</f>
        <v>0</v>
      </c>
      <c r="T956" s="21">
        <f>VLOOKUP(A956,Participanti!A:C,3,0)</f>
        <v>0.4</v>
      </c>
      <c r="U956" s="18">
        <f t="shared" si="359"/>
        <v>4.9138333333333337</v>
      </c>
      <c r="V956" s="58" t="s">
        <v>492</v>
      </c>
      <c r="W956" s="77">
        <f t="shared" si="346"/>
        <v>1</v>
      </c>
      <c r="X956" s="1" t="str">
        <f>VLOOKUP(A956,Data_Echipe!A:R,18,0)</f>
        <v>Almost Kenyan Runners</v>
      </c>
      <c r="Z956" s="115">
        <f t="shared" si="360"/>
        <v>0</v>
      </c>
    </row>
    <row r="957" spans="1:26" x14ac:dyDescent="0.3">
      <c r="A957" s="49" t="s">
        <v>336</v>
      </c>
      <c r="B957" s="1" t="str">
        <f>VLOOKUP(A957,Participanti!A:B,2,0)</f>
        <v>M</v>
      </c>
      <c r="C957" s="74">
        <v>12</v>
      </c>
      <c r="D957" s="50">
        <v>28.09</v>
      </c>
      <c r="E957" s="51">
        <v>0.11839120370370371</v>
      </c>
      <c r="F957" s="51">
        <v>0.11839120370370371</v>
      </c>
      <c r="G957" s="69">
        <f t="shared" si="355"/>
        <v>0.11839120370370371</v>
      </c>
      <c r="H957" s="52"/>
      <c r="I957" s="12">
        <f t="shared" si="356"/>
        <v>4.2147099930118798E-3</v>
      </c>
      <c r="J957" s="37">
        <f t="shared" si="357"/>
        <v>5</v>
      </c>
      <c r="K957" s="37">
        <f>IF(J957=0,0,IF(B957="F",VLOOKUP(I957,Barem!$G$2:$H$16,2,1),VLOOKUP(I957,Barem!$G$17:$H$31,2,1)))</f>
        <v>1.25</v>
      </c>
      <c r="L957" s="50">
        <v>1</v>
      </c>
      <c r="M957" s="124" t="s">
        <v>207</v>
      </c>
      <c r="N957" s="10">
        <f t="shared" si="361"/>
        <v>0.25</v>
      </c>
      <c r="O957" s="10">
        <f t="shared" si="361"/>
        <v>0.25</v>
      </c>
      <c r="P957" s="10">
        <f t="shared" si="361"/>
        <v>0.5</v>
      </c>
      <c r="Q957" s="40">
        <f t="shared" si="358"/>
        <v>0</v>
      </c>
      <c r="R957" s="21">
        <f>IF(D957&gt;21,VLOOKUP(D957,Barem!$T$1:$U$141,2,1),0)</f>
        <v>0.3</v>
      </c>
      <c r="S957" s="152">
        <f>IF(D957&lt;1.609,0,IF(B957="F",VLOOKUP(I957,Barem!$X$2:$Z$13,2,1),VLOOKUP(I957,Barem!$X$14:$Z$25,2,1)))</f>
        <v>0</v>
      </c>
      <c r="T957" s="21">
        <f>VLOOKUP(A957,Participanti!A:C,3,0)</f>
        <v>0</v>
      </c>
      <c r="U957" s="18">
        <f t="shared" si="359"/>
        <v>2.3624999999999998</v>
      </c>
      <c r="V957" s="58" t="s">
        <v>494</v>
      </c>
      <c r="W957" s="77">
        <f t="shared" si="346"/>
        <v>1</v>
      </c>
      <c r="X957" s="1" t="e">
        <f>VLOOKUP(A957,Data_Echipe!A:R,18,0)</f>
        <v>#N/A</v>
      </c>
      <c r="Z957" s="115">
        <f t="shared" si="360"/>
        <v>1</v>
      </c>
    </row>
    <row r="958" spans="1:26" x14ac:dyDescent="0.3">
      <c r="A958" s="49" t="s">
        <v>47</v>
      </c>
      <c r="B958" s="1" t="str">
        <f>VLOOKUP(A958,Participanti!A:B,2,0)</f>
        <v>M</v>
      </c>
      <c r="C958" s="74">
        <v>12</v>
      </c>
      <c r="D958" s="50">
        <v>10</v>
      </c>
      <c r="E958" s="51">
        <v>2.9965277777777775E-2</v>
      </c>
      <c r="F958" s="51">
        <v>2.9965277777777775E-2</v>
      </c>
      <c r="G958" s="69">
        <f t="shared" si="355"/>
        <v>2.9965277777777775E-2</v>
      </c>
      <c r="H958" s="52"/>
      <c r="I958" s="12">
        <f t="shared" si="356"/>
        <v>2.9965277777777776E-3</v>
      </c>
      <c r="J958" s="37">
        <f t="shared" si="357"/>
        <v>2.3809523809523809</v>
      </c>
      <c r="K958" s="37">
        <f>IF(J958=0,0,IF(B958="F",VLOOKUP(I958,Barem!$G$2:$H$16,2,1),VLOOKUP(I958,Barem!$G$17:$H$31,2,1)))</f>
        <v>4</v>
      </c>
      <c r="L958" s="50">
        <v>3.25</v>
      </c>
      <c r="M958" s="124" t="s">
        <v>107</v>
      </c>
      <c r="N958" s="10">
        <f t="shared" si="361"/>
        <v>0.25</v>
      </c>
      <c r="O958" s="10">
        <f t="shared" si="361"/>
        <v>0.5</v>
      </c>
      <c r="P958" s="10">
        <f t="shared" si="361"/>
        <v>0.25</v>
      </c>
      <c r="Q958" s="40">
        <f t="shared" si="358"/>
        <v>0</v>
      </c>
      <c r="R958" s="21">
        <f>IF(D958&gt;21,VLOOKUP(D958,Barem!$T$1:$U$141,2,1),0)</f>
        <v>0</v>
      </c>
      <c r="S958" s="152">
        <f>IF(D958&lt;1.609,0,IF(B958="F",VLOOKUP(I958,Barem!$X$2:$Z$13,2,1),VLOOKUP(I958,Barem!$X$14:$Z$25,2,1)))</f>
        <v>0</v>
      </c>
      <c r="T958" s="21">
        <f>VLOOKUP(A958,Participanti!A:C,3,0)</f>
        <v>0</v>
      </c>
      <c r="U958" s="18">
        <f t="shared" si="359"/>
        <v>3.4077380952380953</v>
      </c>
      <c r="V958" s="58" t="s">
        <v>494</v>
      </c>
      <c r="W958" s="77">
        <f t="shared" si="346"/>
        <v>1</v>
      </c>
      <c r="X958" s="1" t="str">
        <f>VLOOKUP(A958,Data_Echipe!A:R,18,0)</f>
        <v>The GOATs</v>
      </c>
      <c r="Z958" s="115">
        <f t="shared" si="360"/>
        <v>1</v>
      </c>
    </row>
    <row r="959" spans="1:26" x14ac:dyDescent="0.3">
      <c r="A959" s="49" t="s">
        <v>345</v>
      </c>
      <c r="B959" s="1" t="str">
        <f>VLOOKUP(A959,Participanti!A:B,2,0)</f>
        <v>F</v>
      </c>
      <c r="C959" s="74">
        <v>12</v>
      </c>
      <c r="D959" s="50">
        <v>10.01</v>
      </c>
      <c r="E959" s="51">
        <v>3.8541666666666669E-2</v>
      </c>
      <c r="F959" s="51">
        <v>3.953703703703703E-2</v>
      </c>
      <c r="G959" s="69">
        <f t="shared" si="355"/>
        <v>3.9039351851851853E-2</v>
      </c>
      <c r="H959" s="52"/>
      <c r="I959" s="12">
        <f t="shared" si="356"/>
        <v>3.9000351500351501E-3</v>
      </c>
      <c r="J959" s="37">
        <f t="shared" si="357"/>
        <v>2.5024999999999999</v>
      </c>
      <c r="K959" s="37">
        <f>IF(J959=0,0,IF(B959="F",VLOOKUP(I959,Barem!$G$2:$H$16,2,1),VLOOKUP(I959,Barem!$G$17:$H$31,2,1)))</f>
        <v>2.5</v>
      </c>
      <c r="L959" s="50">
        <v>3</v>
      </c>
      <c r="M959" s="124" t="s">
        <v>207</v>
      </c>
      <c r="N959" s="10">
        <f t="shared" si="361"/>
        <v>0.25</v>
      </c>
      <c r="O959" s="10">
        <f t="shared" si="361"/>
        <v>0.25</v>
      </c>
      <c r="P959" s="10">
        <f t="shared" si="361"/>
        <v>0.5</v>
      </c>
      <c r="Q959" s="40">
        <f t="shared" si="358"/>
        <v>0</v>
      </c>
      <c r="R959" s="21">
        <f>IF(D959&gt;21,VLOOKUP(D959,Barem!$T$1:$U$141,2,1),0)</f>
        <v>0</v>
      </c>
      <c r="S959" s="152">
        <f>IF(D959&lt;1.609,0,IF(B959="F",VLOOKUP(I959,Barem!$X$2:$Z$13,2,1),VLOOKUP(I959,Barem!$X$14:$Z$25,2,1)))</f>
        <v>0</v>
      </c>
      <c r="T959" s="21">
        <f>VLOOKUP(A959,Participanti!A:C,3,0)</f>
        <v>0</v>
      </c>
      <c r="U959" s="18">
        <f t="shared" si="359"/>
        <v>2.7506249999999999</v>
      </c>
      <c r="V959" s="58" t="s">
        <v>495</v>
      </c>
      <c r="W959" s="77">
        <f t="shared" si="346"/>
        <v>1</v>
      </c>
      <c r="X959" s="1" t="str">
        <f>VLOOKUP(A959,Data_Echipe!A:R,18,0)</f>
        <v>MedgidiaRunning</v>
      </c>
      <c r="Z959" s="115">
        <f t="shared" si="360"/>
        <v>1</v>
      </c>
    </row>
    <row r="960" spans="1:26" x14ac:dyDescent="0.3">
      <c r="A960" s="49" t="s">
        <v>292</v>
      </c>
      <c r="B960" s="1" t="str">
        <f>VLOOKUP(A960,Participanti!A:B,2,0)</f>
        <v>F</v>
      </c>
      <c r="C960" s="74">
        <v>12</v>
      </c>
      <c r="D960" s="50">
        <v>11.78</v>
      </c>
      <c r="E960" s="51">
        <v>5.1331018518518519E-2</v>
      </c>
      <c r="F960" s="51">
        <v>7.4143518518518511E-2</v>
      </c>
      <c r="G960" s="69">
        <f t="shared" si="355"/>
        <v>6.2737268518518519E-2</v>
      </c>
      <c r="H960" s="52"/>
      <c r="I960" s="12">
        <f t="shared" si="356"/>
        <v>5.3257443564107406E-3</v>
      </c>
      <c r="J960" s="37">
        <f t="shared" si="357"/>
        <v>2.9449999999999998</v>
      </c>
      <c r="K960" s="37">
        <f>IF(J960=0,0,IF(B960="F",VLOOKUP(I960,Barem!$G$2:$H$16,2,1),VLOOKUP(I960,Barem!$G$17:$H$31,2,1)))</f>
        <v>0.25</v>
      </c>
      <c r="L960" s="50">
        <v>1.25</v>
      </c>
      <c r="M960" s="124" t="s">
        <v>207</v>
      </c>
      <c r="N960" s="10">
        <f t="shared" si="361"/>
        <v>0.25</v>
      </c>
      <c r="O960" s="10">
        <f t="shared" si="361"/>
        <v>0.25</v>
      </c>
      <c r="P960" s="10">
        <f t="shared" si="361"/>
        <v>0.5</v>
      </c>
      <c r="Q960" s="40">
        <f t="shared" si="358"/>
        <v>0</v>
      </c>
      <c r="R960" s="21">
        <f>IF(D960&gt;21,VLOOKUP(D960,Barem!$T$1:$U$141,2,1),0)</f>
        <v>0</v>
      </c>
      <c r="S960" s="152">
        <f>IF(D960&lt;1.609,0,IF(B960="F",VLOOKUP(I960,Barem!$X$2:$Z$13,2,1),VLOOKUP(I960,Barem!$X$14:$Z$25,2,1)))</f>
        <v>0</v>
      </c>
      <c r="T960" s="21">
        <f>VLOOKUP(A960,Participanti!A:C,3,0)</f>
        <v>0</v>
      </c>
      <c r="U960" s="18">
        <f t="shared" si="359"/>
        <v>1.4237500000000001</v>
      </c>
      <c r="V960" s="58" t="s">
        <v>495</v>
      </c>
      <c r="W960" s="77">
        <f t="shared" si="346"/>
        <v>1</v>
      </c>
      <c r="X960" s="1" t="e">
        <f>VLOOKUP(A960,Data_Echipe!A:R,18,0)</f>
        <v>#N/A</v>
      </c>
      <c r="Z960" s="115">
        <f t="shared" si="360"/>
        <v>1</v>
      </c>
    </row>
    <row r="961" spans="1:26" x14ac:dyDescent="0.3">
      <c r="A961" s="49" t="s">
        <v>339</v>
      </c>
      <c r="B961" s="1" t="str">
        <f>VLOOKUP(A961,Participanti!A:B,2,0)</f>
        <v>M</v>
      </c>
      <c r="C961" s="74">
        <v>12</v>
      </c>
      <c r="D961" s="50">
        <v>23.04</v>
      </c>
      <c r="E961" s="51">
        <v>8.7372685185185192E-2</v>
      </c>
      <c r="F961" s="51">
        <v>8.7418981481481473E-2</v>
      </c>
      <c r="G961" s="69">
        <f t="shared" ref="G961:G982" si="362">AVERAGE(E961:F961)</f>
        <v>8.7395833333333339E-2</v>
      </c>
      <c r="H961" s="52">
        <v>207</v>
      </c>
      <c r="I961" s="12">
        <f t="shared" ref="I961:I982" si="363">G961/D961</f>
        <v>3.7932219328703706E-3</v>
      </c>
      <c r="J961" s="37">
        <f t="shared" ref="J961:J982" si="364">IF(B961="F",IF(D961&lt;2.5,0,IF(D961&gt;19.99,5,D961/4)),IF(D961&lt;3,0, IF(D961&gt;20.99,5,D961/4.2)))</f>
        <v>5</v>
      </c>
      <c r="K961" s="37">
        <f>IF(J961=0,0,IF(B961="F",VLOOKUP(I961,Barem!$G$2:$H$16,2,1),VLOOKUP(I961,Barem!$G$17:$H$31,2,1)))</f>
        <v>2</v>
      </c>
      <c r="L961" s="50">
        <v>2.75</v>
      </c>
      <c r="M961" s="124" t="s">
        <v>207</v>
      </c>
      <c r="N961" s="10">
        <f t="shared" si="361"/>
        <v>0.25</v>
      </c>
      <c r="O961" s="10">
        <f t="shared" si="361"/>
        <v>0.25</v>
      </c>
      <c r="P961" s="10">
        <f t="shared" si="361"/>
        <v>0.5</v>
      </c>
      <c r="Q961" s="40">
        <f t="shared" ref="Q961:Q982" si="365">IF(H961&gt;49,H961/1500,0)</f>
        <v>0.13800000000000001</v>
      </c>
      <c r="R961" s="21">
        <f>IF(D961&gt;21,VLOOKUP(D961,Barem!$T$1:$U$141,2,1),0)</f>
        <v>0.1</v>
      </c>
      <c r="S961" s="152">
        <f>IF(D961&lt;1.609,0,IF(B961="F",VLOOKUP(I961,Barem!$X$2:$Z$13,2,1),VLOOKUP(I961,Barem!$X$14:$Z$25,2,1)))</f>
        <v>0</v>
      </c>
      <c r="T961" s="21">
        <f>VLOOKUP(A961,Participanti!A:C,3,0)</f>
        <v>0</v>
      </c>
      <c r="U961" s="18">
        <f t="shared" ref="U961:U982" si="366">IF(H961&lt;0,0,J961*N961+K961*O961+L961*P961+Q961+R961+S961+T961)</f>
        <v>3.363</v>
      </c>
      <c r="V961" s="58" t="s">
        <v>495</v>
      </c>
      <c r="W961" s="77">
        <f t="shared" si="346"/>
        <v>1</v>
      </c>
      <c r="X961" s="1" t="str">
        <f>VLOOKUP(A961,Data_Echipe!A:R,18,0)</f>
        <v>MedgidiaRunning</v>
      </c>
      <c r="Z961" s="115">
        <f t="shared" ref="Z961:Z982" si="367">IF(K961&gt;0,1,0)</f>
        <v>1</v>
      </c>
    </row>
    <row r="962" spans="1:26" x14ac:dyDescent="0.3">
      <c r="A962" s="49" t="s">
        <v>204</v>
      </c>
      <c r="B962" s="1" t="str">
        <f>VLOOKUP(A962,Participanti!A:B,2,0)</f>
        <v>M</v>
      </c>
      <c r="C962" s="74">
        <v>12</v>
      </c>
      <c r="D962" s="50">
        <v>10.01</v>
      </c>
      <c r="E962" s="51">
        <v>3.5034722222222224E-2</v>
      </c>
      <c r="F962" s="51">
        <v>4.4548611111111108E-2</v>
      </c>
      <c r="G962" s="69">
        <f t="shared" si="362"/>
        <v>3.979166666666667E-2</v>
      </c>
      <c r="H962" s="52"/>
      <c r="I962" s="12">
        <f t="shared" si="363"/>
        <v>3.9751914751914759E-3</v>
      </c>
      <c r="J962" s="37">
        <f t="shared" si="364"/>
        <v>2.3833333333333333</v>
      </c>
      <c r="K962" s="37">
        <f>IF(J962=0,0,IF(B962="F",VLOOKUP(I962,Barem!$G$2:$H$16,2,1),VLOOKUP(I962,Barem!$G$17:$H$31,2,1)))</f>
        <v>1.75</v>
      </c>
      <c r="L962" s="50">
        <v>2.25</v>
      </c>
      <c r="M962" s="124" t="s">
        <v>207</v>
      </c>
      <c r="N962" s="10">
        <f t="shared" ref="N962:P983" si="368">IF($M962=N$1,50%,25%)</f>
        <v>0.25</v>
      </c>
      <c r="O962" s="10">
        <f t="shared" si="368"/>
        <v>0.25</v>
      </c>
      <c r="P962" s="10">
        <f t="shared" si="368"/>
        <v>0.5</v>
      </c>
      <c r="Q962" s="40">
        <f t="shared" si="365"/>
        <v>0</v>
      </c>
      <c r="R962" s="21">
        <f>IF(D962&gt;21,VLOOKUP(D962,Barem!$T$1:$U$141,2,1),0)</f>
        <v>0</v>
      </c>
      <c r="S962" s="152">
        <f>IF(D962&lt;1.609,0,IF(B962="F",VLOOKUP(I962,Barem!$X$2:$Z$13,2,1),VLOOKUP(I962,Barem!$X$14:$Z$25,2,1)))</f>
        <v>0</v>
      </c>
      <c r="T962" s="21">
        <f>VLOOKUP(A962,Participanti!A:C,3,0)</f>
        <v>0</v>
      </c>
      <c r="U962" s="18">
        <f t="shared" si="366"/>
        <v>2.1583333333333332</v>
      </c>
      <c r="V962" s="58" t="s">
        <v>495</v>
      </c>
      <c r="W962" s="77">
        <f t="shared" ref="W962:W1025" si="369">COUNTIFS(A:A,A962,C:C,C962)</f>
        <v>1</v>
      </c>
      <c r="X962" s="1" t="e">
        <f>VLOOKUP(A962,Data_Echipe!A:R,18,0)</f>
        <v>#N/A</v>
      </c>
      <c r="Z962" s="115">
        <f t="shared" si="367"/>
        <v>1</v>
      </c>
    </row>
    <row r="963" spans="1:26" x14ac:dyDescent="0.3">
      <c r="A963" s="49" t="s">
        <v>291</v>
      </c>
      <c r="B963" s="1" t="str">
        <f>VLOOKUP(A963,Participanti!A:B,2,0)</f>
        <v>F</v>
      </c>
      <c r="C963" s="74">
        <v>12</v>
      </c>
      <c r="D963" s="50">
        <v>16.7</v>
      </c>
      <c r="E963" s="51">
        <v>6.6296296296296298E-2</v>
      </c>
      <c r="F963" s="51">
        <v>8.0671296296296297E-2</v>
      </c>
      <c r="G963" s="69">
        <f t="shared" si="362"/>
        <v>7.3483796296296297E-2</v>
      </c>
      <c r="H963" s="52"/>
      <c r="I963" s="12">
        <f t="shared" si="363"/>
        <v>4.4002273231315151E-3</v>
      </c>
      <c r="J963" s="37">
        <f t="shared" si="364"/>
        <v>4.1749999999999998</v>
      </c>
      <c r="K963" s="37">
        <f>IF(J963=0,0,IF(B963="F",VLOOKUP(I963,Barem!$G$2:$H$16,2,1),VLOOKUP(I963,Barem!$G$17:$H$31,2,1)))</f>
        <v>1.5</v>
      </c>
      <c r="L963" s="50">
        <v>2</v>
      </c>
      <c r="M963" s="124" t="s">
        <v>207</v>
      </c>
      <c r="N963" s="10">
        <f t="shared" si="368"/>
        <v>0.25</v>
      </c>
      <c r="O963" s="10">
        <f t="shared" si="368"/>
        <v>0.25</v>
      </c>
      <c r="P963" s="10">
        <f t="shared" si="368"/>
        <v>0.5</v>
      </c>
      <c r="Q963" s="40">
        <f t="shared" si="365"/>
        <v>0</v>
      </c>
      <c r="R963" s="21">
        <f>IF(D963&gt;21,VLOOKUP(D963,Barem!$T$1:$U$141,2,1),0)</f>
        <v>0</v>
      </c>
      <c r="S963" s="152">
        <f>IF(D963&lt;1.609,0,IF(B963="F",VLOOKUP(I963,Barem!$X$2:$Z$13,2,1),VLOOKUP(I963,Barem!$X$14:$Z$25,2,1)))</f>
        <v>0</v>
      </c>
      <c r="T963" s="21">
        <f>VLOOKUP(A963,Participanti!A:C,3,0)</f>
        <v>0</v>
      </c>
      <c r="U963" s="18">
        <f t="shared" si="366"/>
        <v>2.4187500000000002</v>
      </c>
      <c r="V963" s="58" t="s">
        <v>495</v>
      </c>
      <c r="W963" s="77">
        <f t="shared" si="369"/>
        <v>1</v>
      </c>
      <c r="X963" s="1" t="str">
        <f>VLOOKUP(A963,Data_Echipe!A:R,18,0)</f>
        <v>#notSYRious</v>
      </c>
      <c r="Z963" s="115">
        <f t="shared" si="367"/>
        <v>1</v>
      </c>
    </row>
    <row r="964" spans="1:26" x14ac:dyDescent="0.3">
      <c r="A964" s="49" t="s">
        <v>448</v>
      </c>
      <c r="B964" s="1" t="str">
        <f>VLOOKUP(A964,Participanti!A:B,2,0)</f>
        <v>M</v>
      </c>
      <c r="C964" s="74">
        <v>12</v>
      </c>
      <c r="D964" s="50">
        <v>25.08</v>
      </c>
      <c r="E964" s="51">
        <v>0.10475694444444444</v>
      </c>
      <c r="F964" s="51">
        <v>0.11341435185185185</v>
      </c>
      <c r="G964" s="69">
        <f t="shared" si="362"/>
        <v>0.10908564814814814</v>
      </c>
      <c r="H964" s="52"/>
      <c r="I964" s="12">
        <f t="shared" si="363"/>
        <v>4.3495075019197825E-3</v>
      </c>
      <c r="J964" s="37">
        <f t="shared" si="364"/>
        <v>5</v>
      </c>
      <c r="K964" s="37">
        <f>IF(J964=0,0,IF(B964="F",VLOOKUP(I964,Barem!$G$2:$H$16,2,1),VLOOKUP(I964,Barem!$G$17:$H$31,2,1)))</f>
        <v>1.25</v>
      </c>
      <c r="L964" s="50">
        <v>0.75</v>
      </c>
      <c r="M964" s="124" t="s">
        <v>207</v>
      </c>
      <c r="N964" s="10">
        <f t="shared" si="368"/>
        <v>0.25</v>
      </c>
      <c r="O964" s="10">
        <f t="shared" si="368"/>
        <v>0.25</v>
      </c>
      <c r="P964" s="10">
        <f t="shared" si="368"/>
        <v>0.5</v>
      </c>
      <c r="Q964" s="40">
        <f t="shared" si="365"/>
        <v>0</v>
      </c>
      <c r="R964" s="21">
        <f>IF(D964&gt;21,VLOOKUP(D964,Barem!$T$1:$U$141,2,1),0)</f>
        <v>0.2</v>
      </c>
      <c r="S964" s="152">
        <f>IF(D964&lt;1.609,0,IF(B964="F",VLOOKUP(I964,Barem!$X$2:$Z$13,2,1),VLOOKUP(I964,Barem!$X$14:$Z$25,2,1)))</f>
        <v>0</v>
      </c>
      <c r="T964" s="21">
        <f>VLOOKUP(A964,Participanti!A:C,3,0)</f>
        <v>0</v>
      </c>
      <c r="U964" s="18">
        <f t="shared" si="366"/>
        <v>2.1375000000000002</v>
      </c>
      <c r="V964" s="58" t="s">
        <v>496</v>
      </c>
      <c r="W964" s="77">
        <f t="shared" si="369"/>
        <v>1</v>
      </c>
      <c r="X964" s="1" t="e">
        <f>VLOOKUP(A964,Data_Echipe!A:R,18,0)</f>
        <v>#N/A</v>
      </c>
      <c r="Z964" s="115">
        <f t="shared" si="367"/>
        <v>1</v>
      </c>
    </row>
    <row r="965" spans="1:26" x14ac:dyDescent="0.3">
      <c r="A965" s="49" t="s">
        <v>430</v>
      </c>
      <c r="B965" s="1" t="str">
        <f>VLOOKUP(A965,Participanti!A:B,2,0)</f>
        <v>M</v>
      </c>
      <c r="C965" s="74">
        <v>12</v>
      </c>
      <c r="D965" s="50">
        <v>12</v>
      </c>
      <c r="E965" s="51">
        <v>4.1550925925925929E-2</v>
      </c>
      <c r="F965" s="51">
        <v>4.1550925925925929E-2</v>
      </c>
      <c r="G965" s="69">
        <f t="shared" si="362"/>
        <v>4.1550925925925929E-2</v>
      </c>
      <c r="H965" s="52">
        <v>132</v>
      </c>
      <c r="I965" s="12">
        <f t="shared" si="363"/>
        <v>3.4625771604938275E-3</v>
      </c>
      <c r="J965" s="37">
        <f t="shared" si="364"/>
        <v>2.8571428571428572</v>
      </c>
      <c r="K965" s="37">
        <f>IF(J965=0,0,IF(B965="F",VLOOKUP(I965,Barem!$G$2:$H$16,2,1),VLOOKUP(I965,Barem!$G$17:$H$31,2,1)))</f>
        <v>3</v>
      </c>
      <c r="L965" s="50">
        <v>1.5</v>
      </c>
      <c r="M965" s="124" t="s">
        <v>207</v>
      </c>
      <c r="N965" s="10">
        <f t="shared" si="368"/>
        <v>0.25</v>
      </c>
      <c r="O965" s="10">
        <f t="shared" si="368"/>
        <v>0.25</v>
      </c>
      <c r="P965" s="10">
        <f t="shared" si="368"/>
        <v>0.5</v>
      </c>
      <c r="Q965" s="40">
        <f t="shared" si="365"/>
        <v>8.7999999999999995E-2</v>
      </c>
      <c r="R965" s="21">
        <f>IF(D965&gt;21,VLOOKUP(D965,Barem!$T$1:$U$141,2,1),0)</f>
        <v>0</v>
      </c>
      <c r="S965" s="152">
        <f>IF(D965&lt;1.609,0,IF(B965="F",VLOOKUP(I965,Barem!$X$2:$Z$13,2,1),VLOOKUP(I965,Barem!$X$14:$Z$25,2,1)))</f>
        <v>0</v>
      </c>
      <c r="T965" s="21">
        <f>VLOOKUP(A965,Participanti!A:C,3,0)</f>
        <v>0</v>
      </c>
      <c r="U965" s="18">
        <f t="shared" si="366"/>
        <v>2.3022857142857145</v>
      </c>
      <c r="V965" s="58" t="s">
        <v>496</v>
      </c>
      <c r="W965" s="77">
        <f t="shared" si="369"/>
        <v>1</v>
      </c>
      <c r="X965" s="1" t="e">
        <f>VLOOKUP(A965,Data_Echipe!A:R,18,0)</f>
        <v>#N/A</v>
      </c>
      <c r="Z965" s="115">
        <f t="shared" si="367"/>
        <v>1</v>
      </c>
    </row>
    <row r="966" spans="1:26" x14ac:dyDescent="0.3">
      <c r="A966" s="49" t="s">
        <v>252</v>
      </c>
      <c r="B966" s="1" t="str">
        <f>VLOOKUP(A966,Participanti!A:B,2,0)</f>
        <v>M</v>
      </c>
      <c r="C966" s="74">
        <v>12</v>
      </c>
      <c r="D966" s="50">
        <v>12.53</v>
      </c>
      <c r="E966" s="51">
        <v>4.6805555555555552E-2</v>
      </c>
      <c r="F966" s="51">
        <v>4.6944444444444448E-2</v>
      </c>
      <c r="G966" s="69">
        <f t="shared" si="362"/>
        <v>4.6875E-2</v>
      </c>
      <c r="H966" s="52">
        <v>118</v>
      </c>
      <c r="I966" s="12">
        <f t="shared" si="363"/>
        <v>3.7410215482841184E-3</v>
      </c>
      <c r="J966" s="37">
        <f t="shared" si="364"/>
        <v>2.9833333333333329</v>
      </c>
      <c r="K966" s="37">
        <f>IF(J966=0,0,IF(B966="F",VLOOKUP(I966,Barem!$G$2:$H$16,2,1),VLOOKUP(I966,Barem!$G$17:$H$31,2,1)))</f>
        <v>2</v>
      </c>
      <c r="L966" s="50">
        <v>2</v>
      </c>
      <c r="M966" s="124" t="s">
        <v>106</v>
      </c>
      <c r="N966" s="10">
        <f t="shared" si="368"/>
        <v>0.5</v>
      </c>
      <c r="O966" s="10">
        <f t="shared" si="368"/>
        <v>0.25</v>
      </c>
      <c r="P966" s="10">
        <f t="shared" si="368"/>
        <v>0.25</v>
      </c>
      <c r="Q966" s="40">
        <f t="shared" si="365"/>
        <v>7.8666666666666663E-2</v>
      </c>
      <c r="R966" s="21">
        <f>IF(D966&gt;21,VLOOKUP(D966,Barem!$T$1:$U$141,2,1),0)</f>
        <v>0</v>
      </c>
      <c r="S966" s="152">
        <f>IF(D966&lt;1.609,0,IF(B966="F",VLOOKUP(I966,Barem!$X$2:$Z$13,2,1),VLOOKUP(I966,Barem!$X$14:$Z$25,2,1)))</f>
        <v>0</v>
      </c>
      <c r="T966" s="21">
        <f>VLOOKUP(A966,Participanti!A:C,3,0)</f>
        <v>0</v>
      </c>
      <c r="U966" s="18">
        <f t="shared" si="366"/>
        <v>2.5703333333333331</v>
      </c>
      <c r="V966" s="58" t="s">
        <v>496</v>
      </c>
      <c r="W966" s="77">
        <f t="shared" si="369"/>
        <v>1</v>
      </c>
      <c r="X966" s="1" t="str">
        <f>VLOOKUP(A966,Data_Echipe!A:R,18,0)</f>
        <v>UltraHaita lu' Borcan</v>
      </c>
      <c r="Z966" s="115">
        <f t="shared" si="367"/>
        <v>1</v>
      </c>
    </row>
    <row r="967" spans="1:26" x14ac:dyDescent="0.3">
      <c r="A967" s="49" t="s">
        <v>351</v>
      </c>
      <c r="B967" s="1" t="str">
        <f>VLOOKUP(A967,Participanti!A:B,2,0)</f>
        <v>F</v>
      </c>
      <c r="C967" s="74">
        <v>12</v>
      </c>
      <c r="D967" s="50">
        <v>3.01</v>
      </c>
      <c r="E967" s="51">
        <v>9.6990740740740735E-3</v>
      </c>
      <c r="F967" s="51">
        <v>9.7337962962962977E-3</v>
      </c>
      <c r="G967" s="69">
        <f t="shared" si="362"/>
        <v>9.7164351851851856E-3</v>
      </c>
      <c r="H967" s="52"/>
      <c r="I967" s="12">
        <f t="shared" si="363"/>
        <v>3.2280515565399292E-3</v>
      </c>
      <c r="J967" s="37">
        <f t="shared" si="364"/>
        <v>0.75249999999999995</v>
      </c>
      <c r="K967" s="37">
        <f>IF(J967=0,0,IF(B967="F",VLOOKUP(I967,Barem!$G$2:$H$16,2,1),VLOOKUP(I967,Barem!$G$17:$H$31,2,1)))</f>
        <v>4.5</v>
      </c>
      <c r="L967" s="50">
        <v>1.5</v>
      </c>
      <c r="M967" s="124" t="s">
        <v>207</v>
      </c>
      <c r="N967" s="10">
        <f t="shared" si="368"/>
        <v>0.25</v>
      </c>
      <c r="O967" s="10">
        <f t="shared" si="368"/>
        <v>0.25</v>
      </c>
      <c r="P967" s="10">
        <f t="shared" si="368"/>
        <v>0.5</v>
      </c>
      <c r="Q967" s="40">
        <f t="shared" si="365"/>
        <v>0</v>
      </c>
      <c r="R967" s="21">
        <f>IF(D967&gt;21,VLOOKUP(D967,Barem!$T$1:$U$141,2,1),0)</f>
        <v>0</v>
      </c>
      <c r="S967" s="152">
        <f>IF(D967&lt;1.609,0,IF(B967="F",VLOOKUP(I967,Barem!$X$2:$Z$13,2,1),VLOOKUP(I967,Barem!$X$14:$Z$25,2,1)))</f>
        <v>0</v>
      </c>
      <c r="T967" s="21">
        <f>VLOOKUP(A967,Participanti!A:C,3,0)</f>
        <v>0</v>
      </c>
      <c r="U967" s="18">
        <f t="shared" si="366"/>
        <v>2.0631249999999999</v>
      </c>
      <c r="V967" s="58" t="s">
        <v>496</v>
      </c>
      <c r="W967" s="77">
        <f t="shared" si="369"/>
        <v>1</v>
      </c>
      <c r="X967" s="1" t="e">
        <f>VLOOKUP(A967,Data_Echipe!A:R,18,0)</f>
        <v>#N/A</v>
      </c>
      <c r="Z967" s="115">
        <f t="shared" si="367"/>
        <v>1</v>
      </c>
    </row>
    <row r="968" spans="1:26" x14ac:dyDescent="0.3">
      <c r="A968" s="49" t="s">
        <v>48</v>
      </c>
      <c r="B968" s="1" t="str">
        <f>VLOOKUP(A968,Participanti!A:B,2,0)</f>
        <v>M</v>
      </c>
      <c r="C968" s="74">
        <v>12</v>
      </c>
      <c r="D968" s="50">
        <v>8.1300000000000008</v>
      </c>
      <c r="E968" s="51">
        <v>3.6990740740740741E-2</v>
      </c>
      <c r="F968" s="51">
        <v>4.4826388888888895E-2</v>
      </c>
      <c r="G968" s="69">
        <f t="shared" si="362"/>
        <v>4.0908564814814821E-2</v>
      </c>
      <c r="H968" s="52">
        <v>146</v>
      </c>
      <c r="I968" s="12">
        <f t="shared" si="363"/>
        <v>5.0318037902601252E-3</v>
      </c>
      <c r="J968" s="37">
        <f t="shared" si="364"/>
        <v>1.9357142857142857</v>
      </c>
      <c r="K968" s="37">
        <f>IF(J968=0,0,IF(B968="F",VLOOKUP(I968,Barem!$G$2:$H$16,2,1),VLOOKUP(I968,Barem!$G$17:$H$31,2,1)))</f>
        <v>0.25</v>
      </c>
      <c r="L968" s="50">
        <v>2.5</v>
      </c>
      <c r="M968" s="124" t="s">
        <v>106</v>
      </c>
      <c r="N968" s="10">
        <f t="shared" si="368"/>
        <v>0.5</v>
      </c>
      <c r="O968" s="10">
        <f t="shared" si="368"/>
        <v>0.25</v>
      </c>
      <c r="P968" s="10">
        <f t="shared" si="368"/>
        <v>0.25</v>
      </c>
      <c r="Q968" s="40">
        <f t="shared" si="365"/>
        <v>9.7333333333333327E-2</v>
      </c>
      <c r="R968" s="21">
        <f>IF(D968&gt;21,VLOOKUP(D968,Barem!$T$1:$U$141,2,1),0)</f>
        <v>0</v>
      </c>
      <c r="S968" s="152">
        <f>IF(D968&lt;1.609,0,IF(B968="F",VLOOKUP(I968,Barem!$X$2:$Z$13,2,1),VLOOKUP(I968,Barem!$X$14:$Z$25,2,1)))</f>
        <v>0</v>
      </c>
      <c r="T968" s="21">
        <f>VLOOKUP(A968,Participanti!A:C,3,0)</f>
        <v>0.4</v>
      </c>
      <c r="U968" s="18">
        <f t="shared" si="366"/>
        <v>2.1526904761904762</v>
      </c>
      <c r="V968" s="58" t="s">
        <v>496</v>
      </c>
      <c r="W968" s="77">
        <f t="shared" si="369"/>
        <v>1</v>
      </c>
      <c r="X968" s="1" t="str">
        <f>VLOOKUP(A968,Data_Echipe!A:R,18,0)</f>
        <v>#notSYRious</v>
      </c>
      <c r="Z968" s="115">
        <f t="shared" si="367"/>
        <v>1</v>
      </c>
    </row>
    <row r="969" spans="1:26" x14ac:dyDescent="0.3">
      <c r="A969" s="49" t="s">
        <v>301</v>
      </c>
      <c r="B969" s="1" t="str">
        <f>VLOOKUP(A969,Participanti!A:B,2,0)</f>
        <v>M</v>
      </c>
      <c r="C969" s="74">
        <v>12</v>
      </c>
      <c r="D969" s="50">
        <v>12.12</v>
      </c>
      <c r="E969" s="51">
        <v>4.4444444444444446E-2</v>
      </c>
      <c r="F969" s="51">
        <v>4.7002314814814816E-2</v>
      </c>
      <c r="G969" s="69">
        <f t="shared" si="362"/>
        <v>4.5723379629629635E-2</v>
      </c>
      <c r="H969" s="52"/>
      <c r="I969" s="12">
        <f t="shared" si="363"/>
        <v>3.7725560750519502E-3</v>
      </c>
      <c r="J969" s="37">
        <f t="shared" si="364"/>
        <v>2.8857142857142852</v>
      </c>
      <c r="K969" s="37">
        <f>IF(J969=0,0,IF(B969="F",VLOOKUP(I969,Barem!$G$2:$H$16,2,1),VLOOKUP(I969,Barem!$G$17:$H$31,2,1)))</f>
        <v>2</v>
      </c>
      <c r="L969" s="50">
        <v>2.75</v>
      </c>
      <c r="M969" s="124" t="s">
        <v>207</v>
      </c>
      <c r="N969" s="10">
        <f t="shared" si="368"/>
        <v>0.25</v>
      </c>
      <c r="O969" s="10">
        <f t="shared" si="368"/>
        <v>0.25</v>
      </c>
      <c r="P969" s="10">
        <f t="shared" si="368"/>
        <v>0.5</v>
      </c>
      <c r="Q969" s="40">
        <f t="shared" si="365"/>
        <v>0</v>
      </c>
      <c r="R969" s="21">
        <f>IF(D969&gt;21,VLOOKUP(D969,Barem!$T$1:$U$141,2,1),0)</f>
        <v>0</v>
      </c>
      <c r="S969" s="152">
        <f>IF(D969&lt;1.609,0,IF(B969="F",VLOOKUP(I969,Barem!$X$2:$Z$13,2,1),VLOOKUP(I969,Barem!$X$14:$Z$25,2,1)))</f>
        <v>0</v>
      </c>
      <c r="T969" s="21">
        <f>VLOOKUP(A969,Participanti!A:C,3,0)</f>
        <v>0</v>
      </c>
      <c r="U969" s="18">
        <f t="shared" si="366"/>
        <v>2.5964285714285715</v>
      </c>
      <c r="V969" s="58" t="s">
        <v>496</v>
      </c>
      <c r="W969" s="77">
        <f t="shared" si="369"/>
        <v>1</v>
      </c>
      <c r="X969" s="1" t="e">
        <f>VLOOKUP(A969,Data_Echipe!A:R,18,0)</f>
        <v>#N/A</v>
      </c>
      <c r="Z969" s="115">
        <f t="shared" si="367"/>
        <v>1</v>
      </c>
    </row>
    <row r="970" spans="1:26" x14ac:dyDescent="0.3">
      <c r="A970" s="49" t="s">
        <v>353</v>
      </c>
      <c r="B970" s="1" t="str">
        <f>VLOOKUP(A970,Participanti!A:B,2,0)</f>
        <v>M</v>
      </c>
      <c r="C970" s="74">
        <v>12</v>
      </c>
      <c r="D970" s="50">
        <v>37.07</v>
      </c>
      <c r="E970" s="51">
        <v>0.14280092592592594</v>
      </c>
      <c r="F970" s="51">
        <v>0.14307870370370371</v>
      </c>
      <c r="G970" s="69">
        <f t="shared" si="362"/>
        <v>0.14293981481481483</v>
      </c>
      <c r="H970" s="52">
        <v>59</v>
      </c>
      <c r="I970" s="12">
        <f t="shared" si="363"/>
        <v>3.8559432105426173E-3</v>
      </c>
      <c r="J970" s="37">
        <f t="shared" si="364"/>
        <v>5</v>
      </c>
      <c r="K970" s="37">
        <f>IF(J970=0,0,IF(B970="F",VLOOKUP(I970,Barem!$G$2:$H$16,2,1),VLOOKUP(I970,Barem!$G$17:$H$31,2,1)))</f>
        <v>1.75</v>
      </c>
      <c r="L970" s="50">
        <v>3</v>
      </c>
      <c r="M970" s="124" t="s">
        <v>207</v>
      </c>
      <c r="N970" s="10">
        <f t="shared" si="368"/>
        <v>0.25</v>
      </c>
      <c r="O970" s="10">
        <f t="shared" si="368"/>
        <v>0.25</v>
      </c>
      <c r="P970" s="10">
        <f t="shared" si="368"/>
        <v>0.5</v>
      </c>
      <c r="Q970" s="40">
        <f t="shared" si="365"/>
        <v>3.9333333333333331E-2</v>
      </c>
      <c r="R970" s="21">
        <f>IF(D970&gt;21,VLOOKUP(D970,Barem!$T$1:$U$141,2,1),0)</f>
        <v>0.8</v>
      </c>
      <c r="S970" s="152">
        <f>IF(D970&lt;1.609,0,IF(B970="F",VLOOKUP(I970,Barem!$X$2:$Z$13,2,1),VLOOKUP(I970,Barem!$X$14:$Z$25,2,1)))</f>
        <v>0</v>
      </c>
      <c r="T970" s="21">
        <f>VLOOKUP(A970,Participanti!A:C,3,0)</f>
        <v>0</v>
      </c>
      <c r="U970" s="18">
        <f t="shared" si="366"/>
        <v>4.0268333333333333</v>
      </c>
      <c r="V970" s="58" t="s">
        <v>496</v>
      </c>
      <c r="W970" s="77">
        <f t="shared" si="369"/>
        <v>1</v>
      </c>
      <c r="X970" s="1" t="e">
        <f>VLOOKUP(A970,Data_Echipe!A:R,18,0)</f>
        <v>#N/A</v>
      </c>
      <c r="Z970" s="115">
        <f t="shared" si="367"/>
        <v>1</v>
      </c>
    </row>
    <row r="971" spans="1:26" x14ac:dyDescent="0.3">
      <c r="A971" s="49" t="s">
        <v>136</v>
      </c>
      <c r="B971" s="1" t="str">
        <f>VLOOKUP(A971,Participanti!A:B,2,0)</f>
        <v>F</v>
      </c>
      <c r="C971" s="74">
        <v>12</v>
      </c>
      <c r="D971" s="50">
        <v>16.010000000000002</v>
      </c>
      <c r="E971" s="51">
        <v>9.5127314814814803E-2</v>
      </c>
      <c r="F971" s="51">
        <v>0.10046296296296296</v>
      </c>
      <c r="G971" s="69">
        <f t="shared" si="362"/>
        <v>9.7795138888888883E-2</v>
      </c>
      <c r="H971" s="52">
        <v>564</v>
      </c>
      <c r="I971" s="12">
        <f t="shared" si="363"/>
        <v>6.1083784440280368E-3</v>
      </c>
      <c r="J971" s="37">
        <f t="shared" si="364"/>
        <v>4.0025000000000004</v>
      </c>
      <c r="K971" s="37">
        <f>IF(J971=0,0,IF(B971="F",VLOOKUP(I971,Barem!$G$2:$H$16,2,1),VLOOKUP(I971,Barem!$G$17:$H$31,2,1)))</f>
        <v>0.25</v>
      </c>
      <c r="L971" s="50">
        <v>3.5</v>
      </c>
      <c r="M971" s="124" t="s">
        <v>207</v>
      </c>
      <c r="N971" s="10">
        <f t="shared" si="368"/>
        <v>0.25</v>
      </c>
      <c r="O971" s="10">
        <f t="shared" si="368"/>
        <v>0.25</v>
      </c>
      <c r="P971" s="10">
        <f t="shared" si="368"/>
        <v>0.5</v>
      </c>
      <c r="Q971" s="40">
        <f t="shared" si="365"/>
        <v>0.376</v>
      </c>
      <c r="R971" s="21">
        <f>IF(D971&gt;21,VLOOKUP(D971,Barem!$T$1:$U$141,2,1),0)</f>
        <v>0</v>
      </c>
      <c r="S971" s="152">
        <f>IF(D971&lt;1.609,0,IF(B971="F",VLOOKUP(I971,Barem!$X$2:$Z$13,2,1),VLOOKUP(I971,Barem!$X$14:$Z$25,2,1)))</f>
        <v>0</v>
      </c>
      <c r="T971" s="21">
        <f>VLOOKUP(A971,Participanti!A:C,3,0)</f>
        <v>0</v>
      </c>
      <c r="U971" s="18">
        <f t="shared" si="366"/>
        <v>3.1891250000000002</v>
      </c>
      <c r="V971" s="58" t="s">
        <v>497</v>
      </c>
      <c r="W971" s="77">
        <f t="shared" si="369"/>
        <v>1</v>
      </c>
      <c r="X971" s="1" t="e">
        <f>VLOOKUP(A971,Data_Echipe!A:R,18,0)</f>
        <v>#N/A</v>
      </c>
      <c r="Z971" s="115">
        <f t="shared" si="367"/>
        <v>1</v>
      </c>
    </row>
    <row r="972" spans="1:26" x14ac:dyDescent="0.3">
      <c r="A972" s="49" t="s">
        <v>333</v>
      </c>
      <c r="B972" s="1" t="str">
        <f>VLOOKUP(A972,Participanti!A:B,2,0)</f>
        <v>M</v>
      </c>
      <c r="C972" s="74">
        <v>12</v>
      </c>
      <c r="D972" s="50">
        <v>20.72</v>
      </c>
      <c r="E972" s="51">
        <v>8.4155092592592587E-2</v>
      </c>
      <c r="F972" s="51">
        <v>8.5069444444444434E-2</v>
      </c>
      <c r="G972" s="69">
        <f t="shared" si="362"/>
        <v>8.461226851851851E-2</v>
      </c>
      <c r="H972" s="52"/>
      <c r="I972" s="12">
        <f t="shared" si="363"/>
        <v>4.0836036929786925E-3</v>
      </c>
      <c r="J972" s="37">
        <f t="shared" si="364"/>
        <v>4.9333333333333327</v>
      </c>
      <c r="K972" s="37">
        <f>IF(J972=0,0,IF(B972="F",VLOOKUP(I972,Barem!$G$2:$H$16,2,1),VLOOKUP(I972,Barem!$G$17:$H$31,2,1)))</f>
        <v>1.5</v>
      </c>
      <c r="L972" s="50">
        <v>2.25</v>
      </c>
      <c r="M972" s="124" t="s">
        <v>207</v>
      </c>
      <c r="N972" s="10">
        <f t="shared" si="368"/>
        <v>0.25</v>
      </c>
      <c r="O972" s="10">
        <f t="shared" si="368"/>
        <v>0.25</v>
      </c>
      <c r="P972" s="10">
        <f t="shared" si="368"/>
        <v>0.5</v>
      </c>
      <c r="Q972" s="40">
        <f t="shared" si="365"/>
        <v>0</v>
      </c>
      <c r="R972" s="21">
        <f>IF(D972&gt;21,VLOOKUP(D972,Barem!$T$1:$U$141,2,1),0)</f>
        <v>0</v>
      </c>
      <c r="S972" s="152">
        <f>IF(D972&lt;1.609,0,IF(B972="F",VLOOKUP(I972,Barem!$X$2:$Z$13,2,1),VLOOKUP(I972,Barem!$X$14:$Z$25,2,1)))</f>
        <v>0</v>
      </c>
      <c r="T972" s="21">
        <f>VLOOKUP(A972,Participanti!A:C,3,0)</f>
        <v>0</v>
      </c>
      <c r="U972" s="18">
        <f t="shared" si="366"/>
        <v>2.7333333333333334</v>
      </c>
      <c r="V972" s="58" t="s">
        <v>497</v>
      </c>
      <c r="W972" s="77">
        <f t="shared" si="369"/>
        <v>1</v>
      </c>
      <c r="X972" s="1" t="str">
        <f>VLOOKUP(A972,Data_Echipe!A:R,18,0)</f>
        <v>UltraHaita lu' Borcan</v>
      </c>
      <c r="Z972" s="115">
        <f t="shared" si="367"/>
        <v>1</v>
      </c>
    </row>
    <row r="973" spans="1:26" x14ac:dyDescent="0.3">
      <c r="A973" s="49" t="s">
        <v>346</v>
      </c>
      <c r="B973" s="1" t="str">
        <f>VLOOKUP(A973,Participanti!A:B,2,0)</f>
        <v>M</v>
      </c>
      <c r="C973" s="74">
        <v>12</v>
      </c>
      <c r="D973" s="50">
        <v>3.22</v>
      </c>
      <c r="E973" s="51">
        <v>8.611111111111111E-3</v>
      </c>
      <c r="F973" s="51">
        <v>8.611111111111111E-3</v>
      </c>
      <c r="G973" s="69">
        <f t="shared" si="362"/>
        <v>8.611111111111111E-3</v>
      </c>
      <c r="H973" s="52"/>
      <c r="I973" s="12">
        <f t="shared" si="363"/>
        <v>2.6742581090407175E-3</v>
      </c>
      <c r="J973" s="37">
        <f t="shared" si="364"/>
        <v>0.76666666666666672</v>
      </c>
      <c r="K973" s="37">
        <f>IF(J973=0,0,IF(B973="F",VLOOKUP(I973,Barem!$G$2:$H$16,2,1),VLOOKUP(I973,Barem!$G$17:$H$31,2,1)))</f>
        <v>5</v>
      </c>
      <c r="L973" s="50">
        <v>1.75</v>
      </c>
      <c r="M973" s="124" t="s">
        <v>107</v>
      </c>
      <c r="N973" s="10">
        <f t="shared" si="368"/>
        <v>0.25</v>
      </c>
      <c r="O973" s="10">
        <f t="shared" si="368"/>
        <v>0.5</v>
      </c>
      <c r="P973" s="10">
        <f t="shared" si="368"/>
        <v>0.25</v>
      </c>
      <c r="Q973" s="40">
        <f t="shared" si="365"/>
        <v>0</v>
      </c>
      <c r="R973" s="21">
        <f>IF(D973&gt;21,VLOOKUP(D973,Barem!$T$1:$U$141,2,1),0)</f>
        <v>0</v>
      </c>
      <c r="S973" s="152">
        <f>IF(D973&lt;1.609,0,IF(B973="F",VLOOKUP(I973,Barem!$X$2:$Z$13,2,1),VLOOKUP(I973,Barem!$X$14:$Z$25,2,1)))</f>
        <v>0.45000000000000007</v>
      </c>
      <c r="T973" s="21">
        <f>VLOOKUP(A973,Participanti!A:C,3,0)</f>
        <v>0</v>
      </c>
      <c r="U973" s="18">
        <f t="shared" si="366"/>
        <v>3.5791666666666671</v>
      </c>
      <c r="V973" s="58" t="s">
        <v>497</v>
      </c>
      <c r="W973" s="77">
        <f t="shared" si="369"/>
        <v>1</v>
      </c>
      <c r="X973" s="1" t="str">
        <f>VLOOKUP(A973,Data_Echipe!A:R,18,0)</f>
        <v>UltraHaita lu' Borcan</v>
      </c>
      <c r="Z973" s="115">
        <f t="shared" si="367"/>
        <v>1</v>
      </c>
    </row>
    <row r="974" spans="1:26" x14ac:dyDescent="0.3">
      <c r="A974" s="49" t="s">
        <v>205</v>
      </c>
      <c r="B974" s="1" t="str">
        <f>VLOOKUP(A974,Participanti!A:B,2,0)</f>
        <v>M</v>
      </c>
      <c r="C974" s="74">
        <v>12</v>
      </c>
      <c r="D974" s="50">
        <v>30.01</v>
      </c>
      <c r="E974" s="51">
        <v>8.9409722222222224E-2</v>
      </c>
      <c r="F974" s="51">
        <v>8.9837962962962967E-2</v>
      </c>
      <c r="G974" s="69">
        <f t="shared" si="362"/>
        <v>8.9623842592592595E-2</v>
      </c>
      <c r="H974" s="52">
        <v>307</v>
      </c>
      <c r="I974" s="12">
        <f t="shared" si="363"/>
        <v>2.9864659311093834E-3</v>
      </c>
      <c r="J974" s="37">
        <f t="shared" si="364"/>
        <v>5</v>
      </c>
      <c r="K974" s="37">
        <f>IF(J974=0,0,IF(B974="F",VLOOKUP(I974,Barem!$G$2:$H$16,2,1),VLOOKUP(I974,Barem!$G$17:$H$31,2,1)))</f>
        <v>4</v>
      </c>
      <c r="L974" s="50">
        <v>3.5</v>
      </c>
      <c r="M974" s="124" t="s">
        <v>207</v>
      </c>
      <c r="N974" s="10">
        <f t="shared" si="368"/>
        <v>0.25</v>
      </c>
      <c r="O974" s="10">
        <f t="shared" si="368"/>
        <v>0.25</v>
      </c>
      <c r="P974" s="10">
        <f t="shared" si="368"/>
        <v>0.5</v>
      </c>
      <c r="Q974" s="40">
        <f t="shared" si="365"/>
        <v>0.20466666666666666</v>
      </c>
      <c r="R974" s="21">
        <f>IF(D974&gt;21,VLOOKUP(D974,Barem!$T$1:$U$141,2,1),0)</f>
        <v>0.4</v>
      </c>
      <c r="S974" s="152">
        <f>IF(D974&lt;1.609,0,IF(B974="F",VLOOKUP(I974,Barem!$X$2:$Z$13,2,1),VLOOKUP(I974,Barem!$X$14:$Z$25,2,1)))</f>
        <v>0</v>
      </c>
      <c r="T974" s="21">
        <f>VLOOKUP(A974,Participanti!A:C,3,0)</f>
        <v>0</v>
      </c>
      <c r="U974" s="18">
        <f t="shared" si="366"/>
        <v>4.6046666666666667</v>
      </c>
      <c r="V974" s="58" t="s">
        <v>497</v>
      </c>
      <c r="W974" s="77">
        <f t="shared" si="369"/>
        <v>1</v>
      </c>
      <c r="X974" s="1" t="str">
        <f>VLOOKUP(A974,Data_Echipe!A:R,18,0)</f>
        <v>Almost Kenyan Runners</v>
      </c>
      <c r="Z974" s="115">
        <f t="shared" si="367"/>
        <v>1</v>
      </c>
    </row>
    <row r="975" spans="1:26" x14ac:dyDescent="0.3">
      <c r="A975" s="49" t="s">
        <v>344</v>
      </c>
      <c r="B975" s="1" t="str">
        <f>VLOOKUP(A975,Participanti!A:B,2,0)</f>
        <v>F</v>
      </c>
      <c r="C975" s="74">
        <v>12</v>
      </c>
      <c r="D975" s="50">
        <v>21.14</v>
      </c>
      <c r="E975" s="51">
        <v>7.9780092592592597E-2</v>
      </c>
      <c r="F975" s="51">
        <v>7.9780092592592597E-2</v>
      </c>
      <c r="G975" s="69">
        <f t="shared" si="362"/>
        <v>7.9780092592592597E-2</v>
      </c>
      <c r="H975" s="52"/>
      <c r="I975" s="12">
        <f t="shared" si="363"/>
        <v>3.7738927432636044E-3</v>
      </c>
      <c r="J975" s="37">
        <f t="shared" si="364"/>
        <v>5</v>
      </c>
      <c r="K975" s="37">
        <f>IF(J975=0,0,IF(B975="F",VLOOKUP(I975,Barem!$G$2:$H$16,2,1),VLOOKUP(I975,Barem!$G$17:$H$31,2,1)))</f>
        <v>3</v>
      </c>
      <c r="L975" s="50">
        <v>3.75</v>
      </c>
      <c r="M975" s="124" t="s">
        <v>107</v>
      </c>
      <c r="N975" s="10">
        <f t="shared" si="368"/>
        <v>0.25</v>
      </c>
      <c r="O975" s="10">
        <f t="shared" si="368"/>
        <v>0.5</v>
      </c>
      <c r="P975" s="10">
        <f t="shared" si="368"/>
        <v>0.25</v>
      </c>
      <c r="Q975" s="40">
        <f t="shared" si="365"/>
        <v>0</v>
      </c>
      <c r="R975" s="21">
        <f>IF(D975&gt;21,VLOOKUP(D975,Barem!$T$1:$U$141,2,1),0)</f>
        <v>0</v>
      </c>
      <c r="S975" s="152">
        <f>IF(D975&lt;1.609,0,IF(B975="F",VLOOKUP(I975,Barem!$X$2:$Z$13,2,1),VLOOKUP(I975,Barem!$X$14:$Z$25,2,1)))</f>
        <v>0</v>
      </c>
      <c r="T975" s="21">
        <f>VLOOKUP(A975,Participanti!A:C,3,0)</f>
        <v>0</v>
      </c>
      <c r="U975" s="18">
        <f t="shared" si="366"/>
        <v>3.6875</v>
      </c>
      <c r="V975" s="58" t="s">
        <v>497</v>
      </c>
      <c r="W975" s="77">
        <f t="shared" si="369"/>
        <v>1</v>
      </c>
      <c r="X975" s="1" t="e">
        <f>VLOOKUP(A975,Data_Echipe!A:R,18,0)</f>
        <v>#N/A</v>
      </c>
      <c r="Z975" s="115">
        <f t="shared" si="367"/>
        <v>1</v>
      </c>
    </row>
    <row r="976" spans="1:26" x14ac:dyDescent="0.3">
      <c r="A976" s="49" t="s">
        <v>356</v>
      </c>
      <c r="B976" s="1" t="str">
        <f>VLOOKUP(A976,Participanti!A:B,2,0)</f>
        <v>M</v>
      </c>
      <c r="C976" s="74">
        <v>12</v>
      </c>
      <c r="D976" s="50">
        <v>21</v>
      </c>
      <c r="E976" s="51">
        <v>8.0578703703703694E-2</v>
      </c>
      <c r="F976" s="51">
        <v>8.520833333333333E-2</v>
      </c>
      <c r="G976" s="69">
        <f t="shared" si="362"/>
        <v>8.2893518518518505E-2</v>
      </c>
      <c r="H976" s="52"/>
      <c r="I976" s="12">
        <f t="shared" si="363"/>
        <v>3.9473104056437381E-3</v>
      </c>
      <c r="J976" s="37">
        <f t="shared" si="364"/>
        <v>5</v>
      </c>
      <c r="K976" s="37">
        <f>IF(J976=0,0,IF(B976="F",VLOOKUP(I976,Barem!$G$2:$H$16,2,1),VLOOKUP(I976,Barem!$G$17:$H$31,2,1)))</f>
        <v>1.75</v>
      </c>
      <c r="L976" s="50">
        <v>3</v>
      </c>
      <c r="M976" s="124" t="s">
        <v>207</v>
      </c>
      <c r="N976" s="10">
        <f t="shared" si="368"/>
        <v>0.25</v>
      </c>
      <c r="O976" s="10">
        <f t="shared" si="368"/>
        <v>0.25</v>
      </c>
      <c r="P976" s="10">
        <f t="shared" si="368"/>
        <v>0.5</v>
      </c>
      <c r="Q976" s="40">
        <f t="shared" si="365"/>
        <v>0</v>
      </c>
      <c r="R976" s="21">
        <f>IF(D976&gt;21,VLOOKUP(D976,Barem!$T$1:$U$141,2,1),0)</f>
        <v>0</v>
      </c>
      <c r="S976" s="152">
        <f>IF(D976&lt;1.609,0,IF(B976="F",VLOOKUP(I976,Barem!$X$2:$Z$13,2,1),VLOOKUP(I976,Barem!$X$14:$Z$25,2,1)))</f>
        <v>0</v>
      </c>
      <c r="T976" s="21">
        <f>VLOOKUP(A976,Participanti!A:C,3,0)</f>
        <v>0</v>
      </c>
      <c r="U976" s="18">
        <f t="shared" si="366"/>
        <v>3.1875</v>
      </c>
      <c r="V976" s="58" t="s">
        <v>497</v>
      </c>
      <c r="W976" s="77">
        <f t="shared" si="369"/>
        <v>1</v>
      </c>
      <c r="X976" s="1" t="str">
        <f>VLOOKUP(A976,Data_Echipe!A:R,18,0)</f>
        <v>MedgidiaRunning</v>
      </c>
      <c r="Z976" s="115">
        <f t="shared" si="367"/>
        <v>1</v>
      </c>
    </row>
    <row r="977" spans="1:26" x14ac:dyDescent="0.3">
      <c r="A977" s="49" t="s">
        <v>296</v>
      </c>
      <c r="B977" s="1" t="str">
        <f>VLOOKUP(A977,Participanti!A:B,2,0)</f>
        <v>M</v>
      </c>
      <c r="C977" s="74">
        <v>12</v>
      </c>
      <c r="D977" s="50">
        <v>15.11</v>
      </c>
      <c r="E977" s="51">
        <v>9.2928240740740742E-2</v>
      </c>
      <c r="F977" s="51">
        <v>9.3356481481481471E-2</v>
      </c>
      <c r="G977" s="69">
        <f t="shared" si="362"/>
        <v>9.3142361111111099E-2</v>
      </c>
      <c r="H977" s="52">
        <v>431</v>
      </c>
      <c r="I977" s="12">
        <f t="shared" si="363"/>
        <v>6.1642859769100661E-3</v>
      </c>
      <c r="J977" s="37">
        <f t="shared" si="364"/>
        <v>3.5976190476190473</v>
      </c>
      <c r="K977" s="37">
        <f>IF(J977=0,0,IF(B977="F",VLOOKUP(I977,Barem!$G$2:$H$16,2,1),VLOOKUP(I977,Barem!$G$17:$H$31,2,1)))</f>
        <v>0</v>
      </c>
      <c r="L977" s="50">
        <v>3.25</v>
      </c>
      <c r="M977" s="124" t="s">
        <v>207</v>
      </c>
      <c r="N977" s="10">
        <f t="shared" si="368"/>
        <v>0.25</v>
      </c>
      <c r="O977" s="10">
        <f t="shared" si="368"/>
        <v>0.25</v>
      </c>
      <c r="P977" s="10">
        <f t="shared" si="368"/>
        <v>0.5</v>
      </c>
      <c r="Q977" s="40">
        <f t="shared" si="365"/>
        <v>0.28733333333333333</v>
      </c>
      <c r="R977" s="21">
        <f>IF(D977&gt;21,VLOOKUP(D977,Barem!$T$1:$U$141,2,1),0)</f>
        <v>0</v>
      </c>
      <c r="S977" s="152">
        <f>IF(D977&lt;1.609,0,IF(B977="F",VLOOKUP(I977,Barem!$X$2:$Z$13,2,1),VLOOKUP(I977,Barem!$X$14:$Z$25,2,1)))</f>
        <v>0</v>
      </c>
      <c r="T977" s="21">
        <f>VLOOKUP(A977,Participanti!A:C,3,0)</f>
        <v>0</v>
      </c>
      <c r="U977" s="18">
        <f t="shared" si="366"/>
        <v>2.8117380952380953</v>
      </c>
      <c r="V977" s="58" t="s">
        <v>497</v>
      </c>
      <c r="W977" s="77">
        <f t="shared" si="369"/>
        <v>1</v>
      </c>
      <c r="X977" s="1" t="str">
        <f>VLOOKUP(A977,Data_Echipe!A:R,18,0)</f>
        <v>MedgidiaRunning</v>
      </c>
      <c r="Z977" s="115">
        <f t="shared" si="367"/>
        <v>0</v>
      </c>
    </row>
    <row r="978" spans="1:26" x14ac:dyDescent="0.3">
      <c r="A978" s="49" t="s">
        <v>170</v>
      </c>
      <c r="B978" s="1" t="str">
        <f>VLOOKUP(A978,Participanti!A:B,2,0)</f>
        <v>F</v>
      </c>
      <c r="C978" s="74">
        <v>12</v>
      </c>
      <c r="D978" s="50">
        <v>21.36</v>
      </c>
      <c r="E978" s="51">
        <v>9.2476851851851852E-2</v>
      </c>
      <c r="F978" s="51">
        <v>9.3333333333333338E-2</v>
      </c>
      <c r="G978" s="69">
        <f t="shared" si="362"/>
        <v>9.2905092592592595E-2</v>
      </c>
      <c r="H978" s="52">
        <v>52</v>
      </c>
      <c r="I978" s="12">
        <f t="shared" si="363"/>
        <v>4.3494893535857958E-3</v>
      </c>
      <c r="J978" s="37">
        <f t="shared" si="364"/>
        <v>5</v>
      </c>
      <c r="K978" s="37">
        <f>IF(J978=0,0,IF(B978="F",VLOOKUP(I978,Barem!$G$2:$H$16,2,1),VLOOKUP(I978,Barem!$G$17:$H$31,2,1)))</f>
        <v>1.75</v>
      </c>
      <c r="L978" s="50">
        <v>3</v>
      </c>
      <c r="M978" s="124" t="s">
        <v>106</v>
      </c>
      <c r="N978" s="10">
        <f t="shared" si="368"/>
        <v>0.5</v>
      </c>
      <c r="O978" s="10">
        <f t="shared" si="368"/>
        <v>0.25</v>
      </c>
      <c r="P978" s="10">
        <f t="shared" si="368"/>
        <v>0.25</v>
      </c>
      <c r="Q978" s="40">
        <f t="shared" si="365"/>
        <v>3.4666666666666665E-2</v>
      </c>
      <c r="R978" s="21">
        <f>IF(D978&gt;21,VLOOKUP(D978,Barem!$T$1:$U$141,2,1),0)</f>
        <v>0</v>
      </c>
      <c r="S978" s="152">
        <f>IF(D978&lt;1.609,0,IF(B978="F",VLOOKUP(I978,Barem!$X$2:$Z$13,2,1),VLOOKUP(I978,Barem!$X$14:$Z$25,2,1)))</f>
        <v>0</v>
      </c>
      <c r="T978" s="21">
        <f>VLOOKUP(A978,Participanti!A:C,3,0)</f>
        <v>0</v>
      </c>
      <c r="U978" s="18">
        <f t="shared" si="366"/>
        <v>3.7221666666666668</v>
      </c>
      <c r="V978" s="58" t="s">
        <v>497</v>
      </c>
      <c r="W978" s="77">
        <f t="shared" si="369"/>
        <v>1</v>
      </c>
      <c r="X978" s="1" t="str">
        <f>VLOOKUP(A978,Data_Echipe!A:R,18,0)</f>
        <v>Almost Kenyan Runners</v>
      </c>
      <c r="Z978" s="115">
        <f t="shared" si="367"/>
        <v>1</v>
      </c>
    </row>
    <row r="979" spans="1:26" x14ac:dyDescent="0.3">
      <c r="A979" s="49" t="s">
        <v>288</v>
      </c>
      <c r="B979" s="1" t="str">
        <f>VLOOKUP(A979,Participanti!A:B,2,0)</f>
        <v>M</v>
      </c>
      <c r="C979" s="74">
        <v>12</v>
      </c>
      <c r="D979" s="50">
        <v>11.14</v>
      </c>
      <c r="E979" s="51">
        <v>3.7430555555555557E-2</v>
      </c>
      <c r="F979" s="51">
        <v>3.7430555555555557E-2</v>
      </c>
      <c r="G979" s="69">
        <f t="shared" si="362"/>
        <v>3.7430555555555557E-2</v>
      </c>
      <c r="H979" s="52"/>
      <c r="I979" s="12">
        <f t="shared" si="363"/>
        <v>3.3600139636943945E-3</v>
      </c>
      <c r="J979" s="37">
        <f t="shared" si="364"/>
        <v>2.6523809523809523</v>
      </c>
      <c r="K979" s="37">
        <f>IF(J979=0,0,IF(B979="F",VLOOKUP(I979,Barem!$G$2:$H$16,2,1),VLOOKUP(I979,Barem!$G$17:$H$31,2,1)))</f>
        <v>3</v>
      </c>
      <c r="L979" s="50">
        <v>3.25</v>
      </c>
      <c r="M979" s="124" t="s">
        <v>207</v>
      </c>
      <c r="N979" s="10">
        <f t="shared" si="368"/>
        <v>0.25</v>
      </c>
      <c r="O979" s="10">
        <f t="shared" si="368"/>
        <v>0.25</v>
      </c>
      <c r="P979" s="10">
        <f t="shared" si="368"/>
        <v>0.5</v>
      </c>
      <c r="Q979" s="40">
        <f t="shared" si="365"/>
        <v>0</v>
      </c>
      <c r="R979" s="21">
        <f>IF(D979&gt;21,VLOOKUP(D979,Barem!$T$1:$U$141,2,1),0)</f>
        <v>0</v>
      </c>
      <c r="S979" s="152">
        <f>IF(D979&lt;1.609,0,IF(B979="F",VLOOKUP(I979,Barem!$X$2:$Z$13,2,1),VLOOKUP(I979,Barem!$X$14:$Z$25,2,1)))</f>
        <v>0</v>
      </c>
      <c r="T979" s="21">
        <f>VLOOKUP(A979,Participanti!A:C,3,0)</f>
        <v>0</v>
      </c>
      <c r="U979" s="18">
        <f t="shared" si="366"/>
        <v>3.038095238095238</v>
      </c>
      <c r="V979" s="58" t="s">
        <v>497</v>
      </c>
      <c r="W979" s="77">
        <f t="shared" si="369"/>
        <v>1</v>
      </c>
      <c r="X979" s="1" t="e">
        <f>VLOOKUP(A979,Data_Echipe!A:R,18,0)</f>
        <v>#N/A</v>
      </c>
      <c r="Z979" s="115">
        <f t="shared" si="367"/>
        <v>1</v>
      </c>
    </row>
    <row r="980" spans="1:26" x14ac:dyDescent="0.3">
      <c r="A980" s="49" t="s">
        <v>375</v>
      </c>
      <c r="B980" s="1" t="str">
        <f>VLOOKUP(A980,Participanti!A:B,2,0)</f>
        <v>M</v>
      </c>
      <c r="C980" s="74">
        <v>12</v>
      </c>
      <c r="D980" s="50">
        <v>10.94</v>
      </c>
      <c r="E980" s="51">
        <v>3.6782407407407409E-2</v>
      </c>
      <c r="F980" s="51">
        <v>3.6469907407407402E-2</v>
      </c>
      <c r="G980" s="69">
        <f t="shared" si="362"/>
        <v>3.6626157407407406E-2</v>
      </c>
      <c r="H980" s="52"/>
      <c r="I980" s="12">
        <f t="shared" si="363"/>
        <v>3.3479120116460155E-3</v>
      </c>
      <c r="J980" s="37">
        <f t="shared" si="364"/>
        <v>2.6047619047619044</v>
      </c>
      <c r="K980" s="37">
        <f>IF(J980=0,0,IF(B980="F",VLOOKUP(I980,Barem!$G$2:$H$16,2,1),VLOOKUP(I980,Barem!$G$17:$H$31,2,1)))</f>
        <v>3</v>
      </c>
      <c r="L980" s="50">
        <v>2.25</v>
      </c>
      <c r="M980" s="124" t="s">
        <v>107</v>
      </c>
      <c r="N980" s="10">
        <f t="shared" si="368"/>
        <v>0.25</v>
      </c>
      <c r="O980" s="10">
        <f t="shared" si="368"/>
        <v>0.5</v>
      </c>
      <c r="P980" s="10">
        <f t="shared" si="368"/>
        <v>0.25</v>
      </c>
      <c r="Q980" s="40">
        <f t="shared" si="365"/>
        <v>0</v>
      </c>
      <c r="R980" s="21">
        <f>IF(D980&gt;21,VLOOKUP(D980,Barem!$T$1:$U$141,2,1),0)</f>
        <v>0</v>
      </c>
      <c r="S980" s="152">
        <f>IF(D980&lt;1.609,0,IF(B980="F",VLOOKUP(I980,Barem!$X$2:$Z$13,2,1),VLOOKUP(I980,Barem!$X$14:$Z$25,2,1)))</f>
        <v>0</v>
      </c>
      <c r="T980" s="21">
        <f>VLOOKUP(A980,Participanti!A:C,3,0)</f>
        <v>0</v>
      </c>
      <c r="U980" s="18">
        <f t="shared" si="366"/>
        <v>2.7136904761904761</v>
      </c>
      <c r="V980" s="58" t="s">
        <v>497</v>
      </c>
      <c r="W980" s="77">
        <f t="shared" si="369"/>
        <v>1</v>
      </c>
      <c r="X980" s="1" t="e">
        <f>VLOOKUP(A980,Data_Echipe!A:R,18,0)</f>
        <v>#N/A</v>
      </c>
      <c r="Z980" s="115">
        <f t="shared" si="367"/>
        <v>1</v>
      </c>
    </row>
    <row r="981" spans="1:26" x14ac:dyDescent="0.3">
      <c r="A981" s="49" t="s">
        <v>355</v>
      </c>
      <c r="B981" s="1" t="str">
        <f>VLOOKUP(A981,Participanti!A:B,2,0)</f>
        <v>F</v>
      </c>
      <c r="C981" s="74">
        <v>12</v>
      </c>
      <c r="D981" s="50">
        <v>4.96</v>
      </c>
      <c r="E981" s="51">
        <v>2.4236111111111111E-2</v>
      </c>
      <c r="F981" s="51">
        <v>2.4236111111111111E-2</v>
      </c>
      <c r="G981" s="69">
        <f t="shared" si="362"/>
        <v>2.4236111111111111E-2</v>
      </c>
      <c r="H981" s="52"/>
      <c r="I981" s="12">
        <f t="shared" si="363"/>
        <v>4.8863127240143366E-3</v>
      </c>
      <c r="J981" s="37">
        <f t="shared" si="364"/>
        <v>1.24</v>
      </c>
      <c r="K981" s="37">
        <f>IF(J981=0,0,IF(B981="F",VLOOKUP(I981,Barem!$G$2:$H$16,2,1),VLOOKUP(I981,Barem!$G$17:$H$31,2,1)))</f>
        <v>0.75</v>
      </c>
      <c r="L981" s="50">
        <v>3.25</v>
      </c>
      <c r="M981" s="124" t="s">
        <v>207</v>
      </c>
      <c r="N981" s="10">
        <f t="shared" si="368"/>
        <v>0.25</v>
      </c>
      <c r="O981" s="10">
        <f t="shared" si="368"/>
        <v>0.25</v>
      </c>
      <c r="P981" s="10">
        <f t="shared" si="368"/>
        <v>0.5</v>
      </c>
      <c r="Q981" s="40">
        <f t="shared" si="365"/>
        <v>0</v>
      </c>
      <c r="R981" s="21">
        <f>IF(D981&gt;21,VLOOKUP(D981,Barem!$T$1:$U$141,2,1),0)</f>
        <v>0</v>
      </c>
      <c r="S981" s="152">
        <f>IF(D981&lt;1.609,0,IF(B981="F",VLOOKUP(I981,Barem!$X$2:$Z$13,2,1),VLOOKUP(I981,Barem!$X$14:$Z$25,2,1)))</f>
        <v>0</v>
      </c>
      <c r="T981" s="21">
        <f>VLOOKUP(A981,Participanti!A:C,3,0)</f>
        <v>0</v>
      </c>
      <c r="U981" s="18">
        <f t="shared" si="366"/>
        <v>2.1225000000000001</v>
      </c>
      <c r="V981" s="58" t="s">
        <v>497</v>
      </c>
      <c r="W981" s="77">
        <f t="shared" si="369"/>
        <v>1</v>
      </c>
      <c r="X981" s="1" t="str">
        <f>VLOOKUP(A981,Data_Echipe!A:R,18,0)</f>
        <v>#notSYRious</v>
      </c>
      <c r="Z981" s="115">
        <f t="shared" si="367"/>
        <v>1</v>
      </c>
    </row>
    <row r="982" spans="1:26" x14ac:dyDescent="0.3">
      <c r="A982" s="49" t="s">
        <v>498</v>
      </c>
      <c r="B982" s="1" t="str">
        <f>VLOOKUP(A982,Participanti!A:B,2,0)</f>
        <v>M</v>
      </c>
      <c r="C982" s="74">
        <v>12</v>
      </c>
      <c r="D982" s="50">
        <v>34.799999999999997</v>
      </c>
      <c r="E982" s="51">
        <v>0.10075231481481482</v>
      </c>
      <c r="F982" s="51">
        <v>0.10075231481481482</v>
      </c>
      <c r="G982" s="69">
        <f t="shared" si="362"/>
        <v>0.10075231481481482</v>
      </c>
      <c r="H982" s="52">
        <v>60</v>
      </c>
      <c r="I982" s="12">
        <f t="shared" si="363"/>
        <v>2.8951814601958286E-3</v>
      </c>
      <c r="J982" s="37">
        <f t="shared" si="364"/>
        <v>5</v>
      </c>
      <c r="K982" s="37">
        <f>IF(J982=0,0,IF(B982="F",VLOOKUP(I982,Barem!$G$2:$H$16,2,1),VLOOKUP(I982,Barem!$G$17:$H$31,2,1)))</f>
        <v>4.5</v>
      </c>
      <c r="L982" s="50">
        <v>0.75</v>
      </c>
      <c r="M982" s="124" t="s">
        <v>207</v>
      </c>
      <c r="N982" s="10">
        <f t="shared" si="368"/>
        <v>0.25</v>
      </c>
      <c r="O982" s="10">
        <f t="shared" si="368"/>
        <v>0.25</v>
      </c>
      <c r="P982" s="10">
        <f t="shared" si="368"/>
        <v>0.5</v>
      </c>
      <c r="Q982" s="40">
        <f t="shared" si="365"/>
        <v>0.04</v>
      </c>
      <c r="R982" s="21">
        <f>IF(D982&gt;21,VLOOKUP(D982,Barem!$T$1:$U$141,2,1),0)</f>
        <v>0.6</v>
      </c>
      <c r="S982" s="152">
        <f>IF(D982&lt;1.609,0,IF(B982="F",VLOOKUP(I982,Barem!$X$2:$Z$13,2,1),VLOOKUP(I982,Barem!$X$14:$Z$25,2,1)))</f>
        <v>0</v>
      </c>
      <c r="T982" s="21">
        <f>VLOOKUP(A982,Participanti!A:C,3,0)</f>
        <v>0</v>
      </c>
      <c r="U982" s="18">
        <f t="shared" si="366"/>
        <v>3.39</v>
      </c>
      <c r="V982" s="58" t="s">
        <v>497</v>
      </c>
      <c r="W982" s="77">
        <f t="shared" si="369"/>
        <v>1</v>
      </c>
      <c r="X982" s="1" t="e">
        <f>VLOOKUP(A982,Data_Echipe!A:R,18,0)</f>
        <v>#N/A</v>
      </c>
      <c r="Z982" s="115">
        <f t="shared" si="367"/>
        <v>1</v>
      </c>
    </row>
    <row r="983" spans="1:26" x14ac:dyDescent="0.3">
      <c r="A983" s="49" t="s">
        <v>357</v>
      </c>
      <c r="B983" s="1" t="str">
        <f>VLOOKUP(A983,Participanti!A:B,2,0)</f>
        <v>M</v>
      </c>
      <c r="C983" s="74">
        <v>12</v>
      </c>
      <c r="D983" s="50">
        <v>42.67</v>
      </c>
      <c r="E983" s="51">
        <v>0.16267361111111112</v>
      </c>
      <c r="F983" s="51">
        <v>0.16321759259259258</v>
      </c>
      <c r="G983" s="69">
        <f t="shared" ref="G983:G1005" si="370">AVERAGE(E983:F983)</f>
        <v>0.16294560185185186</v>
      </c>
      <c r="H983" s="52">
        <v>83</v>
      </c>
      <c r="I983" s="12">
        <f t="shared" ref="I983:I1005" si="371">G983/D983</f>
        <v>3.818739204402434E-3</v>
      </c>
      <c r="J983" s="37">
        <f t="shared" ref="J983:J1005" si="372">IF(B983="F",IF(D983&lt;2.5,0,IF(D983&gt;19.99,5,D983/4)),IF(D983&lt;3,0, IF(D983&gt;20.99,5,D983/4.2)))</f>
        <v>5</v>
      </c>
      <c r="K983" s="37">
        <f>IF(J983=0,0,IF(B983="F",VLOOKUP(I983,Barem!$G$2:$H$16,2,1),VLOOKUP(I983,Barem!$G$17:$H$31,2,1)))</f>
        <v>2</v>
      </c>
      <c r="L983" s="50">
        <v>1.5</v>
      </c>
      <c r="M983" s="124" t="s">
        <v>106</v>
      </c>
      <c r="N983" s="10">
        <f t="shared" si="368"/>
        <v>0.5</v>
      </c>
      <c r="O983" s="10">
        <f t="shared" si="368"/>
        <v>0.25</v>
      </c>
      <c r="P983" s="10">
        <f t="shared" si="368"/>
        <v>0.25</v>
      </c>
      <c r="Q983" s="40">
        <f t="shared" ref="Q983:Q1005" si="373">IF(H983&gt;49,H983/1500,0)</f>
        <v>5.5333333333333332E-2</v>
      </c>
      <c r="R983" s="21">
        <f>IF(D983&gt;21,VLOOKUP(D983,Barem!$T$1:$U$141,2,1),0)</f>
        <v>1</v>
      </c>
      <c r="S983" s="152">
        <f>IF(D983&lt;1.609,0,IF(B983="F",VLOOKUP(I983,Barem!$X$2:$Z$13,2,1),VLOOKUP(I983,Barem!$X$14:$Z$25,2,1)))</f>
        <v>0</v>
      </c>
      <c r="T983" s="21">
        <f>VLOOKUP(A983,Participanti!A:C,3,0)</f>
        <v>0</v>
      </c>
      <c r="U983" s="18">
        <f t="shared" ref="U983:U1005" si="374">IF(H983&lt;0,0,J983*N983+K983*O983+L983*P983+Q983+R983+S983+T983)</f>
        <v>4.4303333333333335</v>
      </c>
      <c r="V983" s="58" t="s">
        <v>497</v>
      </c>
      <c r="W983" s="77">
        <f t="shared" si="369"/>
        <v>1</v>
      </c>
      <c r="X983" s="1" t="e">
        <f>VLOOKUP(A983,Data_Echipe!A:R,18,0)</f>
        <v>#N/A</v>
      </c>
      <c r="Z983" s="115">
        <f t="shared" ref="Z983:Z1005" si="375">IF(K983&gt;0,1,0)</f>
        <v>1</v>
      </c>
    </row>
    <row r="984" spans="1:26" x14ac:dyDescent="0.3">
      <c r="A984" s="49" t="s">
        <v>303</v>
      </c>
      <c r="B984" s="1" t="str">
        <f>VLOOKUP(A984,Participanti!A:B,2,0)</f>
        <v>F</v>
      </c>
      <c r="C984" s="74">
        <v>12</v>
      </c>
      <c r="D984" s="50">
        <v>8.7799999999999994</v>
      </c>
      <c r="E984" s="51">
        <v>3.6620370370370373E-2</v>
      </c>
      <c r="F984" s="51">
        <v>3.6655092592592593E-2</v>
      </c>
      <c r="G984" s="69">
        <f t="shared" si="370"/>
        <v>3.6637731481481486E-2</v>
      </c>
      <c r="H984" s="52"/>
      <c r="I984" s="12">
        <f t="shared" si="371"/>
        <v>4.1728623555218093E-3</v>
      </c>
      <c r="J984" s="37">
        <f t="shared" si="372"/>
        <v>2.1949999999999998</v>
      </c>
      <c r="K984" s="37">
        <f>IF(J984=0,0,IF(B984="F",VLOOKUP(I984,Barem!$G$2:$H$16,2,1),VLOOKUP(I984,Barem!$G$17:$H$31,2,1)))</f>
        <v>2</v>
      </c>
      <c r="L984" s="50">
        <v>1.5</v>
      </c>
      <c r="M984" s="124" t="s">
        <v>207</v>
      </c>
      <c r="N984" s="10">
        <f t="shared" ref="N984:P1006" si="376">IF($M984=N$1,50%,25%)</f>
        <v>0.25</v>
      </c>
      <c r="O984" s="10">
        <f t="shared" si="376"/>
        <v>0.25</v>
      </c>
      <c r="P984" s="10">
        <f t="shared" si="376"/>
        <v>0.5</v>
      </c>
      <c r="Q984" s="40">
        <f t="shared" si="373"/>
        <v>0</v>
      </c>
      <c r="R984" s="21">
        <f>IF(D984&gt;21,VLOOKUP(D984,Barem!$T$1:$U$141,2,1),0)</f>
        <v>0</v>
      </c>
      <c r="S984" s="152">
        <f>IF(D984&lt;1.609,0,IF(B984="F",VLOOKUP(I984,Barem!$X$2:$Z$13,2,1),VLOOKUP(I984,Barem!$X$14:$Z$25,2,1)))</f>
        <v>0</v>
      </c>
      <c r="T984" s="21">
        <f>VLOOKUP(A984,Participanti!A:C,3,0)</f>
        <v>0</v>
      </c>
      <c r="U984" s="18">
        <f t="shared" si="374"/>
        <v>1.7987500000000001</v>
      </c>
      <c r="V984" s="58" t="s">
        <v>497</v>
      </c>
      <c r="W984" s="77">
        <f t="shared" si="369"/>
        <v>1</v>
      </c>
      <c r="X984" s="1" t="e">
        <f>VLOOKUP(A984,Data_Echipe!A:R,18,0)</f>
        <v>#N/A</v>
      </c>
      <c r="Z984" s="115">
        <f t="shared" si="375"/>
        <v>1</v>
      </c>
    </row>
    <row r="985" spans="1:26" x14ac:dyDescent="0.3">
      <c r="A985" s="49" t="s">
        <v>124</v>
      </c>
      <c r="B985" s="1" t="str">
        <f>VLOOKUP(A985,Participanti!A:B,2,0)</f>
        <v>M</v>
      </c>
      <c r="C985" s="74">
        <v>12</v>
      </c>
      <c r="D985" s="50">
        <v>43.01</v>
      </c>
      <c r="E985" s="51">
        <v>0.11009259259259259</v>
      </c>
      <c r="F985" s="51">
        <v>0.11009259259259259</v>
      </c>
      <c r="G985" s="69">
        <f t="shared" si="370"/>
        <v>0.11009259259259259</v>
      </c>
      <c r="H985" s="52">
        <v>91</v>
      </c>
      <c r="I985" s="12">
        <f t="shared" si="371"/>
        <v>2.5596975724852962E-3</v>
      </c>
      <c r="J985" s="37">
        <f t="shared" si="372"/>
        <v>5</v>
      </c>
      <c r="K985" s="37">
        <f>IF(J985=0,0,IF(B985="F",VLOOKUP(I985,Barem!$G$2:$H$16,2,1),VLOOKUP(I985,Barem!$G$17:$H$31,2,1)))</f>
        <v>5</v>
      </c>
      <c r="L985" s="50">
        <v>4</v>
      </c>
      <c r="M985" s="124" t="s">
        <v>207</v>
      </c>
      <c r="N985" s="10">
        <f t="shared" si="376"/>
        <v>0.25</v>
      </c>
      <c r="O985" s="10">
        <f t="shared" si="376"/>
        <v>0.25</v>
      </c>
      <c r="P985" s="10">
        <f t="shared" si="376"/>
        <v>0.5</v>
      </c>
      <c r="Q985" s="40">
        <f t="shared" si="373"/>
        <v>6.0666666666666667E-2</v>
      </c>
      <c r="R985" s="21">
        <f>IF(D985&gt;21,VLOOKUP(D985,Barem!$T$1:$U$141,2,1),0)</f>
        <v>1.1000000000000001</v>
      </c>
      <c r="S985" s="152">
        <f>IF(D985&lt;1.609,0,IF(B985="F",VLOOKUP(I985,Barem!$X$2:$Z$13,2,1),VLOOKUP(I985,Barem!$X$14:$Z$25,2,1)))</f>
        <v>1.4999999999999998</v>
      </c>
      <c r="T985" s="21">
        <f>VLOOKUP(A985,Participanti!A:C,3,0)</f>
        <v>0</v>
      </c>
      <c r="U985" s="18">
        <f t="shared" si="374"/>
        <v>7.1606666666666676</v>
      </c>
      <c r="V985" s="58" t="s">
        <v>497</v>
      </c>
      <c r="W985" s="77">
        <f t="shared" si="369"/>
        <v>1</v>
      </c>
      <c r="X985" s="1" t="str">
        <f>VLOOKUP(A985,Data_Echipe!A:R,18,0)</f>
        <v>#notSYRious</v>
      </c>
      <c r="Z985" s="115">
        <f t="shared" si="375"/>
        <v>1</v>
      </c>
    </row>
    <row r="986" spans="1:26" x14ac:dyDescent="0.3">
      <c r="A986" s="49" t="s">
        <v>341</v>
      </c>
      <c r="B986" s="1" t="str">
        <f>VLOOKUP(A986,Participanti!A:B,2,0)</f>
        <v>M</v>
      </c>
      <c r="C986" s="74">
        <v>12</v>
      </c>
      <c r="D986" s="50">
        <v>42.85</v>
      </c>
      <c r="E986" s="51">
        <v>0.13280092592592593</v>
      </c>
      <c r="F986" s="51">
        <v>0.13291666666666666</v>
      </c>
      <c r="G986" s="69">
        <f t="shared" si="370"/>
        <v>0.13285879629629629</v>
      </c>
      <c r="H986" s="52">
        <v>83</v>
      </c>
      <c r="I986" s="12">
        <f t="shared" si="371"/>
        <v>3.1005553394701586E-3</v>
      </c>
      <c r="J986" s="37">
        <f t="shared" si="372"/>
        <v>5</v>
      </c>
      <c r="K986" s="37">
        <f>IF(J986=0,0,IF(B986="F",VLOOKUP(I986,Barem!$G$2:$H$16,2,1),VLOOKUP(I986,Barem!$G$17:$H$31,2,1)))</f>
        <v>4</v>
      </c>
      <c r="L986" s="50">
        <v>2</v>
      </c>
      <c r="M986" s="124" t="s">
        <v>107</v>
      </c>
      <c r="N986" s="10">
        <f t="shared" si="376"/>
        <v>0.25</v>
      </c>
      <c r="O986" s="10">
        <f t="shared" si="376"/>
        <v>0.5</v>
      </c>
      <c r="P986" s="10">
        <f t="shared" si="376"/>
        <v>0.25</v>
      </c>
      <c r="Q986" s="40">
        <f t="shared" si="373"/>
        <v>5.5333333333333332E-2</v>
      </c>
      <c r="R986" s="21">
        <f>IF(D986&gt;21,VLOOKUP(D986,Barem!$T$1:$U$141,2,1),0)</f>
        <v>1</v>
      </c>
      <c r="S986" s="152">
        <f>IF(D986&lt;1.609,0,IF(B986="F",VLOOKUP(I986,Barem!$X$2:$Z$13,2,1),VLOOKUP(I986,Barem!$X$14:$Z$25,2,1)))</f>
        <v>0</v>
      </c>
      <c r="T986" s="21">
        <f>VLOOKUP(A986,Participanti!A:C,3,0)</f>
        <v>0</v>
      </c>
      <c r="U986" s="18">
        <f t="shared" si="374"/>
        <v>4.8053333333333335</v>
      </c>
      <c r="V986" s="58" t="s">
        <v>497</v>
      </c>
      <c r="W986" s="77">
        <f t="shared" si="369"/>
        <v>1</v>
      </c>
      <c r="X986" s="1" t="str">
        <f>VLOOKUP(A986,Data_Echipe!A:R,18,0)</f>
        <v>The GOATs</v>
      </c>
      <c r="Z986" s="115">
        <f t="shared" si="375"/>
        <v>1</v>
      </c>
    </row>
    <row r="987" spans="1:26" x14ac:dyDescent="0.3">
      <c r="A987" s="132" t="s">
        <v>383</v>
      </c>
      <c r="B987" s="133" t="s">
        <v>29</v>
      </c>
      <c r="C987" s="134">
        <v>12</v>
      </c>
      <c r="D987" s="135">
        <v>0</v>
      </c>
      <c r="E987" s="136">
        <v>0</v>
      </c>
      <c r="F987" s="136">
        <v>0</v>
      </c>
      <c r="G987" s="137">
        <v>0</v>
      </c>
      <c r="H987" s="138"/>
      <c r="I987" s="139">
        <v>0</v>
      </c>
      <c r="J987" s="140">
        <f t="shared" si="372"/>
        <v>0</v>
      </c>
      <c r="K987" s="140">
        <f>IF(J987=0,0,IF(B987="F",VLOOKUP(I987,Barem!$G$2:$H$16,2,1),VLOOKUP(I987,Barem!$G$17:$H$31,2,1)))</f>
        <v>0</v>
      </c>
      <c r="L987" s="135">
        <v>0</v>
      </c>
      <c r="M987" s="141" t="s">
        <v>459</v>
      </c>
      <c r="N987" s="142">
        <f t="shared" si="376"/>
        <v>0.25</v>
      </c>
      <c r="O987" s="142">
        <f t="shared" si="376"/>
        <v>0.25</v>
      </c>
      <c r="P987" s="142">
        <f t="shared" si="376"/>
        <v>0.25</v>
      </c>
      <c r="Q987" s="143">
        <f t="shared" si="373"/>
        <v>0</v>
      </c>
      <c r="R987" s="144">
        <f>IF(D987&gt;21,VLOOKUP(D987,Barem!$T$1:$U$141,2,1),0)</f>
        <v>0</v>
      </c>
      <c r="S987" s="156">
        <f>IF(D987&lt;1.609,0,IF(B987="F",VLOOKUP(I987,Barem!$X$2:$Z$13,2,1),VLOOKUP(I987,Barem!$X$14:$Z$25,2,1)))</f>
        <v>0</v>
      </c>
      <c r="T987" s="144">
        <f>VLOOKUP(A987,Participanti!A:C,3,0)</f>
        <v>0</v>
      </c>
      <c r="U987" s="143">
        <v>1.5</v>
      </c>
      <c r="V987" s="145" t="s">
        <v>497</v>
      </c>
      <c r="W987" s="146">
        <f t="shared" si="369"/>
        <v>1</v>
      </c>
      <c r="X987" s="133" t="str">
        <f>VLOOKUP(A987,Data_Echipe!A:R,18,0)</f>
        <v>The GOATs</v>
      </c>
      <c r="Y987" s="133"/>
      <c r="Z987" s="147">
        <f t="shared" si="375"/>
        <v>0</v>
      </c>
    </row>
    <row r="988" spans="1:26" x14ac:dyDescent="0.3">
      <c r="A988" s="49" t="s">
        <v>387</v>
      </c>
      <c r="B988" s="1" t="str">
        <f>VLOOKUP(A988,Participanti!A:B,2,0)</f>
        <v>F</v>
      </c>
      <c r="C988" s="74">
        <v>12</v>
      </c>
      <c r="D988" s="50">
        <v>18.010000000000002</v>
      </c>
      <c r="E988" s="51">
        <v>7.0277777777777786E-2</v>
      </c>
      <c r="F988" s="51">
        <v>7.0324074074074081E-2</v>
      </c>
      <c r="G988" s="69">
        <f t="shared" si="370"/>
        <v>7.0300925925925933E-2</v>
      </c>
      <c r="H988" s="52"/>
      <c r="I988" s="12">
        <f t="shared" si="371"/>
        <v>3.9034384189853373E-3</v>
      </c>
      <c r="J988" s="37">
        <f t="shared" si="372"/>
        <v>4.5025000000000004</v>
      </c>
      <c r="K988" s="37">
        <f>IF(J988=0,0,IF(B988="F",VLOOKUP(I988,Barem!$G$2:$H$16,2,1),VLOOKUP(I988,Barem!$G$17:$H$31,2,1)))</f>
        <v>2.5</v>
      </c>
      <c r="L988" s="50">
        <v>3</v>
      </c>
      <c r="M988" s="124" t="s">
        <v>207</v>
      </c>
      <c r="N988" s="10">
        <f t="shared" si="376"/>
        <v>0.25</v>
      </c>
      <c r="O988" s="10">
        <f t="shared" si="376"/>
        <v>0.25</v>
      </c>
      <c r="P988" s="10">
        <f t="shared" si="376"/>
        <v>0.5</v>
      </c>
      <c r="Q988" s="40">
        <f t="shared" si="373"/>
        <v>0</v>
      </c>
      <c r="R988" s="21">
        <f>IF(D988&gt;21,VLOOKUP(D988,Barem!$T$1:$U$141,2,1),0)</f>
        <v>0</v>
      </c>
      <c r="S988" s="152">
        <f>IF(D988&lt;1.609,0,IF(B988="F",VLOOKUP(I988,Barem!$X$2:$Z$13,2,1),VLOOKUP(I988,Barem!$X$14:$Z$25,2,1)))</f>
        <v>0</v>
      </c>
      <c r="T988" s="21">
        <f>VLOOKUP(A988,Participanti!A:C,3,0)</f>
        <v>0</v>
      </c>
      <c r="U988" s="18">
        <f t="shared" si="374"/>
        <v>3.2506250000000003</v>
      </c>
      <c r="V988" s="58" t="s">
        <v>497</v>
      </c>
      <c r="W988" s="77">
        <f t="shared" si="369"/>
        <v>1</v>
      </c>
      <c r="X988" s="1" t="str">
        <f>VLOOKUP(A988,Data_Echipe!A:R,18,0)</f>
        <v>#notSYRious</v>
      </c>
      <c r="Z988" s="115">
        <f t="shared" si="375"/>
        <v>1</v>
      </c>
    </row>
    <row r="989" spans="1:26" x14ac:dyDescent="0.3">
      <c r="A989" s="49" t="s">
        <v>108</v>
      </c>
      <c r="B989" s="1" t="str">
        <f>VLOOKUP(A989,Participanti!A:B,2,0)</f>
        <v>M</v>
      </c>
      <c r="C989" s="74">
        <v>12</v>
      </c>
      <c r="D989" s="50">
        <v>174.52</v>
      </c>
      <c r="E989" s="51">
        <v>0.90745370370370371</v>
      </c>
      <c r="F989" s="51">
        <v>0.98952546296296295</v>
      </c>
      <c r="G989" s="69">
        <f t="shared" si="370"/>
        <v>0.94848958333333333</v>
      </c>
      <c r="H989" s="52">
        <v>1255</v>
      </c>
      <c r="I989" s="12">
        <f t="shared" si="371"/>
        <v>5.4348474864389946E-3</v>
      </c>
      <c r="J989" s="37">
        <f t="shared" si="372"/>
        <v>5</v>
      </c>
      <c r="K989" s="37">
        <f>IF(J989=0,0,IF(B989="F",VLOOKUP(I989,Barem!$G$2:$H$16,2,1),VLOOKUP(I989,Barem!$G$17:$H$31,2,1)))</f>
        <v>0.25</v>
      </c>
      <c r="L989" s="50">
        <v>4</v>
      </c>
      <c r="M989" s="124" t="s">
        <v>207</v>
      </c>
      <c r="N989" s="10">
        <f t="shared" si="376"/>
        <v>0.25</v>
      </c>
      <c r="O989" s="10">
        <f t="shared" si="376"/>
        <v>0.25</v>
      </c>
      <c r="P989" s="10">
        <f t="shared" si="376"/>
        <v>0.5</v>
      </c>
      <c r="Q989" s="40">
        <f t="shared" si="373"/>
        <v>0.83666666666666667</v>
      </c>
      <c r="R989" s="21">
        <f>IF(D989&gt;21,VLOOKUP(D989,Barem!$T$1:$U$141,2,1),0)</f>
        <v>5.7</v>
      </c>
      <c r="S989" s="152">
        <f>IF(D989&lt;1.609,0,IF(B989="F",VLOOKUP(I989,Barem!$X$2:$Z$13,2,1),VLOOKUP(I989,Barem!$X$14:$Z$25,2,1)))</f>
        <v>0</v>
      </c>
      <c r="T989" s="21">
        <f>VLOOKUP(A989,Participanti!A:C,3,0)</f>
        <v>0</v>
      </c>
      <c r="U989" s="18">
        <f t="shared" si="374"/>
        <v>9.8491666666666671</v>
      </c>
      <c r="V989" s="58" t="s">
        <v>497</v>
      </c>
      <c r="W989" s="77">
        <f t="shared" si="369"/>
        <v>1</v>
      </c>
      <c r="X989" s="1" t="str">
        <f>VLOOKUP(A989,Data_Echipe!A:R,18,0)</f>
        <v>UltraHaita lu' Borcan</v>
      </c>
      <c r="Z989" s="115">
        <f t="shared" si="375"/>
        <v>1</v>
      </c>
    </row>
    <row r="990" spans="1:26" x14ac:dyDescent="0.3">
      <c r="A990" s="49" t="s">
        <v>431</v>
      </c>
      <c r="B990" s="1" t="str">
        <f>VLOOKUP(A990,Participanti!A:B,2,0)</f>
        <v>F</v>
      </c>
      <c r="C990" s="74">
        <v>12</v>
      </c>
      <c r="D990" s="50">
        <v>10.9</v>
      </c>
      <c r="E990" s="51">
        <v>5.5752314814814817E-2</v>
      </c>
      <c r="F990" s="51">
        <v>6.0659722222222219E-2</v>
      </c>
      <c r="G990" s="69">
        <f t="shared" si="370"/>
        <v>5.8206018518518518E-2</v>
      </c>
      <c r="H990" s="52"/>
      <c r="I990" s="12">
        <f t="shared" si="371"/>
        <v>5.3400016989466528E-3</v>
      </c>
      <c r="J990" s="37">
        <f t="shared" si="372"/>
        <v>2.7250000000000001</v>
      </c>
      <c r="K990" s="37">
        <f>IF(J990=0,0,IF(B990="F",VLOOKUP(I990,Barem!$G$2:$H$16,2,1),VLOOKUP(I990,Barem!$G$17:$H$31,2,1)))</f>
        <v>0.25</v>
      </c>
      <c r="L990" s="50">
        <v>3.75</v>
      </c>
      <c r="M990" s="124" t="s">
        <v>207</v>
      </c>
      <c r="N990" s="10">
        <f t="shared" si="376"/>
        <v>0.25</v>
      </c>
      <c r="O990" s="10">
        <f t="shared" si="376"/>
        <v>0.25</v>
      </c>
      <c r="P990" s="10">
        <f t="shared" si="376"/>
        <v>0.5</v>
      </c>
      <c r="Q990" s="40">
        <f t="shared" si="373"/>
        <v>0</v>
      </c>
      <c r="R990" s="21">
        <f>IF(D990&gt;21,VLOOKUP(D990,Barem!$T$1:$U$141,2,1),0)</f>
        <v>0</v>
      </c>
      <c r="S990" s="152">
        <f>IF(D990&lt;1.609,0,IF(B990="F",VLOOKUP(I990,Barem!$X$2:$Z$13,2,1),VLOOKUP(I990,Barem!$X$14:$Z$25,2,1)))</f>
        <v>0</v>
      </c>
      <c r="T990" s="21">
        <f>VLOOKUP(A990,Participanti!A:C,3,0)</f>
        <v>0.4</v>
      </c>
      <c r="U990" s="18">
        <f t="shared" si="374"/>
        <v>3.0187499999999998</v>
      </c>
      <c r="V990" s="58" t="s">
        <v>497</v>
      </c>
      <c r="W990" s="77">
        <f t="shared" si="369"/>
        <v>1</v>
      </c>
      <c r="X990" s="1" t="e">
        <f>VLOOKUP(A990,Data_Echipe!A:R,18,0)</f>
        <v>#N/A</v>
      </c>
      <c r="Z990" s="115">
        <f t="shared" si="375"/>
        <v>1</v>
      </c>
    </row>
    <row r="991" spans="1:26" x14ac:dyDescent="0.3">
      <c r="A991" s="49" t="s">
        <v>132</v>
      </c>
      <c r="B991" s="1" t="str">
        <f>VLOOKUP(A991,Participanti!A:B,2,0)</f>
        <v>F</v>
      </c>
      <c r="C991" s="74">
        <v>12</v>
      </c>
      <c r="D991" s="50">
        <v>3.03</v>
      </c>
      <c r="E991" s="51">
        <v>1.1122685185185185E-2</v>
      </c>
      <c r="F991" s="51">
        <v>1.1122685185185185E-2</v>
      </c>
      <c r="G991" s="69">
        <f t="shared" si="370"/>
        <v>1.1122685185185185E-2</v>
      </c>
      <c r="H991" s="52"/>
      <c r="I991" s="12">
        <f t="shared" si="371"/>
        <v>3.6708531964307544E-3</v>
      </c>
      <c r="J991" s="37">
        <f t="shared" si="372"/>
        <v>0.75749999999999995</v>
      </c>
      <c r="K991" s="37">
        <f>IF(J991=0,0,IF(B991="F",VLOOKUP(I991,Barem!$G$2:$H$16,2,1),VLOOKUP(I991,Barem!$G$17:$H$31,2,1)))</f>
        <v>3</v>
      </c>
      <c r="L991" s="50">
        <v>3.25</v>
      </c>
      <c r="M991" s="124" t="s">
        <v>107</v>
      </c>
      <c r="N991" s="10">
        <f t="shared" si="376"/>
        <v>0.25</v>
      </c>
      <c r="O991" s="10">
        <f t="shared" si="376"/>
        <v>0.5</v>
      </c>
      <c r="P991" s="10">
        <f t="shared" si="376"/>
        <v>0.25</v>
      </c>
      <c r="Q991" s="40">
        <f t="shared" si="373"/>
        <v>0</v>
      </c>
      <c r="R991" s="21">
        <f>IF(D991&gt;21,VLOOKUP(D991,Barem!$T$1:$U$141,2,1),0)</f>
        <v>0</v>
      </c>
      <c r="S991" s="152">
        <f>IF(D991&lt;1.609,0,IF(B991="F",VLOOKUP(I991,Barem!$X$2:$Z$13,2,1),VLOOKUP(I991,Barem!$X$14:$Z$25,2,1)))</f>
        <v>0</v>
      </c>
      <c r="T991" s="21">
        <f>VLOOKUP(A991,Participanti!A:C,3,0)</f>
        <v>0</v>
      </c>
      <c r="U991" s="18">
        <f t="shared" si="374"/>
        <v>2.5018750000000001</v>
      </c>
      <c r="V991" s="58" t="s">
        <v>497</v>
      </c>
      <c r="W991" s="77">
        <f t="shared" si="369"/>
        <v>1</v>
      </c>
      <c r="X991" s="1" t="str">
        <f>VLOOKUP(A991,Data_Echipe!A:R,18,0)</f>
        <v>MedgidiaRunning</v>
      </c>
      <c r="Z991" s="115">
        <f t="shared" si="375"/>
        <v>1</v>
      </c>
    </row>
    <row r="992" spans="1:26" x14ac:dyDescent="0.3">
      <c r="A992" s="49" t="s">
        <v>208</v>
      </c>
      <c r="B992" s="1" t="str">
        <f>VLOOKUP(A992,Participanti!A:B,2,0)</f>
        <v>M</v>
      </c>
      <c r="C992" s="74">
        <v>12</v>
      </c>
      <c r="D992" s="50">
        <v>21.58</v>
      </c>
      <c r="E992" s="51">
        <v>0.12105324074074075</v>
      </c>
      <c r="F992" s="51">
        <v>0.12724537037037037</v>
      </c>
      <c r="G992" s="69">
        <f t="shared" si="370"/>
        <v>0.12414930555555556</v>
      </c>
      <c r="H992" s="52">
        <v>1088</v>
      </c>
      <c r="I992" s="12">
        <f t="shared" si="371"/>
        <v>5.7529798681907121E-3</v>
      </c>
      <c r="J992" s="37">
        <f t="shared" si="372"/>
        <v>5</v>
      </c>
      <c r="K992" s="37">
        <f>IF(J992=0,0,IF(B992="F",VLOOKUP(I992,Barem!$G$2:$H$16,2,1),VLOOKUP(I992,Barem!$G$17:$H$31,2,1)))</f>
        <v>0</v>
      </c>
      <c r="L992" s="50">
        <v>2.75</v>
      </c>
      <c r="M992" s="124" t="s">
        <v>207</v>
      </c>
      <c r="N992" s="10">
        <f t="shared" si="376"/>
        <v>0.25</v>
      </c>
      <c r="O992" s="10">
        <f t="shared" si="376"/>
        <v>0.25</v>
      </c>
      <c r="P992" s="10">
        <f t="shared" si="376"/>
        <v>0.5</v>
      </c>
      <c r="Q992" s="40">
        <f t="shared" si="373"/>
        <v>0.72533333333333339</v>
      </c>
      <c r="R992" s="21">
        <f>IF(D992&gt;21,VLOOKUP(D992,Barem!$T$1:$U$141,2,1),0)</f>
        <v>0</v>
      </c>
      <c r="S992" s="152">
        <f>IF(D992&lt;1.609,0,IF(B992="F",VLOOKUP(I992,Barem!$X$2:$Z$13,2,1),VLOOKUP(I992,Barem!$X$14:$Z$25,2,1)))</f>
        <v>0</v>
      </c>
      <c r="T992" s="21">
        <f>VLOOKUP(A992,Participanti!A:C,3,0)</f>
        <v>0</v>
      </c>
      <c r="U992" s="18">
        <f t="shared" si="374"/>
        <v>3.3503333333333334</v>
      </c>
      <c r="V992" s="58" t="s">
        <v>497</v>
      </c>
      <c r="W992" s="77">
        <f t="shared" si="369"/>
        <v>1</v>
      </c>
      <c r="X992" s="1" t="e">
        <f>VLOOKUP(A992,Data_Echipe!A:R,18,0)</f>
        <v>#N/A</v>
      </c>
      <c r="Z992" s="115">
        <f t="shared" si="375"/>
        <v>0</v>
      </c>
    </row>
    <row r="993" spans="1:26" x14ac:dyDescent="0.3">
      <c r="A993" s="49" t="s">
        <v>49</v>
      </c>
      <c r="B993" s="1" t="str">
        <f>VLOOKUP(A993,Participanti!A:B,2,0)</f>
        <v>M</v>
      </c>
      <c r="C993" s="74">
        <v>12</v>
      </c>
      <c r="D993" s="50">
        <v>21.74</v>
      </c>
      <c r="E993" s="51">
        <v>0.12278935185185186</v>
      </c>
      <c r="F993" s="51">
        <v>0.12797453703703704</v>
      </c>
      <c r="G993" s="69">
        <f t="shared" si="370"/>
        <v>0.12538194444444445</v>
      </c>
      <c r="H993" s="52">
        <v>1002</v>
      </c>
      <c r="I993" s="12">
        <f t="shared" si="371"/>
        <v>5.7673387508944095E-3</v>
      </c>
      <c r="J993" s="37">
        <f t="shared" si="372"/>
        <v>5</v>
      </c>
      <c r="K993" s="37">
        <f>IF(J993=0,0,IF(B993="F",VLOOKUP(I993,Barem!$G$2:$H$16,2,1),VLOOKUP(I993,Barem!$G$17:$H$31,2,1)))</f>
        <v>0</v>
      </c>
      <c r="L993" s="50">
        <v>3.75</v>
      </c>
      <c r="M993" s="124" t="s">
        <v>207</v>
      </c>
      <c r="N993" s="10">
        <f t="shared" si="376"/>
        <v>0.25</v>
      </c>
      <c r="O993" s="10">
        <f t="shared" si="376"/>
        <v>0.25</v>
      </c>
      <c r="P993" s="10">
        <f t="shared" si="376"/>
        <v>0.5</v>
      </c>
      <c r="Q993" s="40">
        <f t="shared" si="373"/>
        <v>0.66800000000000004</v>
      </c>
      <c r="R993" s="21">
        <f>IF(D993&gt;21,VLOOKUP(D993,Barem!$T$1:$U$141,2,1),0)</f>
        <v>0</v>
      </c>
      <c r="S993" s="152">
        <f>IF(D993&lt;1.609,0,IF(B993="F",VLOOKUP(I993,Barem!$X$2:$Z$13,2,1),VLOOKUP(I993,Barem!$X$14:$Z$25,2,1)))</f>
        <v>0</v>
      </c>
      <c r="T993" s="21">
        <f>VLOOKUP(A993,Participanti!A:C,3,0)</f>
        <v>0</v>
      </c>
      <c r="U993" s="18">
        <f t="shared" si="374"/>
        <v>3.7930000000000001</v>
      </c>
      <c r="V993" s="58" t="s">
        <v>497</v>
      </c>
      <c r="W993" s="77">
        <f t="shared" si="369"/>
        <v>1</v>
      </c>
      <c r="X993" s="1" t="str">
        <f>VLOOKUP(A993,Data_Echipe!A:R,18,0)</f>
        <v>The GOATs</v>
      </c>
      <c r="Z993" s="115">
        <f t="shared" si="375"/>
        <v>0</v>
      </c>
    </row>
    <row r="994" spans="1:26" x14ac:dyDescent="0.3">
      <c r="A994" s="49" t="s">
        <v>347</v>
      </c>
      <c r="B994" s="1" t="str">
        <f>VLOOKUP(A994,Participanti!A:B,2,0)</f>
        <v>F</v>
      </c>
      <c r="C994" s="74">
        <v>12</v>
      </c>
      <c r="D994" s="50">
        <v>16.05</v>
      </c>
      <c r="E994" s="51">
        <v>5.9710648148148145E-2</v>
      </c>
      <c r="F994" s="51">
        <v>5.9710648148148145E-2</v>
      </c>
      <c r="G994" s="69">
        <f t="shared" si="370"/>
        <v>5.9710648148148145E-2</v>
      </c>
      <c r="H994" s="52"/>
      <c r="I994" s="12">
        <f t="shared" si="371"/>
        <v>3.7202896042459904E-3</v>
      </c>
      <c r="J994" s="37">
        <f t="shared" si="372"/>
        <v>4.0125000000000002</v>
      </c>
      <c r="K994" s="37">
        <f>IF(J994=0,0,IF(B994="F",VLOOKUP(I994,Barem!$G$2:$H$16,2,1),VLOOKUP(I994,Barem!$G$17:$H$31,2,1)))</f>
        <v>3</v>
      </c>
      <c r="L994" s="50">
        <v>3</v>
      </c>
      <c r="M994" s="124" t="s">
        <v>207</v>
      </c>
      <c r="N994" s="10">
        <f t="shared" si="376"/>
        <v>0.25</v>
      </c>
      <c r="O994" s="10">
        <f t="shared" si="376"/>
        <v>0.25</v>
      </c>
      <c r="P994" s="10">
        <f t="shared" si="376"/>
        <v>0.5</v>
      </c>
      <c r="Q994" s="40">
        <f t="shared" si="373"/>
        <v>0</v>
      </c>
      <c r="R994" s="21">
        <f>IF(D994&gt;21,VLOOKUP(D994,Barem!$T$1:$U$141,2,1),0)</f>
        <v>0</v>
      </c>
      <c r="S994" s="152">
        <f>IF(D994&lt;1.609,0,IF(B994="F",VLOOKUP(I994,Barem!$X$2:$Z$13,2,1),VLOOKUP(I994,Barem!$X$14:$Z$25,2,1)))</f>
        <v>0</v>
      </c>
      <c r="T994" s="21">
        <f>VLOOKUP(A994,Participanti!A:C,3,0)</f>
        <v>0</v>
      </c>
      <c r="U994" s="18">
        <f t="shared" si="374"/>
        <v>3.2531249999999998</v>
      </c>
      <c r="V994" s="58" t="s">
        <v>497</v>
      </c>
      <c r="W994" s="77">
        <f t="shared" si="369"/>
        <v>1</v>
      </c>
      <c r="X994" s="1" t="str">
        <f>VLOOKUP(A994,Data_Echipe!A:R,18,0)</f>
        <v>MedgidiaRunning</v>
      </c>
      <c r="Z994" s="115">
        <f t="shared" si="375"/>
        <v>1</v>
      </c>
    </row>
    <row r="995" spans="1:26" x14ac:dyDescent="0.3">
      <c r="A995" s="49" t="s">
        <v>64</v>
      </c>
      <c r="B995" s="1" t="str">
        <f>VLOOKUP(A995,Participanti!A:B,2,0)</f>
        <v>F</v>
      </c>
      <c r="C995" s="74">
        <v>12</v>
      </c>
      <c r="D995" s="50">
        <v>7.1</v>
      </c>
      <c r="E995" s="51">
        <v>3.6458333333333336E-2</v>
      </c>
      <c r="F995" s="51">
        <v>4.597222222222222E-2</v>
      </c>
      <c r="G995" s="69">
        <f t="shared" si="370"/>
        <v>4.1215277777777781E-2</v>
      </c>
      <c r="H995" s="52"/>
      <c r="I995" s="12">
        <f t="shared" si="371"/>
        <v>5.8049687010954627E-3</v>
      </c>
      <c r="J995" s="37">
        <f t="shared" si="372"/>
        <v>1.7749999999999999</v>
      </c>
      <c r="K995" s="37">
        <f>IF(J995=0,0,IF(B995="F",VLOOKUP(I995,Barem!$G$2:$H$16,2,1),VLOOKUP(I995,Barem!$G$17:$H$31,2,1)))</f>
        <v>0.25</v>
      </c>
      <c r="L995" s="50">
        <v>2.5</v>
      </c>
      <c r="M995" s="124" t="s">
        <v>207</v>
      </c>
      <c r="N995" s="10">
        <f t="shared" si="376"/>
        <v>0.25</v>
      </c>
      <c r="O995" s="10">
        <f t="shared" si="376"/>
        <v>0.25</v>
      </c>
      <c r="P995" s="10">
        <f t="shared" si="376"/>
        <v>0.5</v>
      </c>
      <c r="Q995" s="40">
        <f t="shared" si="373"/>
        <v>0</v>
      </c>
      <c r="R995" s="21">
        <f>IF(D995&gt;21,VLOOKUP(D995,Barem!$T$1:$U$141,2,1),0)</f>
        <v>0</v>
      </c>
      <c r="S995" s="152">
        <f>IF(D995&lt;1.609,0,IF(B995="F",VLOOKUP(I995,Barem!$X$2:$Z$13,2,1),VLOOKUP(I995,Barem!$X$14:$Z$25,2,1)))</f>
        <v>0</v>
      </c>
      <c r="T995" s="21">
        <f>VLOOKUP(A995,Participanti!A:C,3,0)</f>
        <v>0.7</v>
      </c>
      <c r="U995" s="18">
        <f t="shared" si="374"/>
        <v>2.4562499999999998</v>
      </c>
      <c r="V995" s="58" t="s">
        <v>497</v>
      </c>
      <c r="W995" s="77">
        <f t="shared" si="369"/>
        <v>1</v>
      </c>
      <c r="X995" s="1" t="str">
        <f>VLOOKUP(A995,Data_Echipe!A:R,18,0)</f>
        <v>UltraHaita lu' Borcan</v>
      </c>
      <c r="Z995" s="115">
        <f t="shared" si="375"/>
        <v>1</v>
      </c>
    </row>
    <row r="996" spans="1:26" x14ac:dyDescent="0.3">
      <c r="A996" s="49" t="s">
        <v>275</v>
      </c>
      <c r="B996" s="1" t="str">
        <f>VLOOKUP(A996,Participanti!A:B,2,0)</f>
        <v>M</v>
      </c>
      <c r="C996" s="74">
        <v>12</v>
      </c>
      <c r="D996" s="50">
        <v>21.49</v>
      </c>
      <c r="E996" s="51">
        <v>6.2488425925925926E-2</v>
      </c>
      <c r="F996" s="51">
        <v>6.2488425925925926E-2</v>
      </c>
      <c r="G996" s="69">
        <f t="shared" si="370"/>
        <v>6.2488425925925926E-2</v>
      </c>
      <c r="H996" s="52"/>
      <c r="I996" s="12">
        <f t="shared" si="371"/>
        <v>2.9077908760319188E-3</v>
      </c>
      <c r="J996" s="37">
        <f t="shared" si="372"/>
        <v>5</v>
      </c>
      <c r="K996" s="37">
        <f>IF(J996=0,0,IF(B996="F",VLOOKUP(I996,Barem!$G$2:$H$16,2,1),VLOOKUP(I996,Barem!$G$17:$H$31,2,1)))</f>
        <v>4.5</v>
      </c>
      <c r="L996" s="50">
        <v>1.5</v>
      </c>
      <c r="M996" s="124" t="s">
        <v>207</v>
      </c>
      <c r="N996" s="10">
        <f t="shared" si="376"/>
        <v>0.25</v>
      </c>
      <c r="O996" s="10">
        <f t="shared" si="376"/>
        <v>0.25</v>
      </c>
      <c r="P996" s="10">
        <f t="shared" si="376"/>
        <v>0.5</v>
      </c>
      <c r="Q996" s="40">
        <f t="shared" si="373"/>
        <v>0</v>
      </c>
      <c r="R996" s="21">
        <f>IF(D996&gt;21,VLOOKUP(D996,Barem!$T$1:$U$141,2,1),0)</f>
        <v>0</v>
      </c>
      <c r="S996" s="152">
        <f>IF(D996&lt;1.609,0,IF(B996="F",VLOOKUP(I996,Barem!$X$2:$Z$13,2,1),VLOOKUP(I996,Barem!$X$14:$Z$25,2,1)))</f>
        <v>0</v>
      </c>
      <c r="T996" s="21">
        <f>VLOOKUP(A996,Participanti!A:C,3,0)</f>
        <v>0</v>
      </c>
      <c r="U996" s="18">
        <f t="shared" si="374"/>
        <v>3.125</v>
      </c>
      <c r="V996" s="58" t="s">
        <v>497</v>
      </c>
      <c r="W996" s="77">
        <f t="shared" si="369"/>
        <v>1</v>
      </c>
      <c r="X996" s="1" t="e">
        <f>VLOOKUP(A996,Data_Echipe!A:R,18,0)</f>
        <v>#N/A</v>
      </c>
      <c r="Z996" s="115">
        <f t="shared" si="375"/>
        <v>1</v>
      </c>
    </row>
    <row r="997" spans="1:26" x14ac:dyDescent="0.3">
      <c r="A997" s="49" t="s">
        <v>116</v>
      </c>
      <c r="B997" s="1" t="str">
        <f>VLOOKUP(A997,Participanti!A:B,2,0)</f>
        <v>F</v>
      </c>
      <c r="C997" s="74">
        <v>12</v>
      </c>
      <c r="D997" s="50">
        <v>5.04</v>
      </c>
      <c r="E997" s="51">
        <v>1.9699074074074074E-2</v>
      </c>
      <c r="F997" s="51">
        <v>1.9699074074074074E-2</v>
      </c>
      <c r="G997" s="69">
        <f t="shared" si="370"/>
        <v>1.9699074074074074E-2</v>
      </c>
      <c r="H997" s="52"/>
      <c r="I997" s="12">
        <f t="shared" si="371"/>
        <v>3.9085464432686654E-3</v>
      </c>
      <c r="J997" s="37">
        <f t="shared" si="372"/>
        <v>1.26</v>
      </c>
      <c r="K997" s="37">
        <f>IF(J997=0,0,IF(B997="F",VLOOKUP(I997,Barem!$G$2:$H$16,2,1),VLOOKUP(I997,Barem!$G$17:$H$31,2,1)))</f>
        <v>2.5</v>
      </c>
      <c r="L997" s="50">
        <v>2.5</v>
      </c>
      <c r="M997" s="124" t="s">
        <v>107</v>
      </c>
      <c r="N997" s="10">
        <f t="shared" si="376"/>
        <v>0.25</v>
      </c>
      <c r="O997" s="10">
        <f t="shared" si="376"/>
        <v>0.5</v>
      </c>
      <c r="P997" s="10">
        <f t="shared" si="376"/>
        <v>0.25</v>
      </c>
      <c r="Q997" s="40">
        <f t="shared" si="373"/>
        <v>0</v>
      </c>
      <c r="R997" s="21">
        <f>IF(D997&gt;21,VLOOKUP(D997,Barem!$T$1:$U$141,2,1),0)</f>
        <v>0</v>
      </c>
      <c r="S997" s="152">
        <f>IF(D997&lt;1.609,0,IF(B997="F",VLOOKUP(I997,Barem!$X$2:$Z$13,2,1),VLOOKUP(I997,Barem!$X$14:$Z$25,2,1)))</f>
        <v>0</v>
      </c>
      <c r="T997" s="21">
        <f>VLOOKUP(A997,Participanti!A:C,3,0)</f>
        <v>0</v>
      </c>
      <c r="U997" s="18">
        <f t="shared" si="374"/>
        <v>2.19</v>
      </c>
      <c r="V997" s="58" t="s">
        <v>497</v>
      </c>
      <c r="W997" s="77">
        <f t="shared" si="369"/>
        <v>1</v>
      </c>
      <c r="X997" s="1" t="str">
        <f>VLOOKUP(A997,Data_Echipe!A:R,18,0)</f>
        <v>#notSYRious</v>
      </c>
      <c r="Z997" s="115">
        <f t="shared" si="375"/>
        <v>1</v>
      </c>
    </row>
    <row r="998" spans="1:26" x14ac:dyDescent="0.3">
      <c r="A998" s="49" t="s">
        <v>332</v>
      </c>
      <c r="B998" s="1" t="str">
        <f>VLOOKUP(A998,Participanti!A:B,2,0)</f>
        <v>M</v>
      </c>
      <c r="C998" s="74">
        <v>12</v>
      </c>
      <c r="D998" s="50">
        <v>19.420000000000002</v>
      </c>
      <c r="E998" s="51">
        <v>8.7754629629629641E-2</v>
      </c>
      <c r="F998" s="51">
        <v>9.1192129629629637E-2</v>
      </c>
      <c r="G998" s="69">
        <f t="shared" si="370"/>
        <v>8.9473379629629646E-2</v>
      </c>
      <c r="H998" s="52">
        <v>266</v>
      </c>
      <c r="I998" s="12">
        <f t="shared" si="371"/>
        <v>4.6072801045123398E-3</v>
      </c>
      <c r="J998" s="37">
        <f t="shared" si="372"/>
        <v>4.6238095238095243</v>
      </c>
      <c r="K998" s="37">
        <f>IF(J998=0,0,IF(B998="F",VLOOKUP(I998,Barem!$G$2:$H$16,2,1),VLOOKUP(I998,Barem!$G$17:$H$31,2,1)))</f>
        <v>0.75</v>
      </c>
      <c r="L998" s="50">
        <v>3.5</v>
      </c>
      <c r="M998" s="124" t="s">
        <v>207</v>
      </c>
      <c r="N998" s="10">
        <f t="shared" si="376"/>
        <v>0.25</v>
      </c>
      <c r="O998" s="10">
        <f t="shared" si="376"/>
        <v>0.25</v>
      </c>
      <c r="P998" s="10">
        <f t="shared" si="376"/>
        <v>0.5</v>
      </c>
      <c r="Q998" s="40">
        <f t="shared" si="373"/>
        <v>0.17733333333333334</v>
      </c>
      <c r="R998" s="21">
        <f>IF(D998&gt;21,VLOOKUP(D998,Barem!$T$1:$U$141,2,1),0)</f>
        <v>0</v>
      </c>
      <c r="S998" s="152">
        <f>IF(D998&lt;1.609,0,IF(B998="F",VLOOKUP(I998,Barem!$X$2:$Z$13,2,1),VLOOKUP(I998,Barem!$X$14:$Z$25,2,1)))</f>
        <v>0</v>
      </c>
      <c r="T998" s="21">
        <f>VLOOKUP(A998,Participanti!A:C,3,0)</f>
        <v>0.4</v>
      </c>
      <c r="U998" s="18">
        <f t="shared" si="374"/>
        <v>3.6707857142857141</v>
      </c>
      <c r="V998" s="58" t="s">
        <v>497</v>
      </c>
      <c r="W998" s="77">
        <f t="shared" si="369"/>
        <v>1</v>
      </c>
      <c r="X998" s="1" t="str">
        <f>VLOOKUP(A998,Data_Echipe!A:R,18,0)</f>
        <v>MedgidiaRunning</v>
      </c>
      <c r="Z998" s="115">
        <f t="shared" si="375"/>
        <v>1</v>
      </c>
    </row>
    <row r="999" spans="1:26" x14ac:dyDescent="0.3">
      <c r="A999" s="49" t="s">
        <v>369</v>
      </c>
      <c r="B999" s="1" t="str">
        <f>VLOOKUP(A999,Participanti!A:B,2,0)</f>
        <v>M</v>
      </c>
      <c r="C999" s="74">
        <v>12</v>
      </c>
      <c r="D999" s="50">
        <v>42.8</v>
      </c>
      <c r="E999" s="51">
        <v>0.19984953703703703</v>
      </c>
      <c r="F999" s="51">
        <v>0.20250000000000001</v>
      </c>
      <c r="G999" s="69">
        <f t="shared" si="370"/>
        <v>0.20117476851851851</v>
      </c>
      <c r="H999" s="52">
        <v>100</v>
      </c>
      <c r="I999" s="12">
        <f t="shared" si="371"/>
        <v>4.7003450588438906E-3</v>
      </c>
      <c r="J999" s="37">
        <f t="shared" si="372"/>
        <v>5</v>
      </c>
      <c r="K999" s="37">
        <f>IF(J999=0,0,IF(B999="F",VLOOKUP(I999,Barem!$G$2:$H$16,2,1),VLOOKUP(I999,Barem!$G$17:$H$31,2,1)))</f>
        <v>0.5</v>
      </c>
      <c r="L999" s="50">
        <v>2.75</v>
      </c>
      <c r="M999" s="124" t="s">
        <v>207</v>
      </c>
      <c r="N999" s="10">
        <f t="shared" si="376"/>
        <v>0.25</v>
      </c>
      <c r="O999" s="10">
        <f t="shared" si="376"/>
        <v>0.25</v>
      </c>
      <c r="P999" s="10">
        <f t="shared" si="376"/>
        <v>0.5</v>
      </c>
      <c r="Q999" s="40">
        <f t="shared" si="373"/>
        <v>6.6666666666666666E-2</v>
      </c>
      <c r="R999" s="21">
        <f>IF(D999&gt;21,VLOOKUP(D999,Barem!$T$1:$U$141,2,1),0)</f>
        <v>1</v>
      </c>
      <c r="S999" s="152">
        <f>IF(D999&lt;1.609,0,IF(B999="F",VLOOKUP(I999,Barem!$X$2:$Z$13,2,1),VLOOKUP(I999,Barem!$X$14:$Z$25,2,1)))</f>
        <v>0</v>
      </c>
      <c r="T999" s="21">
        <f>VLOOKUP(A999,Participanti!A:C,3,0)</f>
        <v>0</v>
      </c>
      <c r="U999" s="18">
        <f t="shared" si="374"/>
        <v>3.8166666666666669</v>
      </c>
      <c r="V999" s="58" t="s">
        <v>497</v>
      </c>
      <c r="W999" s="77">
        <f t="shared" si="369"/>
        <v>1</v>
      </c>
      <c r="X999" s="1" t="str">
        <f>VLOOKUP(A999,Data_Echipe!A:R,18,0)</f>
        <v>MedgidiaRunning</v>
      </c>
      <c r="Z999" s="115">
        <f t="shared" si="375"/>
        <v>1</v>
      </c>
    </row>
    <row r="1000" spans="1:26" x14ac:dyDescent="0.3">
      <c r="A1000" s="49" t="s">
        <v>45</v>
      </c>
      <c r="B1000" s="1" t="str">
        <f>VLOOKUP(A1000,Participanti!A:B,2,0)</f>
        <v>F</v>
      </c>
      <c r="C1000" s="74">
        <v>12</v>
      </c>
      <c r="D1000" s="50">
        <v>21.11</v>
      </c>
      <c r="E1000" s="51">
        <v>9.4074074074074074E-2</v>
      </c>
      <c r="F1000" s="51">
        <v>9.662037037037037E-2</v>
      </c>
      <c r="G1000" s="69">
        <f t="shared" si="370"/>
        <v>9.5347222222222222E-2</v>
      </c>
      <c r="H1000" s="52"/>
      <c r="I1000" s="12">
        <f t="shared" si="371"/>
        <v>4.5166850886888786E-3</v>
      </c>
      <c r="J1000" s="37">
        <f t="shared" si="372"/>
        <v>5</v>
      </c>
      <c r="K1000" s="37">
        <f>IF(J1000=0,0,IF(B1000="F",VLOOKUP(I1000,Barem!$G$2:$H$16,2,1),VLOOKUP(I1000,Barem!$G$17:$H$31,2,1)))</f>
        <v>1.5</v>
      </c>
      <c r="L1000" s="50">
        <v>3.25</v>
      </c>
      <c r="M1000" s="124" t="s">
        <v>106</v>
      </c>
      <c r="N1000" s="10">
        <f t="shared" si="376"/>
        <v>0.5</v>
      </c>
      <c r="O1000" s="10">
        <f t="shared" si="376"/>
        <v>0.25</v>
      </c>
      <c r="P1000" s="10">
        <f t="shared" si="376"/>
        <v>0.25</v>
      </c>
      <c r="Q1000" s="40">
        <f t="shared" si="373"/>
        <v>0</v>
      </c>
      <c r="R1000" s="21">
        <f>IF(D1000&gt;21,VLOOKUP(D1000,Barem!$T$1:$U$141,2,1),0)</f>
        <v>0</v>
      </c>
      <c r="S1000" s="152">
        <f>IF(D1000&lt;1.609,0,IF(B1000="F",VLOOKUP(I1000,Barem!$X$2:$Z$13,2,1),VLOOKUP(I1000,Barem!$X$14:$Z$25,2,1)))</f>
        <v>0</v>
      </c>
      <c r="T1000" s="21">
        <f>VLOOKUP(A1000,Participanti!A:C,3,0)</f>
        <v>0</v>
      </c>
      <c r="U1000" s="18">
        <f t="shared" si="374"/>
        <v>3.6875</v>
      </c>
      <c r="V1000" s="58" t="s">
        <v>497</v>
      </c>
      <c r="W1000" s="77">
        <f t="shared" si="369"/>
        <v>1</v>
      </c>
      <c r="X1000" s="1" t="e">
        <f>VLOOKUP(A1000,Data_Echipe!A:R,18,0)</f>
        <v>#N/A</v>
      </c>
      <c r="Z1000" s="115">
        <f t="shared" si="375"/>
        <v>1</v>
      </c>
    </row>
    <row r="1001" spans="1:26" x14ac:dyDescent="0.3">
      <c r="A1001" s="49" t="s">
        <v>59</v>
      </c>
      <c r="B1001" s="1" t="str">
        <f>VLOOKUP(A1001,Participanti!A:B,2,0)</f>
        <v>M</v>
      </c>
      <c r="C1001" s="74">
        <v>12</v>
      </c>
      <c r="D1001" s="50">
        <v>19.190000000000001</v>
      </c>
      <c r="E1001" s="51">
        <v>6.1180555555555551E-2</v>
      </c>
      <c r="F1001" s="51">
        <v>6.2476851851851846E-2</v>
      </c>
      <c r="G1001" s="69">
        <f t="shared" si="370"/>
        <v>6.1828703703703698E-2</v>
      </c>
      <c r="H1001" s="52">
        <v>182</v>
      </c>
      <c r="I1001" s="12">
        <f t="shared" si="371"/>
        <v>3.2219230694999321E-3</v>
      </c>
      <c r="J1001" s="37">
        <f t="shared" si="372"/>
        <v>4.5690476190476188</v>
      </c>
      <c r="K1001" s="37">
        <f>IF(J1001=0,0,IF(B1001="F",VLOOKUP(I1001,Barem!$G$2:$H$16,2,1),VLOOKUP(I1001,Barem!$G$17:$H$31,2,1)))</f>
        <v>3.5</v>
      </c>
      <c r="L1001" s="50">
        <v>3.5</v>
      </c>
      <c r="M1001" s="124" t="s">
        <v>207</v>
      </c>
      <c r="N1001" s="10">
        <f t="shared" si="376"/>
        <v>0.25</v>
      </c>
      <c r="O1001" s="10">
        <f t="shared" si="376"/>
        <v>0.25</v>
      </c>
      <c r="P1001" s="10">
        <f t="shared" si="376"/>
        <v>0.5</v>
      </c>
      <c r="Q1001" s="40">
        <f t="shared" si="373"/>
        <v>0.12133333333333333</v>
      </c>
      <c r="R1001" s="21">
        <f>IF(D1001&gt;21,VLOOKUP(D1001,Barem!$T$1:$U$141,2,1),0)</f>
        <v>0</v>
      </c>
      <c r="S1001" s="152">
        <f>IF(D1001&lt;1.609,0,IF(B1001="F",VLOOKUP(I1001,Barem!$X$2:$Z$13,2,1),VLOOKUP(I1001,Barem!$X$14:$Z$25,2,1)))</f>
        <v>0</v>
      </c>
      <c r="T1001" s="21">
        <f>VLOOKUP(A1001,Participanti!A:C,3,0)</f>
        <v>0</v>
      </c>
      <c r="U1001" s="18">
        <f t="shared" si="374"/>
        <v>3.8885952380952382</v>
      </c>
      <c r="V1001" s="58" t="s">
        <v>497</v>
      </c>
      <c r="W1001" s="77">
        <f t="shared" si="369"/>
        <v>1</v>
      </c>
      <c r="X1001" s="1" t="str">
        <f>VLOOKUP(A1001,Data_Echipe!A:R,18,0)</f>
        <v>Almost Kenyan Runners</v>
      </c>
      <c r="Z1001" s="115">
        <f t="shared" si="375"/>
        <v>1</v>
      </c>
    </row>
    <row r="1002" spans="1:26" x14ac:dyDescent="0.3">
      <c r="A1002" s="49" t="s">
        <v>247</v>
      </c>
      <c r="B1002" s="1" t="str">
        <f>VLOOKUP(A1002,Participanti!A:B,2,0)</f>
        <v>M</v>
      </c>
      <c r="C1002" s="74">
        <v>12</v>
      </c>
      <c r="D1002" s="50">
        <v>17.02</v>
      </c>
      <c r="E1002" s="51">
        <v>6.0370370370370373E-2</v>
      </c>
      <c r="F1002" s="51">
        <v>6.5219907407407407E-2</v>
      </c>
      <c r="G1002" s="69">
        <f t="shared" si="370"/>
        <v>6.2795138888888893E-2</v>
      </c>
      <c r="H1002" s="52"/>
      <c r="I1002" s="12">
        <f t="shared" si="371"/>
        <v>3.6894911215563393E-3</v>
      </c>
      <c r="J1002" s="37">
        <f t="shared" si="372"/>
        <v>4.0523809523809522</v>
      </c>
      <c r="K1002" s="37">
        <f>IF(J1002=0,0,IF(B1002="F",VLOOKUP(I1002,Barem!$G$2:$H$16,2,1),VLOOKUP(I1002,Barem!$G$17:$H$31,2,1)))</f>
        <v>2</v>
      </c>
      <c r="L1002" s="50">
        <v>1.25</v>
      </c>
      <c r="M1002" s="124" t="s">
        <v>107</v>
      </c>
      <c r="N1002" s="10">
        <f t="shared" si="376"/>
        <v>0.25</v>
      </c>
      <c r="O1002" s="10">
        <f t="shared" si="376"/>
        <v>0.5</v>
      </c>
      <c r="P1002" s="10">
        <f t="shared" si="376"/>
        <v>0.25</v>
      </c>
      <c r="Q1002" s="40">
        <f t="shared" si="373"/>
        <v>0</v>
      </c>
      <c r="R1002" s="21">
        <f>IF(D1002&gt;21,VLOOKUP(D1002,Barem!$T$1:$U$141,2,1),0)</f>
        <v>0</v>
      </c>
      <c r="S1002" s="152">
        <f>IF(D1002&lt;1.609,0,IF(B1002="F",VLOOKUP(I1002,Barem!$X$2:$Z$13,2,1),VLOOKUP(I1002,Barem!$X$14:$Z$25,2,1)))</f>
        <v>0</v>
      </c>
      <c r="T1002" s="21">
        <f>VLOOKUP(A1002,Participanti!A:C,3,0)</f>
        <v>0</v>
      </c>
      <c r="U1002" s="18">
        <f t="shared" si="374"/>
        <v>2.325595238095238</v>
      </c>
      <c r="V1002" s="58" t="s">
        <v>497</v>
      </c>
      <c r="W1002" s="77">
        <f t="shared" si="369"/>
        <v>1</v>
      </c>
      <c r="X1002" s="1" t="str">
        <f>VLOOKUP(A1002,Data_Echipe!A:R,18,0)</f>
        <v>UltraHaita lu' Borcan</v>
      </c>
      <c r="Z1002" s="115">
        <f t="shared" si="375"/>
        <v>1</v>
      </c>
    </row>
    <row r="1003" spans="1:26" x14ac:dyDescent="0.3">
      <c r="A1003" s="49" t="s">
        <v>177</v>
      </c>
      <c r="B1003" s="1" t="str">
        <f>VLOOKUP(A1003,Participanti!A:B,2,0)</f>
        <v>F</v>
      </c>
      <c r="C1003" s="74">
        <v>12</v>
      </c>
      <c r="D1003" s="50">
        <v>10.02</v>
      </c>
      <c r="E1003" s="51">
        <v>4.3622685185185188E-2</v>
      </c>
      <c r="F1003" s="51">
        <v>4.4664351851851851E-2</v>
      </c>
      <c r="G1003" s="69">
        <f t="shared" si="370"/>
        <v>4.4143518518518519E-2</v>
      </c>
      <c r="H1003" s="52"/>
      <c r="I1003" s="12">
        <f t="shared" si="371"/>
        <v>4.4055407703112301E-3</v>
      </c>
      <c r="J1003" s="37">
        <f t="shared" si="372"/>
        <v>2.5049999999999999</v>
      </c>
      <c r="K1003" s="37">
        <f>IF(J1003=0,0,IF(B1003="F",VLOOKUP(I1003,Barem!$G$2:$H$16,2,1),VLOOKUP(I1003,Barem!$G$17:$H$31,2,1)))</f>
        <v>1.5</v>
      </c>
      <c r="L1003" s="50">
        <v>3</v>
      </c>
      <c r="M1003" s="124" t="s">
        <v>107</v>
      </c>
      <c r="N1003" s="10">
        <f t="shared" si="376"/>
        <v>0.25</v>
      </c>
      <c r="O1003" s="10">
        <f t="shared" si="376"/>
        <v>0.5</v>
      </c>
      <c r="P1003" s="10">
        <f t="shared" si="376"/>
        <v>0.25</v>
      </c>
      <c r="Q1003" s="40">
        <f t="shared" si="373"/>
        <v>0</v>
      </c>
      <c r="R1003" s="21">
        <f>IF(D1003&gt;21,VLOOKUP(D1003,Barem!$T$1:$U$141,2,1),0)</f>
        <v>0</v>
      </c>
      <c r="S1003" s="152">
        <f>IF(D1003&lt;1.609,0,IF(B1003="F",VLOOKUP(I1003,Barem!$X$2:$Z$13,2,1),VLOOKUP(I1003,Barem!$X$14:$Z$25,2,1)))</f>
        <v>0</v>
      </c>
      <c r="T1003" s="21">
        <f>VLOOKUP(A1003,Participanti!A:C,3,0)</f>
        <v>0</v>
      </c>
      <c r="U1003" s="18">
        <f t="shared" si="374"/>
        <v>2.1262499999999998</v>
      </c>
      <c r="V1003" s="58" t="s">
        <v>497</v>
      </c>
      <c r="W1003" s="77">
        <f t="shared" si="369"/>
        <v>1</v>
      </c>
      <c r="X1003" s="1" t="str">
        <f>VLOOKUP(A1003,Data_Echipe!A:R,18,0)</f>
        <v>UltraHaita lu' Borcan</v>
      </c>
      <c r="Z1003" s="115">
        <f t="shared" si="375"/>
        <v>1</v>
      </c>
    </row>
    <row r="1004" spans="1:26" x14ac:dyDescent="0.3">
      <c r="A1004" s="49" t="s">
        <v>370</v>
      </c>
      <c r="B1004" s="1" t="str">
        <f>VLOOKUP(A1004,Participanti!A:B,2,0)</f>
        <v>F</v>
      </c>
      <c r="C1004" s="74">
        <v>12</v>
      </c>
      <c r="D1004" s="50">
        <v>5.05</v>
      </c>
      <c r="E1004" s="51">
        <v>1.9525462962962963E-2</v>
      </c>
      <c r="F1004" s="51">
        <v>1.9525462962962963E-2</v>
      </c>
      <c r="G1004" s="69">
        <f t="shared" si="370"/>
        <v>1.9525462962962963E-2</v>
      </c>
      <c r="H1004" s="52"/>
      <c r="I1004" s="12">
        <f t="shared" si="371"/>
        <v>3.8664283094976166E-3</v>
      </c>
      <c r="J1004" s="37">
        <f t="shared" si="372"/>
        <v>1.2625</v>
      </c>
      <c r="K1004" s="37">
        <f>IF(J1004=0,0,IF(B1004="F",VLOOKUP(I1004,Barem!$G$2:$H$16,2,1),VLOOKUP(I1004,Barem!$G$17:$H$31,2,1)))</f>
        <v>2.5</v>
      </c>
      <c r="L1004" s="50">
        <v>3.25</v>
      </c>
      <c r="M1004" s="124" t="s">
        <v>107</v>
      </c>
      <c r="N1004" s="10">
        <f t="shared" si="376"/>
        <v>0.25</v>
      </c>
      <c r="O1004" s="10">
        <f t="shared" si="376"/>
        <v>0.5</v>
      </c>
      <c r="P1004" s="10">
        <f t="shared" si="376"/>
        <v>0.25</v>
      </c>
      <c r="Q1004" s="40">
        <f t="shared" si="373"/>
        <v>0</v>
      </c>
      <c r="R1004" s="21">
        <f>IF(D1004&gt;21,VLOOKUP(D1004,Barem!$T$1:$U$141,2,1),0)</f>
        <v>0</v>
      </c>
      <c r="S1004" s="152">
        <f>IF(D1004&lt;1.609,0,IF(B1004="F",VLOOKUP(I1004,Barem!$X$2:$Z$13,2,1),VLOOKUP(I1004,Barem!$X$14:$Z$25,2,1)))</f>
        <v>0</v>
      </c>
      <c r="T1004" s="21">
        <f>VLOOKUP(A1004,Participanti!A:C,3,0)</f>
        <v>0</v>
      </c>
      <c r="U1004" s="18">
        <f t="shared" si="374"/>
        <v>2.3781249999999998</v>
      </c>
      <c r="V1004" s="58" t="s">
        <v>497</v>
      </c>
      <c r="W1004" s="77">
        <f t="shared" si="369"/>
        <v>1</v>
      </c>
      <c r="X1004" s="1" t="e">
        <f>VLOOKUP(A1004,Data_Echipe!A:R,18,0)</f>
        <v>#N/A</v>
      </c>
      <c r="Z1004" s="115">
        <f t="shared" si="375"/>
        <v>1</v>
      </c>
    </row>
    <row r="1005" spans="1:26" x14ac:dyDescent="0.3">
      <c r="A1005" s="49" t="s">
        <v>128</v>
      </c>
      <c r="B1005" s="1" t="str">
        <f>VLOOKUP(A1005,Participanti!A:B,2,0)</f>
        <v>M</v>
      </c>
      <c r="C1005" s="74">
        <v>12</v>
      </c>
      <c r="D1005" s="50">
        <v>21.1</v>
      </c>
      <c r="E1005" s="51">
        <v>7.3020833333333326E-2</v>
      </c>
      <c r="F1005" s="51">
        <v>7.3159722222222223E-2</v>
      </c>
      <c r="G1005" s="69">
        <f t="shared" si="370"/>
        <v>7.3090277777777768E-2</v>
      </c>
      <c r="H1005" s="52"/>
      <c r="I1005" s="12">
        <f t="shared" si="371"/>
        <v>3.463994207477619E-3</v>
      </c>
      <c r="J1005" s="37">
        <f t="shared" si="372"/>
        <v>5</v>
      </c>
      <c r="K1005" s="37">
        <f>IF(J1005=0,0,IF(B1005="F",VLOOKUP(I1005,Barem!$G$2:$H$16,2,1),VLOOKUP(I1005,Barem!$G$17:$H$31,2,1)))</f>
        <v>3</v>
      </c>
      <c r="L1005" s="50">
        <v>1.5</v>
      </c>
      <c r="M1005" s="124" t="s">
        <v>107</v>
      </c>
      <c r="N1005" s="10">
        <f t="shared" si="376"/>
        <v>0.25</v>
      </c>
      <c r="O1005" s="10">
        <f t="shared" si="376"/>
        <v>0.5</v>
      </c>
      <c r="P1005" s="10">
        <f t="shared" si="376"/>
        <v>0.25</v>
      </c>
      <c r="Q1005" s="40">
        <f t="shared" si="373"/>
        <v>0</v>
      </c>
      <c r="R1005" s="21">
        <f>IF(D1005&gt;21,VLOOKUP(D1005,Barem!$T$1:$U$141,2,1),0)</f>
        <v>0</v>
      </c>
      <c r="S1005" s="152">
        <f>IF(D1005&lt;1.609,0,IF(B1005="F",VLOOKUP(I1005,Barem!$X$2:$Z$13,2,1),VLOOKUP(I1005,Barem!$X$14:$Z$25,2,1)))</f>
        <v>0</v>
      </c>
      <c r="T1005" s="21">
        <f>VLOOKUP(A1005,Participanti!A:C,3,0)</f>
        <v>0</v>
      </c>
      <c r="U1005" s="18">
        <f t="shared" si="374"/>
        <v>3.125</v>
      </c>
      <c r="V1005" s="58" t="s">
        <v>497</v>
      </c>
      <c r="W1005" s="77">
        <f t="shared" si="369"/>
        <v>1</v>
      </c>
      <c r="X1005" s="1" t="str">
        <f>VLOOKUP(A1005,Data_Echipe!A:R,18,0)</f>
        <v>Almost Kenyan Runners</v>
      </c>
      <c r="Z1005" s="115">
        <f t="shared" si="375"/>
        <v>1</v>
      </c>
    </row>
    <row r="1006" spans="1:26" x14ac:dyDescent="0.3">
      <c r="A1006" s="49" t="s">
        <v>483</v>
      </c>
      <c r="B1006" s="1" t="str">
        <f>VLOOKUP(A1006,Participanti!A:B,2,0)</f>
        <v>M</v>
      </c>
      <c r="C1006" s="74">
        <v>12</v>
      </c>
      <c r="D1006" s="50">
        <v>16.21</v>
      </c>
      <c r="E1006" s="51">
        <v>5.9363425925925924E-2</v>
      </c>
      <c r="F1006" s="51">
        <v>5.9444444444444446E-2</v>
      </c>
      <c r="G1006" s="69">
        <f t="shared" ref="G1006:G1022" si="377">AVERAGE(E1006:F1006)</f>
        <v>5.9403935185185185E-2</v>
      </c>
      <c r="H1006" s="52">
        <v>309</v>
      </c>
      <c r="I1006" s="12">
        <f t="shared" ref="I1006:I1022" si="378">G1006/D1006</f>
        <v>3.6646474512760751E-3</v>
      </c>
      <c r="J1006" s="37">
        <f t="shared" ref="J1006:J1022" si="379">IF(B1006="F",IF(D1006&lt;2.5,0,IF(D1006&gt;19.99,5,D1006/4)),IF(D1006&lt;3,0, IF(D1006&gt;20.99,5,D1006/4.2)))</f>
        <v>3.8595238095238096</v>
      </c>
      <c r="K1006" s="37">
        <f>IF(J1006=0,0,IF(B1006="F",VLOOKUP(I1006,Barem!$G$2:$H$16,2,1),VLOOKUP(I1006,Barem!$G$17:$H$31,2,1)))</f>
        <v>2</v>
      </c>
      <c r="L1006" s="50">
        <v>0.75</v>
      </c>
      <c r="M1006" s="124" t="s">
        <v>207</v>
      </c>
      <c r="N1006" s="10">
        <f t="shared" si="376"/>
        <v>0.25</v>
      </c>
      <c r="O1006" s="10">
        <f t="shared" si="376"/>
        <v>0.25</v>
      </c>
      <c r="P1006" s="10">
        <f t="shared" si="376"/>
        <v>0.5</v>
      </c>
      <c r="Q1006" s="40">
        <f t="shared" ref="Q1006:Q1022" si="380">IF(H1006&gt;49,H1006/1500,0)</f>
        <v>0.20599999999999999</v>
      </c>
      <c r="R1006" s="21">
        <f>IF(D1006&gt;21,VLOOKUP(D1006,Barem!$T$1:$U$141,2,1),0)</f>
        <v>0</v>
      </c>
      <c r="S1006" s="152">
        <f>IF(D1006&lt;1.609,0,IF(B1006="F",VLOOKUP(I1006,Barem!$X$2:$Z$13,2,1),VLOOKUP(I1006,Barem!$X$14:$Z$25,2,1)))</f>
        <v>0</v>
      </c>
      <c r="T1006" s="21">
        <f>VLOOKUP(A1006,Participanti!A:C,3,0)</f>
        <v>0</v>
      </c>
      <c r="U1006" s="18">
        <f t="shared" ref="U1006:U1022" si="381">IF(H1006&lt;0,0,J1006*N1006+K1006*O1006+L1006*P1006+Q1006+R1006+S1006+T1006)</f>
        <v>2.0458809523809522</v>
      </c>
      <c r="V1006" s="58" t="s">
        <v>497</v>
      </c>
      <c r="W1006" s="77">
        <f t="shared" si="369"/>
        <v>1</v>
      </c>
      <c r="X1006" s="1" t="e">
        <f>VLOOKUP(A1006,Data_Echipe!A:R,18,0)</f>
        <v>#N/A</v>
      </c>
      <c r="Z1006" s="115">
        <f t="shared" ref="Z1006:Z1022" si="382">IF(K1006&gt;0,1,0)</f>
        <v>1</v>
      </c>
    </row>
    <row r="1007" spans="1:26" x14ac:dyDescent="0.3">
      <c r="A1007" s="49" t="s">
        <v>41</v>
      </c>
      <c r="B1007" s="1" t="str">
        <f>VLOOKUP(A1007,Participanti!A:B,2,0)</f>
        <v>M</v>
      </c>
      <c r="C1007" s="74">
        <v>12</v>
      </c>
      <c r="D1007" s="50">
        <v>18.02</v>
      </c>
      <c r="E1007" s="51">
        <v>6.5208333333333326E-2</v>
      </c>
      <c r="F1007" s="51">
        <v>6.5324074074074076E-2</v>
      </c>
      <c r="G1007" s="69">
        <f t="shared" si="377"/>
        <v>6.5266203703703701E-2</v>
      </c>
      <c r="H1007" s="52"/>
      <c r="I1007" s="12">
        <f t="shared" si="378"/>
        <v>3.6218758992066428E-3</v>
      </c>
      <c r="J1007" s="37">
        <f t="shared" si="379"/>
        <v>4.2904761904761903</v>
      </c>
      <c r="K1007" s="37">
        <f>IF(J1007=0,0,IF(B1007="F",VLOOKUP(I1007,Barem!$G$2:$H$16,2,1),VLOOKUP(I1007,Barem!$G$17:$H$31,2,1)))</f>
        <v>2.5</v>
      </c>
      <c r="L1007" s="50">
        <v>2.75</v>
      </c>
      <c r="M1007" s="124" t="s">
        <v>207</v>
      </c>
      <c r="N1007" s="10">
        <f t="shared" ref="N1007:P1023" si="383">IF($M1007=N$1,50%,25%)</f>
        <v>0.25</v>
      </c>
      <c r="O1007" s="10">
        <f t="shared" si="383"/>
        <v>0.25</v>
      </c>
      <c r="P1007" s="10">
        <f t="shared" si="383"/>
        <v>0.5</v>
      </c>
      <c r="Q1007" s="40">
        <f t="shared" si="380"/>
        <v>0</v>
      </c>
      <c r="R1007" s="21">
        <f>IF(D1007&gt;21,VLOOKUP(D1007,Barem!$T$1:$U$141,2,1),0)</f>
        <v>0</v>
      </c>
      <c r="S1007" s="152">
        <f>IF(D1007&lt;1.609,0,IF(B1007="F",VLOOKUP(I1007,Barem!$X$2:$Z$13,2,1),VLOOKUP(I1007,Barem!$X$14:$Z$25,2,1)))</f>
        <v>0</v>
      </c>
      <c r="T1007" s="21">
        <f>VLOOKUP(A1007,Participanti!A:C,3,0)</f>
        <v>0</v>
      </c>
      <c r="U1007" s="18">
        <f t="shared" si="381"/>
        <v>3.0726190476190478</v>
      </c>
      <c r="V1007" s="58" t="s">
        <v>497</v>
      </c>
      <c r="W1007" s="77">
        <f t="shared" si="369"/>
        <v>1</v>
      </c>
      <c r="X1007" s="1" t="str">
        <f>VLOOKUP(A1007,Data_Echipe!A:R,18,0)</f>
        <v>Almost Kenyan Runners</v>
      </c>
      <c r="Z1007" s="115">
        <f t="shared" si="382"/>
        <v>1</v>
      </c>
    </row>
    <row r="1008" spans="1:26" x14ac:dyDescent="0.3">
      <c r="A1008" s="49" t="s">
        <v>368</v>
      </c>
      <c r="B1008" s="1" t="str">
        <f>VLOOKUP(A1008,Participanti!A:B,2,0)</f>
        <v>M</v>
      </c>
      <c r="C1008" s="74">
        <v>12</v>
      </c>
      <c r="D1008" s="50">
        <v>4.01</v>
      </c>
      <c r="E1008" s="51">
        <v>1.2430555555555554E-2</v>
      </c>
      <c r="F1008" s="51">
        <v>1.2662037037037039E-2</v>
      </c>
      <c r="G1008" s="69">
        <f t="shared" si="377"/>
        <v>1.2546296296296297E-2</v>
      </c>
      <c r="H1008" s="52"/>
      <c r="I1008" s="12">
        <f t="shared" si="378"/>
        <v>3.1287521935900991E-3</v>
      </c>
      <c r="J1008" s="37">
        <f t="shared" si="379"/>
        <v>0.9547619047619047</v>
      </c>
      <c r="K1008" s="37">
        <f>IF(J1008=0,0,IF(B1008="F",VLOOKUP(I1008,Barem!$G$2:$H$16,2,1),VLOOKUP(I1008,Barem!$G$17:$H$31,2,1)))</f>
        <v>4</v>
      </c>
      <c r="L1008" s="50">
        <v>3</v>
      </c>
      <c r="M1008" s="124" t="s">
        <v>207</v>
      </c>
      <c r="N1008" s="10">
        <f t="shared" si="383"/>
        <v>0.25</v>
      </c>
      <c r="O1008" s="10">
        <f t="shared" si="383"/>
        <v>0.25</v>
      </c>
      <c r="P1008" s="10">
        <f t="shared" si="383"/>
        <v>0.5</v>
      </c>
      <c r="Q1008" s="40">
        <f t="shared" si="380"/>
        <v>0</v>
      </c>
      <c r="R1008" s="21">
        <f>IF(D1008&gt;21,VLOOKUP(D1008,Barem!$T$1:$U$141,2,1),0)</f>
        <v>0</v>
      </c>
      <c r="S1008" s="152">
        <f>IF(D1008&lt;1.609,0,IF(B1008="F",VLOOKUP(I1008,Barem!$X$2:$Z$13,2,1),VLOOKUP(I1008,Barem!$X$14:$Z$25,2,1)))</f>
        <v>0</v>
      </c>
      <c r="T1008" s="21">
        <f>VLOOKUP(A1008,Participanti!A:C,3,0)</f>
        <v>0</v>
      </c>
      <c r="U1008" s="18">
        <f t="shared" si="381"/>
        <v>2.7386904761904765</v>
      </c>
      <c r="V1008" s="58" t="s">
        <v>497</v>
      </c>
      <c r="W1008" s="77">
        <f t="shared" si="369"/>
        <v>1</v>
      </c>
      <c r="X1008" s="1" t="str">
        <f>VLOOKUP(A1008,Data_Echipe!A:R,18,0)</f>
        <v>Almost Kenyan Runners</v>
      </c>
      <c r="Z1008" s="115">
        <f t="shared" si="382"/>
        <v>1</v>
      </c>
    </row>
    <row r="1009" spans="1:26" x14ac:dyDescent="0.3">
      <c r="A1009" s="49" t="s">
        <v>122</v>
      </c>
      <c r="B1009" s="1" t="str">
        <f>VLOOKUP(A1009,Participanti!A:B,2,0)</f>
        <v>M</v>
      </c>
      <c r="C1009" s="74">
        <v>12</v>
      </c>
      <c r="D1009" s="50">
        <v>16.7</v>
      </c>
      <c r="E1009" s="51">
        <v>6.3634259259259265E-2</v>
      </c>
      <c r="F1009" s="51">
        <v>7.6145833333333343E-2</v>
      </c>
      <c r="G1009" s="69">
        <f t="shared" si="377"/>
        <v>6.9890046296296304E-2</v>
      </c>
      <c r="H1009" s="52">
        <v>62</v>
      </c>
      <c r="I1009" s="12">
        <f t="shared" si="378"/>
        <v>4.1850327123530724E-3</v>
      </c>
      <c r="J1009" s="37">
        <f t="shared" si="379"/>
        <v>3.9761904761904758</v>
      </c>
      <c r="K1009" s="37">
        <f>IF(J1009=0,0,IF(B1009="F",VLOOKUP(I1009,Barem!$G$2:$H$16,2,1),VLOOKUP(I1009,Barem!$G$17:$H$31,2,1)))</f>
        <v>1.25</v>
      </c>
      <c r="L1009" s="50">
        <v>2.25</v>
      </c>
      <c r="M1009" s="124" t="s">
        <v>106</v>
      </c>
      <c r="N1009" s="10">
        <f t="shared" si="383"/>
        <v>0.5</v>
      </c>
      <c r="O1009" s="10">
        <f t="shared" si="383"/>
        <v>0.25</v>
      </c>
      <c r="P1009" s="10">
        <f t="shared" si="383"/>
        <v>0.25</v>
      </c>
      <c r="Q1009" s="40">
        <f t="shared" si="380"/>
        <v>4.1333333333333333E-2</v>
      </c>
      <c r="R1009" s="21">
        <f>IF(D1009&gt;21,VLOOKUP(D1009,Barem!$T$1:$U$141,2,1),0)</f>
        <v>0</v>
      </c>
      <c r="S1009" s="152">
        <f>IF(D1009&lt;1.609,0,IF(B1009="F",VLOOKUP(I1009,Barem!$X$2:$Z$13,2,1),VLOOKUP(I1009,Barem!$X$14:$Z$25,2,1)))</f>
        <v>0</v>
      </c>
      <c r="T1009" s="21">
        <f>VLOOKUP(A1009,Participanti!A:C,3,0)</f>
        <v>0</v>
      </c>
      <c r="U1009" s="18">
        <f t="shared" si="381"/>
        <v>2.9044285714285714</v>
      </c>
      <c r="V1009" s="58" t="s">
        <v>497</v>
      </c>
      <c r="W1009" s="77">
        <f t="shared" si="369"/>
        <v>1</v>
      </c>
      <c r="X1009" s="1" t="str">
        <f>VLOOKUP(A1009,Data_Echipe!A:R,18,0)</f>
        <v>#notSYRious</v>
      </c>
      <c r="Z1009" s="115">
        <f t="shared" si="382"/>
        <v>1</v>
      </c>
    </row>
    <row r="1010" spans="1:26" x14ac:dyDescent="0.3">
      <c r="A1010" s="49" t="s">
        <v>359</v>
      </c>
      <c r="B1010" s="1" t="str">
        <f>VLOOKUP(A1010,Participanti!A:B,2,0)</f>
        <v>M</v>
      </c>
      <c r="C1010" s="74">
        <v>12</v>
      </c>
      <c r="D1010" s="50">
        <v>11.01</v>
      </c>
      <c r="E1010" s="51">
        <v>4.2581018518518525E-2</v>
      </c>
      <c r="F1010" s="51">
        <v>4.3807870370370372E-2</v>
      </c>
      <c r="G1010" s="69">
        <f t="shared" si="377"/>
        <v>4.3194444444444452E-2</v>
      </c>
      <c r="H1010" s="52"/>
      <c r="I1010" s="12">
        <f t="shared" si="378"/>
        <v>3.9232011302855994E-3</v>
      </c>
      <c r="J1010" s="37">
        <f t="shared" si="379"/>
        <v>2.6214285714285714</v>
      </c>
      <c r="K1010" s="37">
        <f>IF(J1010=0,0,IF(B1010="F",VLOOKUP(I1010,Barem!$G$2:$H$16,2,1),VLOOKUP(I1010,Barem!$G$17:$H$31,2,1)))</f>
        <v>1.75</v>
      </c>
      <c r="L1010" s="50">
        <v>1.25</v>
      </c>
      <c r="M1010" s="124" t="s">
        <v>107</v>
      </c>
      <c r="N1010" s="10">
        <f t="shared" si="383"/>
        <v>0.25</v>
      </c>
      <c r="O1010" s="10">
        <f t="shared" si="383"/>
        <v>0.5</v>
      </c>
      <c r="P1010" s="10">
        <f t="shared" si="383"/>
        <v>0.25</v>
      </c>
      <c r="Q1010" s="40">
        <f t="shared" si="380"/>
        <v>0</v>
      </c>
      <c r="R1010" s="21">
        <f>IF(D1010&gt;21,VLOOKUP(D1010,Barem!$T$1:$U$141,2,1),0)</f>
        <v>0</v>
      </c>
      <c r="S1010" s="152">
        <f>IF(D1010&lt;1.609,0,IF(B1010="F",VLOOKUP(I1010,Barem!$X$2:$Z$13,2,1),VLOOKUP(I1010,Barem!$X$14:$Z$25,2,1)))</f>
        <v>0</v>
      </c>
      <c r="T1010" s="21">
        <f>VLOOKUP(A1010,Participanti!A:C,3,0)</f>
        <v>0</v>
      </c>
      <c r="U1010" s="18">
        <f t="shared" si="381"/>
        <v>1.842857142857143</v>
      </c>
      <c r="V1010" s="58" t="s">
        <v>497</v>
      </c>
      <c r="W1010" s="77">
        <f t="shared" si="369"/>
        <v>1</v>
      </c>
      <c r="X1010" s="1" t="str">
        <f>VLOOKUP(A1010,Data_Echipe!A:R,18,0)</f>
        <v>Almost Kenyan Runners</v>
      </c>
      <c r="Z1010" s="115">
        <f t="shared" si="382"/>
        <v>1</v>
      </c>
    </row>
    <row r="1011" spans="1:26" x14ac:dyDescent="0.3">
      <c r="A1011" s="49" t="s">
        <v>100</v>
      </c>
      <c r="B1011" s="1" t="str">
        <f>VLOOKUP(A1011,Participanti!A:B,2,0)</f>
        <v>F</v>
      </c>
      <c r="C1011" s="74">
        <v>12</v>
      </c>
      <c r="D1011" s="50">
        <v>10.029999999999999</v>
      </c>
      <c r="E1011" s="51">
        <v>3.8935185185185191E-2</v>
      </c>
      <c r="F1011" s="51">
        <v>4.1134259259259259E-2</v>
      </c>
      <c r="G1011" s="69">
        <f t="shared" si="377"/>
        <v>4.0034722222222222E-2</v>
      </c>
      <c r="H1011" s="52"/>
      <c r="I1011" s="12">
        <f t="shared" si="378"/>
        <v>3.9914977290351171E-3</v>
      </c>
      <c r="J1011" s="37">
        <f t="shared" si="379"/>
        <v>2.5074999999999998</v>
      </c>
      <c r="K1011" s="37">
        <f>IF(J1011=0,0,IF(B1011="F",VLOOKUP(I1011,Barem!$G$2:$H$16,2,1),VLOOKUP(I1011,Barem!$G$17:$H$31,2,1)))</f>
        <v>2.5</v>
      </c>
      <c r="L1011" s="50">
        <v>2.25</v>
      </c>
      <c r="M1011" s="124" t="s">
        <v>207</v>
      </c>
      <c r="N1011" s="10">
        <f t="shared" si="383"/>
        <v>0.25</v>
      </c>
      <c r="O1011" s="10">
        <f t="shared" si="383"/>
        <v>0.25</v>
      </c>
      <c r="P1011" s="10">
        <f t="shared" si="383"/>
        <v>0.5</v>
      </c>
      <c r="Q1011" s="40">
        <f t="shared" si="380"/>
        <v>0</v>
      </c>
      <c r="R1011" s="21">
        <f>IF(D1011&gt;21,VLOOKUP(D1011,Barem!$T$1:$U$141,2,1),0)</f>
        <v>0</v>
      </c>
      <c r="S1011" s="152">
        <f>IF(D1011&lt;1.609,0,IF(B1011="F",VLOOKUP(I1011,Barem!$X$2:$Z$13,2,1),VLOOKUP(I1011,Barem!$X$14:$Z$25,2,1)))</f>
        <v>0</v>
      </c>
      <c r="T1011" s="21">
        <f>VLOOKUP(A1011,Participanti!A:C,3,0)</f>
        <v>0</v>
      </c>
      <c r="U1011" s="18">
        <f t="shared" si="381"/>
        <v>2.3768750000000001</v>
      </c>
      <c r="V1011" s="58" t="s">
        <v>497</v>
      </c>
      <c r="W1011" s="77">
        <f t="shared" si="369"/>
        <v>1</v>
      </c>
      <c r="X1011" s="1" t="e">
        <f>VLOOKUP(A1011,Data_Echipe!A:R,18,0)</f>
        <v>#N/A</v>
      </c>
      <c r="Z1011" s="115">
        <f t="shared" si="382"/>
        <v>1</v>
      </c>
    </row>
    <row r="1012" spans="1:26" x14ac:dyDescent="0.3">
      <c r="A1012" s="49" t="s">
        <v>120</v>
      </c>
      <c r="B1012" s="1" t="str">
        <f>VLOOKUP(A1012,Participanti!A:B,2,0)</f>
        <v>M</v>
      </c>
      <c r="C1012" s="74">
        <v>12</v>
      </c>
      <c r="D1012" s="50">
        <v>21.15</v>
      </c>
      <c r="E1012" s="51">
        <v>6.6365740740740739E-2</v>
      </c>
      <c r="F1012" s="51">
        <v>6.6365740740740739E-2</v>
      </c>
      <c r="G1012" s="69">
        <f t="shared" si="377"/>
        <v>6.6365740740740739E-2</v>
      </c>
      <c r="H1012" s="52"/>
      <c r="I1012" s="12">
        <f t="shared" si="378"/>
        <v>3.137860082304527E-3</v>
      </c>
      <c r="J1012" s="37">
        <f t="shared" si="379"/>
        <v>5</v>
      </c>
      <c r="K1012" s="37">
        <f>IF(J1012=0,0,IF(B1012="F",VLOOKUP(I1012,Barem!$G$2:$H$16,2,1),VLOOKUP(I1012,Barem!$G$17:$H$31,2,1)))</f>
        <v>3.5</v>
      </c>
      <c r="L1012" s="50">
        <v>2</v>
      </c>
      <c r="M1012" s="124" t="s">
        <v>106</v>
      </c>
      <c r="N1012" s="10">
        <f t="shared" si="383"/>
        <v>0.5</v>
      </c>
      <c r="O1012" s="10">
        <f t="shared" si="383"/>
        <v>0.25</v>
      </c>
      <c r="P1012" s="10">
        <f t="shared" si="383"/>
        <v>0.25</v>
      </c>
      <c r="Q1012" s="40">
        <f t="shared" si="380"/>
        <v>0</v>
      </c>
      <c r="R1012" s="21">
        <f>IF(D1012&gt;21,VLOOKUP(D1012,Barem!$T$1:$U$141,2,1),0)</f>
        <v>0</v>
      </c>
      <c r="S1012" s="152">
        <f>IF(D1012&lt;1.609,0,IF(B1012="F",VLOOKUP(I1012,Barem!$X$2:$Z$13,2,1),VLOOKUP(I1012,Barem!$X$14:$Z$25,2,1)))</f>
        <v>0</v>
      </c>
      <c r="T1012" s="21">
        <f>VLOOKUP(A1012,Participanti!A:C,3,0)</f>
        <v>0</v>
      </c>
      <c r="U1012" s="18">
        <f t="shared" si="381"/>
        <v>3.875</v>
      </c>
      <c r="V1012" s="58" t="s">
        <v>497</v>
      </c>
      <c r="W1012" s="77">
        <f t="shared" si="369"/>
        <v>1</v>
      </c>
      <c r="X1012" s="1" t="str">
        <f>VLOOKUP(A1012,Data_Echipe!A:R,18,0)</f>
        <v>Almost Kenyan Runners</v>
      </c>
      <c r="Z1012" s="115">
        <f t="shared" si="382"/>
        <v>1</v>
      </c>
    </row>
    <row r="1013" spans="1:26" x14ac:dyDescent="0.3">
      <c r="A1013" s="49" t="s">
        <v>241</v>
      </c>
      <c r="B1013" s="1" t="str">
        <f>VLOOKUP(A1013,Participanti!A:B,2,0)</f>
        <v>F</v>
      </c>
      <c r="C1013" s="74">
        <v>12</v>
      </c>
      <c r="D1013" s="50">
        <v>5.5</v>
      </c>
      <c r="E1013" s="51">
        <v>2.4131944444444445E-2</v>
      </c>
      <c r="F1013" s="51">
        <v>2.4131944444444445E-2</v>
      </c>
      <c r="G1013" s="69">
        <f t="shared" si="377"/>
        <v>2.4131944444444445E-2</v>
      </c>
      <c r="H1013" s="52"/>
      <c r="I1013" s="12">
        <f t="shared" si="378"/>
        <v>4.3876262626262631E-3</v>
      </c>
      <c r="J1013" s="37">
        <f t="shared" si="379"/>
        <v>1.375</v>
      </c>
      <c r="K1013" s="37">
        <f>IF(J1013=0,0,IF(B1013="F",VLOOKUP(I1013,Barem!$G$2:$H$16,2,1),VLOOKUP(I1013,Barem!$G$17:$H$31,2,1)))</f>
        <v>1.5</v>
      </c>
      <c r="L1013" s="50">
        <v>2.75</v>
      </c>
      <c r="M1013" s="124" t="s">
        <v>207</v>
      </c>
      <c r="N1013" s="10">
        <f t="shared" si="383"/>
        <v>0.25</v>
      </c>
      <c r="O1013" s="10">
        <f t="shared" si="383"/>
        <v>0.25</v>
      </c>
      <c r="P1013" s="10">
        <f t="shared" si="383"/>
        <v>0.5</v>
      </c>
      <c r="Q1013" s="40">
        <f t="shared" si="380"/>
        <v>0</v>
      </c>
      <c r="R1013" s="21">
        <f>IF(D1013&gt;21,VLOOKUP(D1013,Barem!$T$1:$U$141,2,1),0)</f>
        <v>0</v>
      </c>
      <c r="S1013" s="152">
        <f>IF(D1013&lt;1.609,0,IF(B1013="F",VLOOKUP(I1013,Barem!$X$2:$Z$13,2,1),VLOOKUP(I1013,Barem!$X$14:$Z$25,2,1)))</f>
        <v>0</v>
      </c>
      <c r="T1013" s="21">
        <f>VLOOKUP(A1013,Participanti!A:C,3,0)</f>
        <v>0</v>
      </c>
      <c r="U1013" s="18">
        <f t="shared" si="381"/>
        <v>2.09375</v>
      </c>
      <c r="V1013" s="58" t="s">
        <v>497</v>
      </c>
      <c r="W1013" s="77">
        <f t="shared" si="369"/>
        <v>1</v>
      </c>
      <c r="X1013" s="1" t="str">
        <f>VLOOKUP(A1013,Data_Echipe!A:R,18,0)</f>
        <v>Almost Kenyan Runners</v>
      </c>
      <c r="Z1013" s="115">
        <f t="shared" si="382"/>
        <v>1</v>
      </c>
    </row>
    <row r="1014" spans="1:26" x14ac:dyDescent="0.3">
      <c r="A1014" s="49" t="s">
        <v>279</v>
      </c>
      <c r="B1014" s="1" t="str">
        <f>VLOOKUP(A1014,Participanti!A:B,2,0)</f>
        <v>M</v>
      </c>
      <c r="C1014" s="74">
        <v>12</v>
      </c>
      <c r="D1014" s="50">
        <v>18</v>
      </c>
      <c r="E1014" s="51">
        <v>4.7951388888888891E-2</v>
      </c>
      <c r="F1014" s="51">
        <v>5.0740740740740746E-2</v>
      </c>
      <c r="G1014" s="69">
        <f t="shared" si="377"/>
        <v>4.9346064814814822E-2</v>
      </c>
      <c r="H1014" s="52"/>
      <c r="I1014" s="12">
        <f t="shared" si="378"/>
        <v>2.7414480452674899E-3</v>
      </c>
      <c r="J1014" s="37">
        <f t="shared" si="379"/>
        <v>4.2857142857142856</v>
      </c>
      <c r="K1014" s="37">
        <f>IF(J1014=0,0,IF(B1014="F",VLOOKUP(I1014,Barem!$G$2:$H$16,2,1),VLOOKUP(I1014,Barem!$G$17:$H$31,2,1)))</f>
        <v>5</v>
      </c>
      <c r="L1014" s="50">
        <v>2.75</v>
      </c>
      <c r="M1014" s="124" t="s">
        <v>107</v>
      </c>
      <c r="N1014" s="10">
        <f t="shared" si="383"/>
        <v>0.25</v>
      </c>
      <c r="O1014" s="10">
        <f t="shared" si="383"/>
        <v>0.5</v>
      </c>
      <c r="P1014" s="10">
        <f t="shared" si="383"/>
        <v>0.25</v>
      </c>
      <c r="Q1014" s="40">
        <f t="shared" si="380"/>
        <v>0</v>
      </c>
      <c r="R1014" s="21">
        <f>IF(D1014&gt;21,VLOOKUP(D1014,Barem!$T$1:$U$141,2,1),0)</f>
        <v>0</v>
      </c>
      <c r="S1014" s="152">
        <f>IF(D1014&lt;1.609,0,IF(B1014="F",VLOOKUP(I1014,Barem!$X$2:$Z$13,2,1),VLOOKUP(I1014,Barem!$X$14:$Z$25,2,1)))</f>
        <v>0.15000000000000002</v>
      </c>
      <c r="T1014" s="21">
        <f>VLOOKUP(A1014,Participanti!A:C,3,0)</f>
        <v>0</v>
      </c>
      <c r="U1014" s="18">
        <f t="shared" si="381"/>
        <v>4.4089285714285715</v>
      </c>
      <c r="V1014" s="58" t="s">
        <v>497</v>
      </c>
      <c r="W1014" s="77">
        <f t="shared" si="369"/>
        <v>1</v>
      </c>
      <c r="X1014" s="1" t="str">
        <f>VLOOKUP(A1014,Data_Echipe!A:R,18,0)</f>
        <v>Almost Kenyan Runners</v>
      </c>
      <c r="Z1014" s="115">
        <f t="shared" si="382"/>
        <v>1</v>
      </c>
    </row>
    <row r="1015" spans="1:26" x14ac:dyDescent="0.3">
      <c r="A1015" s="49" t="s">
        <v>300</v>
      </c>
      <c r="B1015" s="1" t="str">
        <f>VLOOKUP(A1015,Participanti!A:B,2,0)</f>
        <v>M</v>
      </c>
      <c r="C1015" s="74">
        <v>12</v>
      </c>
      <c r="D1015" s="50">
        <v>6</v>
      </c>
      <c r="E1015" s="51">
        <v>1.9328703703703702E-2</v>
      </c>
      <c r="F1015" s="51">
        <v>1.9328703703703702E-2</v>
      </c>
      <c r="G1015" s="69">
        <f t="shared" si="377"/>
        <v>1.9328703703703702E-2</v>
      </c>
      <c r="H1015" s="52"/>
      <c r="I1015" s="12">
        <f t="shared" si="378"/>
        <v>3.2214506172839504E-3</v>
      </c>
      <c r="J1015" s="37">
        <f t="shared" si="379"/>
        <v>1.4285714285714286</v>
      </c>
      <c r="K1015" s="37">
        <f>IF(J1015=0,0,IF(B1015="F",VLOOKUP(I1015,Barem!$G$2:$H$16,2,1),VLOOKUP(I1015,Barem!$G$17:$H$31,2,1)))</f>
        <v>3.5</v>
      </c>
      <c r="L1015" s="50">
        <v>0.75</v>
      </c>
      <c r="M1015" s="124" t="s">
        <v>207</v>
      </c>
      <c r="N1015" s="10">
        <f t="shared" si="383"/>
        <v>0.25</v>
      </c>
      <c r="O1015" s="10">
        <f t="shared" si="383"/>
        <v>0.25</v>
      </c>
      <c r="P1015" s="10">
        <f t="shared" si="383"/>
        <v>0.5</v>
      </c>
      <c r="Q1015" s="40">
        <f t="shared" si="380"/>
        <v>0</v>
      </c>
      <c r="R1015" s="21">
        <f>IF(D1015&gt;21,VLOOKUP(D1015,Barem!$T$1:$U$141,2,1),0)</f>
        <v>0</v>
      </c>
      <c r="S1015" s="152">
        <f>IF(D1015&lt;1.609,0,IF(B1015="F",VLOOKUP(I1015,Barem!$X$2:$Z$13,2,1),VLOOKUP(I1015,Barem!$X$14:$Z$25,2,1)))</f>
        <v>0</v>
      </c>
      <c r="T1015" s="21">
        <f>VLOOKUP(A1015,Participanti!A:C,3,0)</f>
        <v>0</v>
      </c>
      <c r="U1015" s="18">
        <f t="shared" si="381"/>
        <v>1.6071428571428572</v>
      </c>
      <c r="V1015" s="58" t="s">
        <v>497</v>
      </c>
      <c r="W1015" s="77">
        <f t="shared" si="369"/>
        <v>1</v>
      </c>
      <c r="X1015" s="1" t="str">
        <f>VLOOKUP(A1015,Data_Echipe!A:R,18,0)</f>
        <v>#notSYRious</v>
      </c>
      <c r="Z1015" s="115">
        <f t="shared" si="382"/>
        <v>1</v>
      </c>
    </row>
    <row r="1016" spans="1:26" x14ac:dyDescent="0.3">
      <c r="A1016" s="49" t="s">
        <v>380</v>
      </c>
      <c r="B1016" s="1" t="str">
        <f>VLOOKUP(A1016,Participanti!A:B,2,0)</f>
        <v>M</v>
      </c>
      <c r="C1016" s="74">
        <v>12</v>
      </c>
      <c r="D1016" s="50">
        <v>21.04</v>
      </c>
      <c r="E1016" s="51">
        <v>7.6076388888888888E-2</v>
      </c>
      <c r="F1016" s="51">
        <v>7.6550925925925925E-2</v>
      </c>
      <c r="G1016" s="69">
        <f t="shared" si="377"/>
        <v>7.6313657407407406E-2</v>
      </c>
      <c r="H1016" s="52"/>
      <c r="I1016" s="12">
        <f t="shared" si="378"/>
        <v>3.6270749718349529E-3</v>
      </c>
      <c r="J1016" s="37">
        <f t="shared" si="379"/>
        <v>5</v>
      </c>
      <c r="K1016" s="37">
        <f>IF(J1016=0,0,IF(B1016="F",VLOOKUP(I1016,Barem!$G$2:$H$16,2,1),VLOOKUP(I1016,Barem!$G$17:$H$31,2,1)))</f>
        <v>2.5</v>
      </c>
      <c r="L1016" s="50">
        <v>3</v>
      </c>
      <c r="M1016" s="124" t="s">
        <v>207</v>
      </c>
      <c r="N1016" s="10">
        <f t="shared" si="383"/>
        <v>0.25</v>
      </c>
      <c r="O1016" s="10">
        <f t="shared" si="383"/>
        <v>0.25</v>
      </c>
      <c r="P1016" s="10">
        <f t="shared" si="383"/>
        <v>0.5</v>
      </c>
      <c r="Q1016" s="40">
        <f t="shared" si="380"/>
        <v>0</v>
      </c>
      <c r="R1016" s="21">
        <f>IF(D1016&gt;21,VLOOKUP(D1016,Barem!$T$1:$U$141,2,1),0)</f>
        <v>0</v>
      </c>
      <c r="S1016" s="152">
        <f>IF(D1016&lt;1.609,0,IF(B1016="F",VLOOKUP(I1016,Barem!$X$2:$Z$13,2,1),VLOOKUP(I1016,Barem!$X$14:$Z$25,2,1)))</f>
        <v>0</v>
      </c>
      <c r="T1016" s="21">
        <f>VLOOKUP(A1016,Participanti!A:C,3,0)</f>
        <v>0</v>
      </c>
      <c r="U1016" s="18">
        <f t="shared" si="381"/>
        <v>3.375</v>
      </c>
      <c r="V1016" s="58" t="s">
        <v>497</v>
      </c>
      <c r="W1016" s="77">
        <f t="shared" si="369"/>
        <v>1</v>
      </c>
      <c r="X1016" s="1" t="e">
        <f>VLOOKUP(A1016,Data_Echipe!A:R,18,0)</f>
        <v>#N/A</v>
      </c>
      <c r="Z1016" s="115">
        <f t="shared" si="382"/>
        <v>1</v>
      </c>
    </row>
    <row r="1017" spans="1:26" x14ac:dyDescent="0.3">
      <c r="A1017" s="49" t="s">
        <v>283</v>
      </c>
      <c r="B1017" s="1" t="str">
        <f>VLOOKUP(A1017,Participanti!A:B,2,0)</f>
        <v>M</v>
      </c>
      <c r="C1017" s="74">
        <v>12</v>
      </c>
      <c r="D1017" s="50">
        <v>42.2</v>
      </c>
      <c r="E1017" s="51">
        <v>0.16429398148148147</v>
      </c>
      <c r="F1017" s="51">
        <v>0.16464120370370369</v>
      </c>
      <c r="G1017" s="69">
        <f t="shared" si="377"/>
        <v>0.16446759259259258</v>
      </c>
      <c r="H1017" s="52"/>
      <c r="I1017" s="12">
        <f t="shared" si="378"/>
        <v>3.8973363173600136E-3</v>
      </c>
      <c r="J1017" s="37">
        <f t="shared" si="379"/>
        <v>5</v>
      </c>
      <c r="K1017" s="37">
        <f>IF(J1017=0,0,IF(B1017="F",VLOOKUP(I1017,Barem!$G$2:$H$16,2,1),VLOOKUP(I1017,Barem!$G$17:$H$31,2,1)))</f>
        <v>1.75</v>
      </c>
      <c r="L1017" s="50">
        <v>3.5</v>
      </c>
      <c r="M1017" s="124" t="s">
        <v>107</v>
      </c>
      <c r="N1017" s="10">
        <f t="shared" si="383"/>
        <v>0.25</v>
      </c>
      <c r="O1017" s="10">
        <f t="shared" si="383"/>
        <v>0.5</v>
      </c>
      <c r="P1017" s="10">
        <f t="shared" si="383"/>
        <v>0.25</v>
      </c>
      <c r="Q1017" s="40">
        <f t="shared" si="380"/>
        <v>0</v>
      </c>
      <c r="R1017" s="21">
        <f>IF(D1017&gt;21,VLOOKUP(D1017,Barem!$T$1:$U$141,2,1),0)</f>
        <v>1</v>
      </c>
      <c r="S1017" s="152">
        <f>IF(D1017&lt;1.609,0,IF(B1017="F",VLOOKUP(I1017,Barem!$X$2:$Z$13,2,1),VLOOKUP(I1017,Barem!$X$14:$Z$25,2,1)))</f>
        <v>0</v>
      </c>
      <c r="T1017" s="21">
        <f>VLOOKUP(A1017,Participanti!A:C,3,0)</f>
        <v>0</v>
      </c>
      <c r="U1017" s="18">
        <f t="shared" si="381"/>
        <v>4</v>
      </c>
      <c r="V1017" s="58" t="s">
        <v>497</v>
      </c>
      <c r="W1017" s="77">
        <f t="shared" si="369"/>
        <v>1</v>
      </c>
      <c r="X1017" s="1" t="str">
        <f>VLOOKUP(A1017,Data_Echipe!A:R,18,0)</f>
        <v>The GOATs</v>
      </c>
      <c r="Z1017" s="115">
        <f t="shared" si="382"/>
        <v>1</v>
      </c>
    </row>
    <row r="1018" spans="1:26" x14ac:dyDescent="0.3">
      <c r="A1018" s="49" t="s">
        <v>366</v>
      </c>
      <c r="B1018" s="1" t="str">
        <f>VLOOKUP(A1018,Participanti!A:B,2,0)</f>
        <v>M</v>
      </c>
      <c r="C1018" s="74">
        <v>12</v>
      </c>
      <c r="D1018" s="50">
        <v>42.88</v>
      </c>
      <c r="E1018" s="51">
        <v>0.14403935185185185</v>
      </c>
      <c r="F1018" s="51">
        <v>0.14403935185185185</v>
      </c>
      <c r="G1018" s="69">
        <f t="shared" si="377"/>
        <v>0.14403935185185185</v>
      </c>
      <c r="H1018" s="52">
        <v>80</v>
      </c>
      <c r="I1018" s="12">
        <f t="shared" si="378"/>
        <v>3.3591266756495299E-3</v>
      </c>
      <c r="J1018" s="37">
        <f t="shared" si="379"/>
        <v>5</v>
      </c>
      <c r="K1018" s="37">
        <f>IF(J1018=0,0,IF(B1018="F",VLOOKUP(I1018,Barem!$G$2:$H$16,2,1),VLOOKUP(I1018,Barem!$G$17:$H$31,2,1)))</f>
        <v>3</v>
      </c>
      <c r="L1018" s="50">
        <v>3.75</v>
      </c>
      <c r="M1018" s="124" t="s">
        <v>106</v>
      </c>
      <c r="N1018" s="10">
        <f t="shared" si="383"/>
        <v>0.5</v>
      </c>
      <c r="O1018" s="10">
        <f t="shared" si="383"/>
        <v>0.25</v>
      </c>
      <c r="P1018" s="10">
        <f t="shared" si="383"/>
        <v>0.25</v>
      </c>
      <c r="Q1018" s="40">
        <f t="shared" si="380"/>
        <v>5.3333333333333337E-2</v>
      </c>
      <c r="R1018" s="21">
        <f>IF(D1018&gt;21,VLOOKUP(D1018,Barem!$T$1:$U$141,2,1),0)</f>
        <v>1</v>
      </c>
      <c r="S1018" s="152">
        <f>IF(D1018&lt;1.609,0,IF(B1018="F",VLOOKUP(I1018,Barem!$X$2:$Z$13,2,1),VLOOKUP(I1018,Barem!$X$14:$Z$25,2,1)))</f>
        <v>0</v>
      </c>
      <c r="T1018" s="21">
        <f>VLOOKUP(A1018,Participanti!A:C,3,0)</f>
        <v>0</v>
      </c>
      <c r="U1018" s="18">
        <f t="shared" si="381"/>
        <v>5.2408333333333337</v>
      </c>
      <c r="V1018" s="58" t="s">
        <v>497</v>
      </c>
      <c r="W1018" s="77">
        <f t="shared" si="369"/>
        <v>1</v>
      </c>
      <c r="X1018" s="1" t="str">
        <f>VLOOKUP(A1018,Data_Echipe!A:R,18,0)</f>
        <v>The GOATs</v>
      </c>
      <c r="Z1018" s="115">
        <f t="shared" si="382"/>
        <v>1</v>
      </c>
    </row>
    <row r="1019" spans="1:26" x14ac:dyDescent="0.3">
      <c r="A1019" s="49" t="s">
        <v>396</v>
      </c>
      <c r="B1019" s="1" t="str">
        <f>VLOOKUP(A1019,Participanti!A:B,2,0)</f>
        <v>F</v>
      </c>
      <c r="C1019" s="74">
        <v>12</v>
      </c>
      <c r="D1019" s="50">
        <v>6.25</v>
      </c>
      <c r="E1019" s="51">
        <v>3.0011574074074076E-2</v>
      </c>
      <c r="F1019" s="51">
        <v>3.0011574074074076E-2</v>
      </c>
      <c r="G1019" s="69">
        <f t="shared" si="377"/>
        <v>3.0011574074074076E-2</v>
      </c>
      <c r="H1019" s="52"/>
      <c r="I1019" s="12">
        <f t="shared" si="378"/>
        <v>4.8018518518518523E-3</v>
      </c>
      <c r="J1019" s="37">
        <f t="shared" si="379"/>
        <v>1.5625</v>
      </c>
      <c r="K1019" s="37">
        <f>IF(J1019=0,0,IF(B1019="F",VLOOKUP(I1019,Barem!$G$2:$H$16,2,1),VLOOKUP(I1019,Barem!$G$17:$H$31,2,1)))</f>
        <v>1</v>
      </c>
      <c r="L1019" s="50">
        <v>3</v>
      </c>
      <c r="M1019" s="124" t="s">
        <v>207</v>
      </c>
      <c r="N1019" s="10">
        <f t="shared" si="383"/>
        <v>0.25</v>
      </c>
      <c r="O1019" s="10">
        <f t="shared" si="383"/>
        <v>0.25</v>
      </c>
      <c r="P1019" s="10">
        <f t="shared" si="383"/>
        <v>0.5</v>
      </c>
      <c r="Q1019" s="40">
        <f t="shared" si="380"/>
        <v>0</v>
      </c>
      <c r="R1019" s="21">
        <f>IF(D1019&gt;21,VLOOKUP(D1019,Barem!$T$1:$U$141,2,1),0)</f>
        <v>0</v>
      </c>
      <c r="S1019" s="152">
        <f>IF(D1019&lt;1.609,0,IF(B1019="F",VLOOKUP(I1019,Barem!$X$2:$Z$13,2,1),VLOOKUP(I1019,Barem!$X$14:$Z$25,2,1)))</f>
        <v>0</v>
      </c>
      <c r="T1019" s="21">
        <f>VLOOKUP(A1019,Participanti!A:C,3,0)</f>
        <v>0</v>
      </c>
      <c r="U1019" s="18">
        <f t="shared" si="381"/>
        <v>2.140625</v>
      </c>
      <c r="V1019" s="58" t="s">
        <v>497</v>
      </c>
      <c r="W1019" s="77">
        <f t="shared" si="369"/>
        <v>1</v>
      </c>
      <c r="X1019" s="1" t="str">
        <f>VLOOKUP(A1019,Data_Echipe!A:R,18,0)</f>
        <v>MedgidiaRunning</v>
      </c>
      <c r="Z1019" s="115">
        <f t="shared" si="382"/>
        <v>1</v>
      </c>
    </row>
    <row r="1020" spans="1:26" x14ac:dyDescent="0.3">
      <c r="A1020" s="49" t="s">
        <v>335</v>
      </c>
      <c r="B1020" s="1" t="str">
        <f>VLOOKUP(A1020,Participanti!A:B,2,0)</f>
        <v>M</v>
      </c>
      <c r="C1020" s="74">
        <v>12</v>
      </c>
      <c r="D1020" s="50">
        <v>5.1100000000000003</v>
      </c>
      <c r="E1020" s="51">
        <v>1.7800925925925925E-2</v>
      </c>
      <c r="F1020" s="51">
        <v>1.7893518518518517E-2</v>
      </c>
      <c r="G1020" s="69">
        <f t="shared" si="377"/>
        <v>1.7847222222222223E-2</v>
      </c>
      <c r="H1020" s="52"/>
      <c r="I1020" s="12">
        <f t="shared" si="378"/>
        <v>3.4926070884974993E-3</v>
      </c>
      <c r="J1020" s="37">
        <f t="shared" si="379"/>
        <v>1.2166666666666668</v>
      </c>
      <c r="K1020" s="37">
        <f>IF(J1020=0,0,IF(B1020="F",VLOOKUP(I1020,Barem!$G$2:$H$16,2,1),VLOOKUP(I1020,Barem!$G$17:$H$31,2,1)))</f>
        <v>2.5</v>
      </c>
      <c r="L1020" s="50">
        <v>3</v>
      </c>
      <c r="M1020" s="124" t="s">
        <v>207</v>
      </c>
      <c r="N1020" s="10">
        <f t="shared" si="383"/>
        <v>0.25</v>
      </c>
      <c r="O1020" s="10">
        <f t="shared" si="383"/>
        <v>0.25</v>
      </c>
      <c r="P1020" s="10">
        <f t="shared" si="383"/>
        <v>0.5</v>
      </c>
      <c r="Q1020" s="40">
        <f t="shared" si="380"/>
        <v>0</v>
      </c>
      <c r="R1020" s="21">
        <f>IF(D1020&gt;21,VLOOKUP(D1020,Barem!$T$1:$U$141,2,1),0)</f>
        <v>0</v>
      </c>
      <c r="S1020" s="152">
        <f>IF(D1020&lt;1.609,0,IF(B1020="F",VLOOKUP(I1020,Barem!$X$2:$Z$13,2,1),VLOOKUP(I1020,Barem!$X$14:$Z$25,2,1)))</f>
        <v>0</v>
      </c>
      <c r="T1020" s="21">
        <f>VLOOKUP(A1020,Participanti!A:C,3,0)</f>
        <v>0.4</v>
      </c>
      <c r="U1020" s="18">
        <f t="shared" si="381"/>
        <v>2.8291666666666666</v>
      </c>
      <c r="V1020" s="58" t="s">
        <v>497</v>
      </c>
      <c r="W1020" s="77">
        <f t="shared" si="369"/>
        <v>1</v>
      </c>
      <c r="X1020" s="1" t="e">
        <f>VLOOKUP(A1020,Data_Echipe!A:R,18,0)</f>
        <v>#N/A</v>
      </c>
      <c r="Z1020" s="115">
        <f t="shared" si="382"/>
        <v>1</v>
      </c>
    </row>
    <row r="1021" spans="1:26" x14ac:dyDescent="0.3">
      <c r="A1021" s="49" t="s">
        <v>225</v>
      </c>
      <c r="B1021" s="1" t="str">
        <f>VLOOKUP(A1021,Participanti!A:B,2,0)</f>
        <v>F</v>
      </c>
      <c r="C1021" s="74">
        <v>12</v>
      </c>
      <c r="D1021" s="50">
        <v>19.73</v>
      </c>
      <c r="E1021" s="51">
        <v>9.3217592592592588E-2</v>
      </c>
      <c r="F1021" s="51">
        <v>9.6678240740740731E-2</v>
      </c>
      <c r="G1021" s="69">
        <f t="shared" si="377"/>
        <v>9.494791666666666E-2</v>
      </c>
      <c r="H1021" s="52">
        <v>804</v>
      </c>
      <c r="I1021" s="12">
        <f t="shared" si="378"/>
        <v>4.8123627301909101E-3</v>
      </c>
      <c r="J1021" s="37">
        <f t="shared" si="379"/>
        <v>4.9325000000000001</v>
      </c>
      <c r="K1021" s="37">
        <f>IF(J1021=0,0,IF(B1021="F",VLOOKUP(I1021,Barem!$G$2:$H$16,2,1),VLOOKUP(I1021,Barem!$G$17:$H$31,2,1)))</f>
        <v>1</v>
      </c>
      <c r="L1021" s="50">
        <v>3.75</v>
      </c>
      <c r="M1021" s="124" t="s">
        <v>106</v>
      </c>
      <c r="N1021" s="10">
        <f t="shared" si="383"/>
        <v>0.5</v>
      </c>
      <c r="O1021" s="10">
        <f t="shared" si="383"/>
        <v>0.25</v>
      </c>
      <c r="P1021" s="10">
        <f t="shared" si="383"/>
        <v>0.25</v>
      </c>
      <c r="Q1021" s="40">
        <f t="shared" si="380"/>
        <v>0.53600000000000003</v>
      </c>
      <c r="R1021" s="21">
        <f>IF(D1021&gt;21,VLOOKUP(D1021,Barem!$T$1:$U$141,2,1),0)</f>
        <v>0</v>
      </c>
      <c r="S1021" s="152">
        <f>IF(D1021&lt;1.609,0,IF(B1021="F",VLOOKUP(I1021,Barem!$X$2:$Z$13,2,1),VLOOKUP(I1021,Barem!$X$14:$Z$25,2,1)))</f>
        <v>0</v>
      </c>
      <c r="T1021" s="21">
        <f>VLOOKUP(A1021,Participanti!A:C,3,0)</f>
        <v>0</v>
      </c>
      <c r="U1021" s="18">
        <f t="shared" si="381"/>
        <v>4.1897500000000001</v>
      </c>
      <c r="V1021" s="58" t="s">
        <v>497</v>
      </c>
      <c r="W1021" s="77">
        <f t="shared" si="369"/>
        <v>1</v>
      </c>
      <c r="X1021" s="1" t="str">
        <f>VLOOKUP(A1021,Data_Echipe!A:R,18,0)</f>
        <v>The GOATs</v>
      </c>
      <c r="Z1021" s="115">
        <f t="shared" si="382"/>
        <v>1</v>
      </c>
    </row>
    <row r="1022" spans="1:26" x14ac:dyDescent="0.3">
      <c r="A1022" s="49" t="s">
        <v>137</v>
      </c>
      <c r="B1022" s="1" t="str">
        <f>VLOOKUP(A1022,Participanti!A:B,2,0)</f>
        <v>M</v>
      </c>
      <c r="C1022" s="74">
        <v>12</v>
      </c>
      <c r="D1022" s="50">
        <v>10.210000000000001</v>
      </c>
      <c r="E1022" s="51">
        <v>3.5196759259259254E-2</v>
      </c>
      <c r="F1022" s="51">
        <v>3.7685185185185183E-2</v>
      </c>
      <c r="G1022" s="69">
        <f t="shared" si="377"/>
        <v>3.6440972222222215E-2</v>
      </c>
      <c r="H1022" s="52"/>
      <c r="I1022" s="12">
        <f t="shared" si="378"/>
        <v>3.569145173577102E-3</v>
      </c>
      <c r="J1022" s="37">
        <f t="shared" si="379"/>
        <v>2.4309523809523812</v>
      </c>
      <c r="K1022" s="37">
        <f>IF(J1022=0,0,IF(B1022="F",VLOOKUP(I1022,Barem!$G$2:$H$16,2,1),VLOOKUP(I1022,Barem!$G$17:$H$31,2,1)))</f>
        <v>2.5</v>
      </c>
      <c r="L1022" s="50">
        <v>2.5</v>
      </c>
      <c r="M1022" s="124" t="s">
        <v>107</v>
      </c>
      <c r="N1022" s="10">
        <f t="shared" si="383"/>
        <v>0.25</v>
      </c>
      <c r="O1022" s="10">
        <f t="shared" si="383"/>
        <v>0.5</v>
      </c>
      <c r="P1022" s="10">
        <f t="shared" si="383"/>
        <v>0.25</v>
      </c>
      <c r="Q1022" s="40">
        <f t="shared" si="380"/>
        <v>0</v>
      </c>
      <c r="R1022" s="21">
        <f>IF(D1022&gt;21,VLOOKUP(D1022,Barem!$T$1:$U$141,2,1),0)</f>
        <v>0</v>
      </c>
      <c r="S1022" s="152">
        <f>IF(D1022&lt;1.609,0,IF(B1022="F",VLOOKUP(I1022,Barem!$X$2:$Z$13,2,1),VLOOKUP(I1022,Barem!$X$14:$Z$25,2,1)))</f>
        <v>0</v>
      </c>
      <c r="T1022" s="21">
        <f>VLOOKUP(A1022,Participanti!A:C,3,0)</f>
        <v>0</v>
      </c>
      <c r="U1022" s="18">
        <f t="shared" si="381"/>
        <v>2.4827380952380951</v>
      </c>
      <c r="V1022" s="58" t="s">
        <v>497</v>
      </c>
      <c r="W1022" s="77">
        <f t="shared" si="369"/>
        <v>1</v>
      </c>
      <c r="X1022" s="1" t="str">
        <f>VLOOKUP(A1022,Data_Echipe!A:R,18,0)</f>
        <v>The GOATs</v>
      </c>
      <c r="Z1022" s="115">
        <f t="shared" si="382"/>
        <v>1</v>
      </c>
    </row>
    <row r="1023" spans="1:26" x14ac:dyDescent="0.3">
      <c r="A1023" s="49" t="s">
        <v>125</v>
      </c>
      <c r="B1023" s="1" t="str">
        <f>VLOOKUP(A1023,Participanti!A:B,2,0)</f>
        <v>M</v>
      </c>
      <c r="C1023" s="74">
        <v>12</v>
      </c>
      <c r="D1023" s="50">
        <v>7.11</v>
      </c>
      <c r="E1023" s="51">
        <v>1.9178240740740742E-2</v>
      </c>
      <c r="F1023" s="51">
        <v>1.9178240740740742E-2</v>
      </c>
      <c r="G1023" s="69">
        <f t="shared" ref="G1023:G1033" si="384">AVERAGE(E1023:F1023)</f>
        <v>1.9178240740740742E-2</v>
      </c>
      <c r="H1023" s="52"/>
      <c r="I1023" s="12">
        <f t="shared" ref="I1023:I1033" si="385">G1023/D1023</f>
        <v>2.6973615669114966E-3</v>
      </c>
      <c r="J1023" s="37">
        <f t="shared" ref="J1023:J1033" si="386">IF(B1023="F",IF(D1023&lt;2.5,0,IF(D1023&gt;19.99,5,D1023/4)),IF(D1023&lt;3,0, IF(D1023&gt;20.99,5,D1023/4.2)))</f>
        <v>1.6928571428571428</v>
      </c>
      <c r="K1023" s="37">
        <f>IF(J1023=0,0,IF(B1023="F",VLOOKUP(I1023,Barem!$G$2:$H$16,2,1),VLOOKUP(I1023,Barem!$G$17:$H$31,2,1)))</f>
        <v>5</v>
      </c>
      <c r="L1023" s="50">
        <v>1.75</v>
      </c>
      <c r="M1023" s="124" t="s">
        <v>207</v>
      </c>
      <c r="N1023" s="10">
        <f t="shared" si="383"/>
        <v>0.25</v>
      </c>
      <c r="O1023" s="10">
        <f t="shared" si="383"/>
        <v>0.25</v>
      </c>
      <c r="P1023" s="10">
        <f t="shared" si="383"/>
        <v>0.5</v>
      </c>
      <c r="Q1023" s="40">
        <f t="shared" ref="Q1023:Q1033" si="387">IF(H1023&gt;49,H1023/1500,0)</f>
        <v>0</v>
      </c>
      <c r="R1023" s="21">
        <f>IF(D1023&gt;21,VLOOKUP(D1023,Barem!$T$1:$U$141,2,1),0)</f>
        <v>0</v>
      </c>
      <c r="S1023" s="152">
        <f>IF(D1023&lt;1.609,0,IF(B1023="F",VLOOKUP(I1023,Barem!$X$2:$Z$13,2,1),VLOOKUP(I1023,Barem!$X$14:$Z$25,2,1)))</f>
        <v>0.45000000000000007</v>
      </c>
      <c r="T1023" s="21">
        <f>VLOOKUP(A1023,Participanti!A:C,3,0)</f>
        <v>0</v>
      </c>
      <c r="U1023" s="18">
        <f t="shared" ref="U1023:U1033" si="388">IF(H1023&lt;0,0,J1023*N1023+K1023*O1023+L1023*P1023+Q1023+R1023+S1023+T1023)</f>
        <v>2.9982142857142859</v>
      </c>
      <c r="V1023" s="58" t="s">
        <v>497</v>
      </c>
      <c r="W1023" s="77">
        <f t="shared" si="369"/>
        <v>1</v>
      </c>
      <c r="X1023" s="1" t="str">
        <f>VLOOKUP(A1023,Data_Echipe!A:R,18,0)</f>
        <v>The GOATs</v>
      </c>
      <c r="Z1023" s="115">
        <f t="shared" ref="Z1023:Z1033" si="389">IF(K1023&gt;0,1,0)</f>
        <v>1</v>
      </c>
    </row>
    <row r="1024" spans="1:26" x14ac:dyDescent="0.3">
      <c r="A1024" s="49" t="s">
        <v>203</v>
      </c>
      <c r="B1024" s="1" t="str">
        <f>VLOOKUP(A1024,Participanti!A:B,2,0)</f>
        <v>M</v>
      </c>
      <c r="C1024" s="74">
        <v>12</v>
      </c>
      <c r="D1024" s="50">
        <v>8.01</v>
      </c>
      <c r="E1024" s="51">
        <v>2.4872685185185189E-2</v>
      </c>
      <c r="F1024" s="51">
        <v>2.4988425925925928E-2</v>
      </c>
      <c r="G1024" s="69">
        <f t="shared" si="384"/>
        <v>2.493055555555556E-2</v>
      </c>
      <c r="H1024" s="52"/>
      <c r="I1024" s="12">
        <f t="shared" si="385"/>
        <v>3.1124289083090586E-3</v>
      </c>
      <c r="J1024" s="37">
        <f t="shared" si="386"/>
        <v>1.907142857142857</v>
      </c>
      <c r="K1024" s="37">
        <f>IF(J1024=0,0,IF(B1024="F",VLOOKUP(I1024,Barem!$G$2:$H$16,2,1),VLOOKUP(I1024,Barem!$G$17:$H$31,2,1)))</f>
        <v>4</v>
      </c>
      <c r="L1024" s="50">
        <v>3.5</v>
      </c>
      <c r="M1024" s="124" t="s">
        <v>107</v>
      </c>
      <c r="N1024" s="10">
        <f t="shared" ref="N1024:P1039" si="390">IF($M1024=N$1,50%,25%)</f>
        <v>0.25</v>
      </c>
      <c r="O1024" s="10">
        <f t="shared" si="390"/>
        <v>0.5</v>
      </c>
      <c r="P1024" s="10">
        <f t="shared" si="390"/>
        <v>0.25</v>
      </c>
      <c r="Q1024" s="40">
        <f t="shared" si="387"/>
        <v>0</v>
      </c>
      <c r="R1024" s="21">
        <f>IF(D1024&gt;21,VLOOKUP(D1024,Barem!$T$1:$U$141,2,1),0)</f>
        <v>0</v>
      </c>
      <c r="S1024" s="152">
        <f>IF(D1024&lt;1.609,0,IF(B1024="F",VLOOKUP(I1024,Barem!$X$2:$Z$13,2,1),VLOOKUP(I1024,Barem!$X$14:$Z$25,2,1)))</f>
        <v>0</v>
      </c>
      <c r="T1024" s="21">
        <f>VLOOKUP(A1024,Participanti!A:C,3,0)</f>
        <v>0</v>
      </c>
      <c r="U1024" s="18">
        <f t="shared" si="388"/>
        <v>3.3517857142857141</v>
      </c>
      <c r="V1024" s="58" t="s">
        <v>497</v>
      </c>
      <c r="W1024" s="77">
        <f t="shared" si="369"/>
        <v>1</v>
      </c>
      <c r="X1024" s="1" t="str">
        <f>VLOOKUP(A1024,Data_Echipe!A:R,18,0)</f>
        <v>The GOATs</v>
      </c>
      <c r="Z1024" s="115">
        <f t="shared" si="389"/>
        <v>1</v>
      </c>
    </row>
    <row r="1025" spans="1:26" x14ac:dyDescent="0.3">
      <c r="A1025" s="49" t="s">
        <v>227</v>
      </c>
      <c r="B1025" s="1" t="str">
        <f>VLOOKUP(A1025,Participanti!A:B,2,0)</f>
        <v>M</v>
      </c>
      <c r="C1025" s="74">
        <v>12</v>
      </c>
      <c r="D1025" s="50">
        <v>21.32</v>
      </c>
      <c r="E1025" s="51">
        <v>6.1608796296296293E-2</v>
      </c>
      <c r="F1025" s="51">
        <v>6.1608796296296293E-2</v>
      </c>
      <c r="G1025" s="69">
        <f t="shared" si="384"/>
        <v>6.1608796296296293E-2</v>
      </c>
      <c r="H1025" s="52"/>
      <c r="I1025" s="12">
        <f t="shared" si="385"/>
        <v>2.8897184003891319E-3</v>
      </c>
      <c r="J1025" s="37">
        <f t="shared" si="386"/>
        <v>5</v>
      </c>
      <c r="K1025" s="37">
        <f>IF(J1025=0,0,IF(B1025="F",VLOOKUP(I1025,Barem!$G$2:$H$16,2,1),VLOOKUP(I1025,Barem!$G$17:$H$31,2,1)))</f>
        <v>4.5</v>
      </c>
      <c r="L1025" s="50">
        <v>4.25</v>
      </c>
      <c r="M1025" s="124" t="s">
        <v>107</v>
      </c>
      <c r="N1025" s="10">
        <f t="shared" si="390"/>
        <v>0.25</v>
      </c>
      <c r="O1025" s="10">
        <f t="shared" si="390"/>
        <v>0.5</v>
      </c>
      <c r="P1025" s="10">
        <f t="shared" si="390"/>
        <v>0.25</v>
      </c>
      <c r="Q1025" s="40">
        <f t="shared" si="387"/>
        <v>0</v>
      </c>
      <c r="R1025" s="21">
        <f>IF(D1025&gt;21,VLOOKUP(D1025,Barem!$T$1:$U$141,2,1),0)</f>
        <v>0</v>
      </c>
      <c r="S1025" s="152">
        <f>IF(D1025&lt;1.609,0,IF(B1025="F",VLOOKUP(I1025,Barem!$X$2:$Z$13,2,1),VLOOKUP(I1025,Barem!$X$14:$Z$25,2,1)))</f>
        <v>0</v>
      </c>
      <c r="T1025" s="21">
        <f>VLOOKUP(A1025,Participanti!A:C,3,0)</f>
        <v>0</v>
      </c>
      <c r="U1025" s="18">
        <f t="shared" si="388"/>
        <v>4.5625</v>
      </c>
      <c r="V1025" s="58" t="s">
        <v>497</v>
      </c>
      <c r="W1025" s="77">
        <f t="shared" si="369"/>
        <v>1</v>
      </c>
      <c r="X1025" s="1" t="str">
        <f>VLOOKUP(A1025,Data_Echipe!A:R,18,0)</f>
        <v>UltraHaita lu' Borcan</v>
      </c>
      <c r="Z1025" s="115">
        <f t="shared" si="389"/>
        <v>1</v>
      </c>
    </row>
    <row r="1026" spans="1:26" x14ac:dyDescent="0.3">
      <c r="A1026" s="49" t="s">
        <v>331</v>
      </c>
      <c r="B1026" s="1" t="str">
        <f>VLOOKUP(A1026,Participanti!A:B,2,0)</f>
        <v>F</v>
      </c>
      <c r="C1026" s="74">
        <v>12</v>
      </c>
      <c r="D1026" s="50">
        <v>15.01</v>
      </c>
      <c r="E1026" s="51">
        <v>6.4629629629629634E-2</v>
      </c>
      <c r="F1026" s="51">
        <v>6.7986111111111108E-2</v>
      </c>
      <c r="G1026" s="69">
        <f t="shared" si="384"/>
        <v>6.6307870370370364E-2</v>
      </c>
      <c r="H1026" s="52">
        <v>83</v>
      </c>
      <c r="I1026" s="12">
        <f t="shared" si="385"/>
        <v>4.4175796382658469E-3</v>
      </c>
      <c r="J1026" s="37">
        <f t="shared" si="386"/>
        <v>3.7524999999999999</v>
      </c>
      <c r="K1026" s="37">
        <f>IF(J1026=0,0,IF(B1026="F",VLOOKUP(I1026,Barem!$G$2:$H$16,2,1),VLOOKUP(I1026,Barem!$G$17:$H$31,2,1)))</f>
        <v>1.5</v>
      </c>
      <c r="L1026" s="50">
        <v>3.25</v>
      </c>
      <c r="M1026" s="124" t="s">
        <v>207</v>
      </c>
      <c r="N1026" s="10">
        <f t="shared" si="390"/>
        <v>0.25</v>
      </c>
      <c r="O1026" s="10">
        <f t="shared" si="390"/>
        <v>0.25</v>
      </c>
      <c r="P1026" s="10">
        <f t="shared" si="390"/>
        <v>0.5</v>
      </c>
      <c r="Q1026" s="40">
        <f t="shared" si="387"/>
        <v>5.5333333333333332E-2</v>
      </c>
      <c r="R1026" s="21">
        <f>IF(D1026&gt;21,VLOOKUP(D1026,Barem!$T$1:$U$141,2,1),0)</f>
        <v>0</v>
      </c>
      <c r="S1026" s="152">
        <f>IF(D1026&lt;1.609,0,IF(B1026="F",VLOOKUP(I1026,Barem!$X$2:$Z$13,2,1),VLOOKUP(I1026,Barem!$X$14:$Z$25,2,1)))</f>
        <v>0</v>
      </c>
      <c r="T1026" s="21">
        <f>VLOOKUP(A1026,Participanti!A:C,3,0)</f>
        <v>0</v>
      </c>
      <c r="U1026" s="18">
        <f t="shared" si="388"/>
        <v>2.9934583333333333</v>
      </c>
      <c r="V1026" s="58" t="s">
        <v>497</v>
      </c>
      <c r="W1026" s="77">
        <f t="shared" ref="W1026:W1089" si="391">COUNTIFS(A:A,A1026,C:C,C1026)</f>
        <v>1</v>
      </c>
      <c r="X1026" s="1" t="str">
        <f>VLOOKUP(A1026,Data_Echipe!A:R,18,0)</f>
        <v>MedgidiaRunning</v>
      </c>
      <c r="Z1026" s="115">
        <f t="shared" si="389"/>
        <v>1</v>
      </c>
    </row>
    <row r="1027" spans="1:26" x14ac:dyDescent="0.3">
      <c r="A1027" s="49" t="s">
        <v>114</v>
      </c>
      <c r="B1027" s="1" t="str">
        <f>VLOOKUP(A1027,Participanti!A:B,2,0)</f>
        <v>M</v>
      </c>
      <c r="C1027" s="74">
        <v>12</v>
      </c>
      <c r="D1027" s="50">
        <v>3.68</v>
      </c>
      <c r="E1027" s="51">
        <v>1.1724537037037035E-2</v>
      </c>
      <c r="F1027" s="51">
        <v>1.2372685185185186E-2</v>
      </c>
      <c r="G1027" s="69">
        <f t="shared" si="384"/>
        <v>1.2048611111111111E-2</v>
      </c>
      <c r="H1027" s="52"/>
      <c r="I1027" s="12">
        <f t="shared" si="385"/>
        <v>3.274079106280193E-3</v>
      </c>
      <c r="J1027" s="37">
        <f t="shared" si="386"/>
        <v>0.87619047619047619</v>
      </c>
      <c r="K1027" s="37">
        <f>IF(J1027=0,0,IF(B1027="F",VLOOKUP(I1027,Barem!$G$2:$H$16,2,1),VLOOKUP(I1027,Barem!$G$17:$H$31,2,1)))</f>
        <v>3.5</v>
      </c>
      <c r="L1027" s="50">
        <v>2.75</v>
      </c>
      <c r="M1027" s="124" t="s">
        <v>107</v>
      </c>
      <c r="N1027" s="10">
        <f t="shared" si="390"/>
        <v>0.25</v>
      </c>
      <c r="O1027" s="10">
        <f t="shared" si="390"/>
        <v>0.5</v>
      </c>
      <c r="P1027" s="10">
        <f t="shared" si="390"/>
        <v>0.25</v>
      </c>
      <c r="Q1027" s="40">
        <f t="shared" si="387"/>
        <v>0</v>
      </c>
      <c r="R1027" s="21">
        <f>IF(D1027&gt;21,VLOOKUP(D1027,Barem!$T$1:$U$141,2,1),0)</f>
        <v>0</v>
      </c>
      <c r="S1027" s="152">
        <f>IF(D1027&lt;1.609,0,IF(B1027="F",VLOOKUP(I1027,Barem!$X$2:$Z$13,2,1),VLOOKUP(I1027,Barem!$X$14:$Z$25,2,1)))</f>
        <v>0</v>
      </c>
      <c r="T1027" s="21">
        <f>VLOOKUP(A1027,Participanti!A:C,3,0)</f>
        <v>0</v>
      </c>
      <c r="U1027" s="18">
        <f t="shared" si="388"/>
        <v>2.6565476190476192</v>
      </c>
      <c r="V1027" s="58" t="s">
        <v>497</v>
      </c>
      <c r="W1027" s="77">
        <f t="shared" si="391"/>
        <v>1</v>
      </c>
      <c r="X1027" s="1" t="str">
        <f>VLOOKUP(A1027,Data_Echipe!A:R,18,0)</f>
        <v>#notSYRious</v>
      </c>
      <c r="Z1027" s="115">
        <f t="shared" si="389"/>
        <v>1</v>
      </c>
    </row>
    <row r="1028" spans="1:26" x14ac:dyDescent="0.3">
      <c r="A1028" s="49" t="s">
        <v>248</v>
      </c>
      <c r="B1028" s="1" t="str">
        <f>VLOOKUP(A1028,Participanti!A:B,2,0)</f>
        <v>M</v>
      </c>
      <c r="C1028" s="74">
        <v>12</v>
      </c>
      <c r="D1028" s="50">
        <v>152.35</v>
      </c>
      <c r="E1028" s="51">
        <v>0.82527777777777767</v>
      </c>
      <c r="F1028" s="51">
        <v>0.95940972222222232</v>
      </c>
      <c r="G1028" s="69">
        <f t="shared" si="384"/>
        <v>0.89234374999999999</v>
      </c>
      <c r="H1028" s="52">
        <v>1079</v>
      </c>
      <c r="I1028" s="12">
        <f t="shared" si="385"/>
        <v>5.8571956022317037E-3</v>
      </c>
      <c r="J1028" s="37">
        <f t="shared" si="386"/>
        <v>5</v>
      </c>
      <c r="K1028" s="37">
        <f>IF(J1028=0,0,IF(B1028="F",VLOOKUP(I1028,Barem!$G$2:$H$16,2,1),VLOOKUP(I1028,Barem!$G$17:$H$31,2,1)))</f>
        <v>0</v>
      </c>
      <c r="L1028" s="50">
        <v>4</v>
      </c>
      <c r="M1028" s="124" t="s">
        <v>106</v>
      </c>
      <c r="N1028" s="10">
        <f t="shared" si="390"/>
        <v>0.5</v>
      </c>
      <c r="O1028" s="10">
        <f t="shared" si="390"/>
        <v>0.25</v>
      </c>
      <c r="P1028" s="10">
        <f t="shared" si="390"/>
        <v>0.25</v>
      </c>
      <c r="Q1028" s="40">
        <f t="shared" si="387"/>
        <v>0.71933333333333338</v>
      </c>
      <c r="R1028" s="21">
        <f>IF(D1028&gt;21,VLOOKUP(D1028,Barem!$T$1:$U$141,2,1),0)</f>
        <v>5.2</v>
      </c>
      <c r="S1028" s="152">
        <f>IF(D1028&lt;1.609,0,IF(B1028="F",VLOOKUP(I1028,Barem!$X$2:$Z$13,2,1),VLOOKUP(I1028,Barem!$X$14:$Z$25,2,1)))</f>
        <v>0</v>
      </c>
      <c r="T1028" s="21">
        <f>VLOOKUP(A1028,Participanti!A:C,3,0)</f>
        <v>0</v>
      </c>
      <c r="U1028" s="18">
        <f t="shared" si="388"/>
        <v>9.4193333333333342</v>
      </c>
      <c r="V1028" s="58" t="s">
        <v>497</v>
      </c>
      <c r="W1028" s="77">
        <f t="shared" si="391"/>
        <v>1</v>
      </c>
      <c r="X1028" s="1" t="str">
        <f>VLOOKUP(A1028,Data_Echipe!A:R,18,0)</f>
        <v>Almost Kenyan Runners</v>
      </c>
      <c r="Z1028" s="115">
        <f t="shared" si="389"/>
        <v>0</v>
      </c>
    </row>
    <row r="1029" spans="1:26" x14ac:dyDescent="0.3">
      <c r="A1029" s="49" t="s">
        <v>378</v>
      </c>
      <c r="B1029" s="1" t="str">
        <f>VLOOKUP(A1029,Participanti!A:B,2,0)</f>
        <v>F</v>
      </c>
      <c r="C1029" s="74">
        <v>12</v>
      </c>
      <c r="D1029" s="50">
        <v>18.010000000000002</v>
      </c>
      <c r="E1029" s="51">
        <v>6.8842592592592594E-2</v>
      </c>
      <c r="F1029" s="51">
        <v>6.9004629629629624E-2</v>
      </c>
      <c r="G1029" s="69">
        <f t="shared" si="384"/>
        <v>6.8923611111111116E-2</v>
      </c>
      <c r="H1029" s="52">
        <v>71</v>
      </c>
      <c r="I1029" s="12">
        <f t="shared" si="385"/>
        <v>3.8269634153865134E-3</v>
      </c>
      <c r="J1029" s="37">
        <f t="shared" si="386"/>
        <v>4.5025000000000004</v>
      </c>
      <c r="K1029" s="37">
        <f>IF(J1029=0,0,IF(B1029="F",VLOOKUP(I1029,Barem!$G$2:$H$16,2,1),VLOOKUP(I1029,Barem!$G$17:$H$31,2,1)))</f>
        <v>3</v>
      </c>
      <c r="L1029" s="50">
        <v>3</v>
      </c>
      <c r="M1029" s="124" t="s">
        <v>207</v>
      </c>
      <c r="N1029" s="10">
        <f t="shared" si="390"/>
        <v>0.25</v>
      </c>
      <c r="O1029" s="10">
        <f t="shared" si="390"/>
        <v>0.25</v>
      </c>
      <c r="P1029" s="10">
        <f t="shared" si="390"/>
        <v>0.5</v>
      </c>
      <c r="Q1029" s="40">
        <f t="shared" si="387"/>
        <v>4.7333333333333331E-2</v>
      </c>
      <c r="R1029" s="21">
        <f>IF(D1029&gt;21,VLOOKUP(D1029,Barem!$T$1:$U$141,2,1),0)</f>
        <v>0</v>
      </c>
      <c r="S1029" s="152">
        <f>IF(D1029&lt;1.609,0,IF(B1029="F",VLOOKUP(I1029,Barem!$X$2:$Z$13,2,1),VLOOKUP(I1029,Barem!$X$14:$Z$25,2,1)))</f>
        <v>0</v>
      </c>
      <c r="T1029" s="21">
        <f>VLOOKUP(A1029,Participanti!A:C,3,0)</f>
        <v>0</v>
      </c>
      <c r="U1029" s="18">
        <f t="shared" si="388"/>
        <v>3.4229583333333338</v>
      </c>
      <c r="V1029" s="58" t="s">
        <v>497</v>
      </c>
      <c r="W1029" s="77">
        <f t="shared" si="391"/>
        <v>1</v>
      </c>
      <c r="X1029" s="1" t="str">
        <f>VLOOKUP(A1029,Data_Echipe!A:R,18,0)</f>
        <v>MedgidiaRunning</v>
      </c>
      <c r="Z1029" s="115">
        <f t="shared" si="389"/>
        <v>1</v>
      </c>
    </row>
    <row r="1030" spans="1:26" x14ac:dyDescent="0.3">
      <c r="A1030" s="49" t="s">
        <v>78</v>
      </c>
      <c r="B1030" s="1" t="str">
        <f>VLOOKUP(A1030,Participanti!A:B,2,0)</f>
        <v>M</v>
      </c>
      <c r="C1030" s="74">
        <v>12</v>
      </c>
      <c r="D1030" s="50">
        <v>108</v>
      </c>
      <c r="E1030" s="51">
        <v>0.83263888888888893</v>
      </c>
      <c r="F1030" s="51">
        <v>0.98800925925925931</v>
      </c>
      <c r="G1030" s="69">
        <f t="shared" si="384"/>
        <v>0.91032407407407412</v>
      </c>
      <c r="H1030" s="52">
        <v>937</v>
      </c>
      <c r="I1030" s="12">
        <f t="shared" si="385"/>
        <v>8.4289266117969826E-3</v>
      </c>
      <c r="J1030" s="37">
        <f t="shared" si="386"/>
        <v>5</v>
      </c>
      <c r="K1030" s="37">
        <f>IF(J1030=0,0,IF(B1030="F",VLOOKUP(I1030,Barem!$G$2:$H$16,2,1),VLOOKUP(I1030,Barem!$G$17:$H$31,2,1)))</f>
        <v>0</v>
      </c>
      <c r="L1030" s="50">
        <v>3.5</v>
      </c>
      <c r="M1030" s="124" t="s">
        <v>106</v>
      </c>
      <c r="N1030" s="10">
        <f t="shared" si="390"/>
        <v>0.5</v>
      </c>
      <c r="O1030" s="10">
        <f t="shared" si="390"/>
        <v>0.25</v>
      </c>
      <c r="P1030" s="10">
        <f t="shared" si="390"/>
        <v>0.25</v>
      </c>
      <c r="Q1030" s="40">
        <f t="shared" si="387"/>
        <v>0.6246666666666667</v>
      </c>
      <c r="R1030" s="21">
        <f>IF(D1030&gt;21,VLOOKUP(D1030,Barem!$T$1:$U$141,2,1),0)</f>
        <v>4.0999999999999996</v>
      </c>
      <c r="S1030" s="152">
        <f>IF(D1030&lt;1.609,0,IF(B1030="F",VLOOKUP(I1030,Barem!$X$2:$Z$13,2,1),VLOOKUP(I1030,Barem!$X$14:$Z$25,2,1)))</f>
        <v>0</v>
      </c>
      <c r="T1030" s="21">
        <f>VLOOKUP(A1030,Participanti!A:C,3,0)</f>
        <v>0.4</v>
      </c>
      <c r="U1030" s="18">
        <f t="shared" si="388"/>
        <v>8.4996666666666663</v>
      </c>
      <c r="V1030" s="58" t="s">
        <v>497</v>
      </c>
      <c r="W1030" s="77">
        <f t="shared" si="391"/>
        <v>1</v>
      </c>
      <c r="X1030" s="1" t="str">
        <f>VLOOKUP(A1030,Data_Echipe!A:R,18,0)</f>
        <v>Almost Kenyan Runners</v>
      </c>
      <c r="Z1030" s="115">
        <f t="shared" si="389"/>
        <v>0</v>
      </c>
    </row>
    <row r="1031" spans="1:26" x14ac:dyDescent="0.3">
      <c r="A1031" s="49" t="s">
        <v>51</v>
      </c>
      <c r="B1031" s="1" t="str">
        <f>VLOOKUP(A1031,Participanti!A:B,2,0)</f>
        <v>M</v>
      </c>
      <c r="C1031" s="74">
        <v>12</v>
      </c>
      <c r="D1031" s="50">
        <v>11.01</v>
      </c>
      <c r="E1031" s="51">
        <v>2.9409722222222223E-2</v>
      </c>
      <c r="F1031" s="51">
        <v>2.9409722222222223E-2</v>
      </c>
      <c r="G1031" s="69">
        <f t="shared" si="384"/>
        <v>2.9409722222222223E-2</v>
      </c>
      <c r="H1031" s="52"/>
      <c r="I1031" s="12">
        <f t="shared" si="385"/>
        <v>2.6711827631446159E-3</v>
      </c>
      <c r="J1031" s="37">
        <f t="shared" si="386"/>
        <v>2.6214285714285714</v>
      </c>
      <c r="K1031" s="37">
        <f>IF(J1031=0,0,IF(B1031="F",VLOOKUP(I1031,Barem!$G$2:$H$16,2,1),VLOOKUP(I1031,Barem!$G$17:$H$31,2,1)))</f>
        <v>5</v>
      </c>
      <c r="L1031" s="50">
        <v>3.25</v>
      </c>
      <c r="M1031" s="124" t="s">
        <v>107</v>
      </c>
      <c r="N1031" s="10">
        <f t="shared" si="390"/>
        <v>0.25</v>
      </c>
      <c r="O1031" s="10">
        <f t="shared" si="390"/>
        <v>0.5</v>
      </c>
      <c r="P1031" s="10">
        <f t="shared" si="390"/>
        <v>0.25</v>
      </c>
      <c r="Q1031" s="40">
        <f t="shared" si="387"/>
        <v>0</v>
      </c>
      <c r="R1031" s="21">
        <f>IF(D1031&gt;21,VLOOKUP(D1031,Barem!$T$1:$U$141,2,1),0)</f>
        <v>0</v>
      </c>
      <c r="S1031" s="152">
        <f>IF(D1031&lt;1.609,0,IF(B1031="F",VLOOKUP(I1031,Barem!$X$2:$Z$13,2,1),VLOOKUP(I1031,Barem!$X$14:$Z$25,2,1)))</f>
        <v>0.89999999999999991</v>
      </c>
      <c r="T1031" s="21">
        <f>VLOOKUP(A1031,Participanti!A:C,3,0)</f>
        <v>0</v>
      </c>
      <c r="U1031" s="18">
        <f t="shared" si="388"/>
        <v>4.8678571428571429</v>
      </c>
      <c r="V1031" s="58" t="s">
        <v>497</v>
      </c>
      <c r="W1031" s="77">
        <f t="shared" si="391"/>
        <v>1</v>
      </c>
      <c r="X1031" s="1" t="str">
        <f>VLOOKUP(A1031,Data_Echipe!A:R,18,0)</f>
        <v>The GOATs</v>
      </c>
      <c r="Z1031" s="115">
        <f t="shared" si="389"/>
        <v>1</v>
      </c>
    </row>
    <row r="1032" spans="1:26" x14ac:dyDescent="0.3">
      <c r="A1032" s="49" t="s">
        <v>376</v>
      </c>
      <c r="B1032" s="1" t="str">
        <f>VLOOKUP(A1032,Participanti!A:B,2,0)</f>
        <v>M</v>
      </c>
      <c r="C1032" s="74">
        <v>12</v>
      </c>
      <c r="D1032" s="50">
        <v>41.15</v>
      </c>
      <c r="E1032" s="51">
        <v>0.14583333333333334</v>
      </c>
      <c r="F1032" s="51">
        <v>0.15153935185185186</v>
      </c>
      <c r="G1032" s="69">
        <f t="shared" si="384"/>
        <v>0.14868634259259261</v>
      </c>
      <c r="H1032" s="52">
        <v>1356</v>
      </c>
      <c r="I1032" s="12">
        <f t="shared" si="385"/>
        <v>3.613276855227038E-3</v>
      </c>
      <c r="J1032" s="37">
        <f t="shared" si="386"/>
        <v>5</v>
      </c>
      <c r="K1032" s="37">
        <f>IF(J1032=0,0,IF(B1032="F",VLOOKUP(I1032,Barem!$G$2:$H$16,2,1),VLOOKUP(I1032,Barem!$G$17:$H$31,2,1)))</f>
        <v>2.5</v>
      </c>
      <c r="L1032" s="50">
        <v>2.5</v>
      </c>
      <c r="M1032" s="124" t="s">
        <v>207</v>
      </c>
      <c r="N1032" s="10">
        <f t="shared" si="390"/>
        <v>0.25</v>
      </c>
      <c r="O1032" s="10">
        <f t="shared" si="390"/>
        <v>0.25</v>
      </c>
      <c r="P1032" s="10">
        <f t="shared" si="390"/>
        <v>0.5</v>
      </c>
      <c r="Q1032" s="40">
        <f t="shared" si="387"/>
        <v>0.90400000000000003</v>
      </c>
      <c r="R1032" s="21">
        <f>IF(D1032&gt;21,VLOOKUP(D1032,Barem!$T$1:$U$141,2,1),0)</f>
        <v>1</v>
      </c>
      <c r="S1032" s="152">
        <f>IF(D1032&lt;1.609,0,IF(B1032="F",VLOOKUP(I1032,Barem!$X$2:$Z$13,2,1),VLOOKUP(I1032,Barem!$X$14:$Z$25,2,1)))</f>
        <v>0</v>
      </c>
      <c r="T1032" s="21">
        <f>VLOOKUP(A1032,Participanti!A:C,3,0)</f>
        <v>0</v>
      </c>
      <c r="U1032" s="18">
        <f t="shared" si="388"/>
        <v>5.0289999999999999</v>
      </c>
      <c r="V1032" s="58" t="s">
        <v>497</v>
      </c>
      <c r="W1032" s="77">
        <f t="shared" si="391"/>
        <v>1</v>
      </c>
      <c r="X1032" s="1" t="e">
        <f>VLOOKUP(A1032,Data_Echipe!A:R,18,0)</f>
        <v>#N/A</v>
      </c>
      <c r="Z1032" s="115">
        <f t="shared" si="389"/>
        <v>1</v>
      </c>
    </row>
    <row r="1033" spans="1:26" x14ac:dyDescent="0.3">
      <c r="A1033" s="49" t="s">
        <v>403</v>
      </c>
      <c r="B1033" s="1" t="str">
        <f>VLOOKUP(A1033,Participanti!A:B,2,0)</f>
        <v>M</v>
      </c>
      <c r="C1033" s="74">
        <v>12</v>
      </c>
      <c r="D1033" s="50">
        <v>20.22</v>
      </c>
      <c r="E1033" s="51">
        <v>8.44212962962963E-2</v>
      </c>
      <c r="F1033" s="51">
        <v>8.516203703703705E-2</v>
      </c>
      <c r="G1033" s="69">
        <f t="shared" si="384"/>
        <v>8.4791666666666682E-2</v>
      </c>
      <c r="H1033" s="52"/>
      <c r="I1033" s="12">
        <f t="shared" si="385"/>
        <v>4.1934553247609634E-3</v>
      </c>
      <c r="J1033" s="37">
        <f t="shared" si="386"/>
        <v>4.8142857142857141</v>
      </c>
      <c r="K1033" s="37">
        <f>IF(J1033=0,0,IF(B1033="F",VLOOKUP(I1033,Barem!$G$2:$H$16,2,1),VLOOKUP(I1033,Barem!$G$17:$H$31,2,1)))</f>
        <v>1.25</v>
      </c>
      <c r="L1033" s="50">
        <v>1.25</v>
      </c>
      <c r="M1033" s="124" t="s">
        <v>207</v>
      </c>
      <c r="N1033" s="10">
        <f t="shared" si="390"/>
        <v>0.25</v>
      </c>
      <c r="O1033" s="10">
        <f t="shared" si="390"/>
        <v>0.25</v>
      </c>
      <c r="P1033" s="10">
        <f t="shared" si="390"/>
        <v>0.5</v>
      </c>
      <c r="Q1033" s="40">
        <f t="shared" si="387"/>
        <v>0</v>
      </c>
      <c r="R1033" s="21">
        <f>IF(D1033&gt;21,VLOOKUP(D1033,Barem!$T$1:$U$141,2,1),0)</f>
        <v>0</v>
      </c>
      <c r="S1033" s="152">
        <f>IF(D1033&lt;1.609,0,IF(B1033="F",VLOOKUP(I1033,Barem!$X$2:$Z$13,2,1),VLOOKUP(I1033,Barem!$X$14:$Z$25,2,1)))</f>
        <v>0</v>
      </c>
      <c r="T1033" s="21">
        <f>VLOOKUP(A1033,Participanti!A:C,3,0)</f>
        <v>0</v>
      </c>
      <c r="U1033" s="18">
        <f t="shared" si="388"/>
        <v>2.1410714285714283</v>
      </c>
      <c r="V1033" s="58" t="s">
        <v>497</v>
      </c>
      <c r="W1033" s="77">
        <f t="shared" si="391"/>
        <v>1</v>
      </c>
      <c r="X1033" s="1" t="str">
        <f>VLOOKUP(A1033,Data_Echipe!A:R,18,0)</f>
        <v>The GOATs</v>
      </c>
      <c r="Z1033" s="115">
        <f t="shared" si="389"/>
        <v>1</v>
      </c>
    </row>
    <row r="1034" spans="1:26" x14ac:dyDescent="0.3">
      <c r="A1034" s="49" t="s">
        <v>354</v>
      </c>
      <c r="B1034" s="1" t="str">
        <f>VLOOKUP(A1034,Participanti!A:B,2,0)</f>
        <v>M</v>
      </c>
      <c r="C1034" s="74">
        <v>12</v>
      </c>
      <c r="D1034" s="50">
        <v>11.23</v>
      </c>
      <c r="E1034" s="51">
        <v>6.7754629629629637E-2</v>
      </c>
      <c r="F1034" s="51">
        <v>7.228009259259259E-2</v>
      </c>
      <c r="G1034" s="69">
        <f t="shared" ref="G1034:G1036" si="392">AVERAGE(E1034:F1034)</f>
        <v>7.001736111111112E-2</v>
      </c>
      <c r="H1034" s="52">
        <v>647</v>
      </c>
      <c r="I1034" s="12">
        <f t="shared" ref="I1034:I1036" si="393">G1034/D1034</f>
        <v>6.234849609181756E-3</v>
      </c>
      <c r="J1034" s="37">
        <f t="shared" ref="J1034:J1036" si="394">IF(B1034="F",IF(D1034&lt;2.5,0,IF(D1034&gt;19.99,5,D1034/4)),IF(D1034&lt;3,0, IF(D1034&gt;20.99,5,D1034/4.2)))</f>
        <v>2.6738095238095236</v>
      </c>
      <c r="K1034" s="37">
        <f>IF(J1034=0,0,IF(B1034="F",VLOOKUP(I1034,Barem!$G$2:$H$16,2,1),VLOOKUP(I1034,Barem!$G$17:$H$31,2,1)))</f>
        <v>0</v>
      </c>
      <c r="L1034" s="50">
        <v>0</v>
      </c>
      <c r="M1034" s="124" t="s">
        <v>207</v>
      </c>
      <c r="N1034" s="10">
        <f t="shared" si="390"/>
        <v>0.25</v>
      </c>
      <c r="O1034" s="10">
        <f t="shared" si="390"/>
        <v>0.25</v>
      </c>
      <c r="P1034" s="10">
        <f t="shared" si="390"/>
        <v>0.5</v>
      </c>
      <c r="Q1034" s="40">
        <f t="shared" ref="Q1034:Q1036" si="395">IF(H1034&gt;49,H1034/1500,0)</f>
        <v>0.43133333333333335</v>
      </c>
      <c r="R1034" s="21">
        <f>IF(D1034&gt;21,VLOOKUP(D1034,Barem!$T$1:$U$141,2,1),0)</f>
        <v>0</v>
      </c>
      <c r="S1034" s="152">
        <f>IF(D1034&lt;1.609,0,IF(B1034="F",VLOOKUP(I1034,Barem!$X$2:$Z$13,2,1),VLOOKUP(I1034,Barem!$X$14:$Z$25,2,1)))</f>
        <v>0</v>
      </c>
      <c r="T1034" s="21">
        <f>VLOOKUP(A1034,Participanti!A:C,3,0)</f>
        <v>0</v>
      </c>
      <c r="U1034" s="18">
        <f t="shared" ref="U1034:U1036" si="396">IF(H1034&lt;0,0,J1034*N1034+K1034*O1034+L1034*P1034+Q1034+R1034+S1034+T1034)</f>
        <v>1.0997857142857144</v>
      </c>
      <c r="V1034" s="58" t="s">
        <v>497</v>
      </c>
      <c r="W1034" s="77">
        <f t="shared" si="391"/>
        <v>1</v>
      </c>
      <c r="X1034" s="1" t="e">
        <f>VLOOKUP(A1034,Data_Echipe!A:R,18,0)</f>
        <v>#N/A</v>
      </c>
      <c r="Z1034" s="115">
        <f t="shared" ref="Z1034:Z1036" si="397">IF(K1034&gt;0,1,0)</f>
        <v>0</v>
      </c>
    </row>
    <row r="1035" spans="1:26" x14ac:dyDescent="0.3">
      <c r="A1035" s="49" t="s">
        <v>406</v>
      </c>
      <c r="B1035" s="1" t="str">
        <f>VLOOKUP(A1035,Participanti!A:B,2,0)</f>
        <v>M</v>
      </c>
      <c r="C1035" s="74">
        <v>13</v>
      </c>
      <c r="D1035" s="50">
        <v>10.01</v>
      </c>
      <c r="E1035" s="51">
        <v>5.5185185185185191E-2</v>
      </c>
      <c r="F1035" s="51">
        <v>6.1099537037037042E-2</v>
      </c>
      <c r="G1035" s="69">
        <f t="shared" si="392"/>
        <v>5.8142361111111117E-2</v>
      </c>
      <c r="H1035" s="52">
        <v>388</v>
      </c>
      <c r="I1035" s="12">
        <f t="shared" si="393"/>
        <v>5.8084276834276839E-3</v>
      </c>
      <c r="J1035" s="37">
        <f t="shared" si="394"/>
        <v>2.3833333333333333</v>
      </c>
      <c r="K1035" s="37">
        <f>IF(J1035=0,0,IF(B1035="F",VLOOKUP(I1035,Barem!$G$2:$H$16,2,1),VLOOKUP(I1035,Barem!$G$17:$H$31,2,1)))</f>
        <v>0</v>
      </c>
      <c r="L1035" s="50">
        <v>2.75</v>
      </c>
      <c r="M1035" s="124" t="s">
        <v>106</v>
      </c>
      <c r="N1035" s="10">
        <f t="shared" si="390"/>
        <v>0.5</v>
      </c>
      <c r="O1035" s="10">
        <f t="shared" si="390"/>
        <v>0.25</v>
      </c>
      <c r="P1035" s="10">
        <f t="shared" si="390"/>
        <v>0.25</v>
      </c>
      <c r="Q1035" s="40">
        <f t="shared" si="395"/>
        <v>0.25866666666666666</v>
      </c>
      <c r="R1035" s="21">
        <f>IF(D1035&gt;21,VLOOKUP(D1035,Barem!$T$1:$U$141,2,1),0)</f>
        <v>0</v>
      </c>
      <c r="S1035" s="152">
        <f>IF(D1035&lt;1.609,0,IF(B1035="F",VLOOKUP(I1035,Barem!$X$2:$Z$13,2,1),VLOOKUP(I1035,Barem!$X$14:$Z$25,2,1)))</f>
        <v>0</v>
      </c>
      <c r="T1035" s="21">
        <f>VLOOKUP(A1035,Participanti!A:C,3,0)</f>
        <v>0</v>
      </c>
      <c r="U1035" s="18">
        <f t="shared" si="396"/>
        <v>2.1378333333333335</v>
      </c>
      <c r="V1035" s="58" t="s">
        <v>499</v>
      </c>
      <c r="W1035" s="77">
        <f t="shared" si="391"/>
        <v>1</v>
      </c>
      <c r="X1035" s="1" t="e">
        <f>VLOOKUP(A1035,Data_Echipe!A:R,18,0)</f>
        <v>#N/A</v>
      </c>
      <c r="Z1035" s="115">
        <f t="shared" si="397"/>
        <v>0</v>
      </c>
    </row>
    <row r="1036" spans="1:26" x14ac:dyDescent="0.3">
      <c r="A1036" s="49" t="s">
        <v>361</v>
      </c>
      <c r="B1036" s="1" t="str">
        <f>VLOOKUP(A1036,Participanti!A:B,2,0)</f>
        <v>M</v>
      </c>
      <c r="C1036" s="74">
        <v>12</v>
      </c>
      <c r="D1036" s="50">
        <v>245.61</v>
      </c>
      <c r="E1036" s="51">
        <v>0.98474537037037047</v>
      </c>
      <c r="F1036" s="51">
        <v>1</v>
      </c>
      <c r="G1036" s="69">
        <f t="shared" si="392"/>
        <v>0.99237268518518529</v>
      </c>
      <c r="H1036" s="52">
        <v>566</v>
      </c>
      <c r="I1036" s="12">
        <f t="shared" si="393"/>
        <v>4.0404408826398971E-3</v>
      </c>
      <c r="J1036" s="37">
        <f t="shared" si="394"/>
        <v>5</v>
      </c>
      <c r="K1036" s="37">
        <f>IF(J1036=0,0,IF(B1036="F",VLOOKUP(I1036,Barem!$G$2:$H$16,2,1),VLOOKUP(I1036,Barem!$G$17:$H$31,2,1)))</f>
        <v>1.5</v>
      </c>
      <c r="L1036" s="50">
        <v>4.5</v>
      </c>
      <c r="M1036" s="124" t="s">
        <v>207</v>
      </c>
      <c r="N1036" s="10">
        <f t="shared" si="390"/>
        <v>0.25</v>
      </c>
      <c r="O1036" s="10">
        <f t="shared" si="390"/>
        <v>0.25</v>
      </c>
      <c r="P1036" s="10">
        <f t="shared" si="390"/>
        <v>0.5</v>
      </c>
      <c r="Q1036" s="40">
        <f t="shared" si="395"/>
        <v>0.37733333333333335</v>
      </c>
      <c r="R1036" s="21">
        <f>IF(D1036&gt;21,VLOOKUP(D1036,Barem!$T$1:$U$141,2,1),0)</f>
        <v>6.9</v>
      </c>
      <c r="S1036" s="152">
        <f>IF(D1036&lt;1.609,0,IF(B1036="F",VLOOKUP(I1036,Barem!$X$2:$Z$13,2,1),VLOOKUP(I1036,Barem!$X$14:$Z$25,2,1)))</f>
        <v>0</v>
      </c>
      <c r="T1036" s="21">
        <f>VLOOKUP(A1036,Participanti!A:C,3,0)</f>
        <v>0</v>
      </c>
      <c r="U1036" s="18">
        <f t="shared" si="396"/>
        <v>11.152333333333335</v>
      </c>
      <c r="V1036" s="58" t="s">
        <v>499</v>
      </c>
      <c r="W1036" s="77">
        <f t="shared" si="391"/>
        <v>1</v>
      </c>
      <c r="X1036" s="1" t="str">
        <f>VLOOKUP(A1036,Data_Echipe!A:R,18,0)</f>
        <v>UltraHaita lu' Borcan</v>
      </c>
      <c r="Z1036" s="115">
        <f t="shared" si="397"/>
        <v>1</v>
      </c>
    </row>
    <row r="1037" spans="1:26" x14ac:dyDescent="0.3">
      <c r="A1037" s="49" t="s">
        <v>204</v>
      </c>
      <c r="B1037" s="1" t="str">
        <f>VLOOKUP(A1037,Participanti!A:B,2,0)</f>
        <v>M</v>
      </c>
      <c r="C1037" s="74">
        <v>13</v>
      </c>
      <c r="D1037" s="50">
        <v>12.31</v>
      </c>
      <c r="E1037" s="51">
        <v>4.1597222222222223E-2</v>
      </c>
      <c r="F1037" s="51">
        <v>4.5578703703703705E-2</v>
      </c>
      <c r="G1037" s="69">
        <f t="shared" ref="G1037:G1100" si="398">AVERAGE(E1037:F1037)</f>
        <v>4.3587962962962967E-2</v>
      </c>
      <c r="H1037" s="52"/>
      <c r="I1037" s="12">
        <f t="shared" ref="I1037:I1100" si="399">G1037/D1037</f>
        <v>3.5408580798507688E-3</v>
      </c>
      <c r="J1037" s="37">
        <f t="shared" ref="J1037:J1100" si="400">IF(B1037="F",IF(D1037&lt;2.5,0,IF(D1037&gt;19.99,5,D1037/4)),IF(D1037&lt;3,0, IF(D1037&gt;20.99,5,D1037/4.2)))</f>
        <v>2.9309523809523808</v>
      </c>
      <c r="K1037" s="37">
        <f>IF(J1037=0,0,IF(B1037="F",VLOOKUP(I1037,Barem!$G$2:$H$16,2,1),VLOOKUP(I1037,Barem!$G$17:$H$31,2,1)))</f>
        <v>2.5</v>
      </c>
      <c r="L1037" s="50">
        <v>2.5</v>
      </c>
      <c r="M1037" s="124" t="s">
        <v>207</v>
      </c>
      <c r="N1037" s="10">
        <f t="shared" si="390"/>
        <v>0.25</v>
      </c>
      <c r="O1037" s="10">
        <f t="shared" si="390"/>
        <v>0.25</v>
      </c>
      <c r="P1037" s="10">
        <f t="shared" si="390"/>
        <v>0.5</v>
      </c>
      <c r="Q1037" s="40">
        <f t="shared" ref="Q1037:Q1100" si="401">IF(H1037&gt;49,H1037/1500,0)</f>
        <v>0</v>
      </c>
      <c r="R1037" s="21">
        <f>IF(D1037&gt;21,VLOOKUP(D1037,Barem!$T$1:$U$141,2,1),0)</f>
        <v>0</v>
      </c>
      <c r="S1037" s="152">
        <f>IF(D1037&lt;1.609,0,IF(B1037="F",VLOOKUP(I1037,Barem!$X$2:$Z$13,2,1),VLOOKUP(I1037,Barem!$X$14:$Z$25,2,1)))</f>
        <v>0</v>
      </c>
      <c r="T1037" s="21">
        <f>VLOOKUP(A1037,Participanti!A:C,3,0)</f>
        <v>0</v>
      </c>
      <c r="U1037" s="18">
        <f t="shared" ref="U1037:U1100" si="402">IF(H1037&lt;0,0,J1037*N1037+K1037*O1037+L1037*P1037+Q1037+R1037+S1037+T1037)</f>
        <v>2.6077380952380951</v>
      </c>
      <c r="V1037" s="58" t="s">
        <v>500</v>
      </c>
      <c r="W1037" s="77">
        <f t="shared" si="391"/>
        <v>1</v>
      </c>
      <c r="X1037" s="1" t="e">
        <f>VLOOKUP(A1037,Data_Echipe!A:R,18,0)</f>
        <v>#N/A</v>
      </c>
      <c r="Z1037" s="115">
        <f t="shared" ref="Z1037:Z1100" si="403">IF(K1037&gt;0,1,0)</f>
        <v>1</v>
      </c>
    </row>
    <row r="1038" spans="1:26" x14ac:dyDescent="0.3">
      <c r="A1038" s="49" t="s">
        <v>430</v>
      </c>
      <c r="B1038" s="1" t="str">
        <f>VLOOKUP(A1038,Participanti!A:B,2,0)</f>
        <v>M</v>
      </c>
      <c r="C1038" s="74">
        <v>13</v>
      </c>
      <c r="D1038" s="50">
        <v>18</v>
      </c>
      <c r="E1038" s="51">
        <v>5.9097222222222225E-2</v>
      </c>
      <c r="F1038" s="51">
        <v>5.9097222222222225E-2</v>
      </c>
      <c r="G1038" s="69">
        <f t="shared" si="398"/>
        <v>5.9097222222222225E-2</v>
      </c>
      <c r="H1038" s="52"/>
      <c r="I1038" s="12">
        <f t="shared" si="399"/>
        <v>3.283179012345679E-3</v>
      </c>
      <c r="J1038" s="37">
        <f t="shared" si="400"/>
        <v>4.2857142857142856</v>
      </c>
      <c r="K1038" s="37">
        <f>IF(J1038=0,0,IF(B1038="F",VLOOKUP(I1038,Barem!$G$2:$H$16,2,1),VLOOKUP(I1038,Barem!$G$17:$H$31,2,1)))</f>
        <v>3.5</v>
      </c>
      <c r="L1038" s="50">
        <v>2</v>
      </c>
      <c r="M1038" s="124" t="s">
        <v>106</v>
      </c>
      <c r="N1038" s="10">
        <f t="shared" si="390"/>
        <v>0.5</v>
      </c>
      <c r="O1038" s="10">
        <f t="shared" si="390"/>
        <v>0.25</v>
      </c>
      <c r="P1038" s="10">
        <f t="shared" si="390"/>
        <v>0.25</v>
      </c>
      <c r="Q1038" s="40">
        <f t="shared" si="401"/>
        <v>0</v>
      </c>
      <c r="R1038" s="21">
        <f>IF(D1038&gt;21,VLOOKUP(D1038,Barem!$T$1:$U$141,2,1),0)</f>
        <v>0</v>
      </c>
      <c r="S1038" s="152">
        <f>IF(D1038&lt;1.609,0,IF(B1038="F",VLOOKUP(I1038,Barem!$X$2:$Z$13,2,1),VLOOKUP(I1038,Barem!$X$14:$Z$25,2,1)))</f>
        <v>0</v>
      </c>
      <c r="T1038" s="21">
        <f>VLOOKUP(A1038,Participanti!A:C,3,0)</f>
        <v>0</v>
      </c>
      <c r="U1038" s="18">
        <f t="shared" si="402"/>
        <v>3.5178571428571428</v>
      </c>
      <c r="V1038" s="58" t="s">
        <v>500</v>
      </c>
      <c r="W1038" s="77">
        <f t="shared" si="391"/>
        <v>1</v>
      </c>
      <c r="X1038" s="1" t="e">
        <f>VLOOKUP(A1038,Data_Echipe!A:R,18,0)</f>
        <v>#N/A</v>
      </c>
      <c r="Z1038" s="115">
        <f t="shared" si="403"/>
        <v>1</v>
      </c>
    </row>
    <row r="1039" spans="1:26" x14ac:dyDescent="0.3">
      <c r="A1039" s="49" t="s">
        <v>333</v>
      </c>
      <c r="B1039" s="1" t="str">
        <f>VLOOKUP(A1039,Participanti!A:B,2,0)</f>
        <v>M</v>
      </c>
      <c r="C1039" s="74">
        <v>13</v>
      </c>
      <c r="D1039" s="50">
        <v>11.34</v>
      </c>
      <c r="E1039" s="51">
        <v>4.3275462962962967E-2</v>
      </c>
      <c r="F1039" s="51">
        <v>4.3807870370370372E-2</v>
      </c>
      <c r="G1039" s="69">
        <f t="shared" si="398"/>
        <v>4.3541666666666673E-2</v>
      </c>
      <c r="H1039" s="52"/>
      <c r="I1039" s="12">
        <f t="shared" si="399"/>
        <v>3.8396531452087016E-3</v>
      </c>
      <c r="J1039" s="37">
        <f t="shared" si="400"/>
        <v>2.6999999999999997</v>
      </c>
      <c r="K1039" s="37">
        <f>IF(J1039=0,0,IF(B1039="F",VLOOKUP(I1039,Barem!$G$2:$H$16,2,1),VLOOKUP(I1039,Barem!$G$17:$H$31,2,1)))</f>
        <v>1.75</v>
      </c>
      <c r="L1039" s="50">
        <v>2</v>
      </c>
      <c r="M1039" s="124" t="s">
        <v>207</v>
      </c>
      <c r="N1039" s="10">
        <f t="shared" si="390"/>
        <v>0.25</v>
      </c>
      <c r="O1039" s="10">
        <f t="shared" si="390"/>
        <v>0.25</v>
      </c>
      <c r="P1039" s="10">
        <f t="shared" si="390"/>
        <v>0.5</v>
      </c>
      <c r="Q1039" s="40">
        <f t="shared" si="401"/>
        <v>0</v>
      </c>
      <c r="R1039" s="21">
        <f>IF(D1039&gt;21,VLOOKUP(D1039,Barem!$T$1:$U$141,2,1),0)</f>
        <v>0</v>
      </c>
      <c r="S1039" s="152">
        <f>IF(D1039&lt;1.609,0,IF(B1039="F",VLOOKUP(I1039,Barem!$X$2:$Z$13,2,1),VLOOKUP(I1039,Barem!$X$14:$Z$25,2,1)))</f>
        <v>0</v>
      </c>
      <c r="T1039" s="21">
        <f>VLOOKUP(A1039,Participanti!A:C,3,0)</f>
        <v>0</v>
      </c>
      <c r="U1039" s="18">
        <f t="shared" si="402"/>
        <v>2.1124999999999998</v>
      </c>
      <c r="V1039" s="58" t="s">
        <v>500</v>
      </c>
      <c r="W1039" s="77">
        <f t="shared" si="391"/>
        <v>1</v>
      </c>
      <c r="X1039" s="1" t="str">
        <f>VLOOKUP(A1039,Data_Echipe!A:R,18,0)</f>
        <v>UltraHaita lu' Borcan</v>
      </c>
      <c r="Z1039" s="115">
        <f t="shared" si="403"/>
        <v>1</v>
      </c>
    </row>
    <row r="1040" spans="1:26" x14ac:dyDescent="0.3">
      <c r="A1040" s="49" t="s">
        <v>59</v>
      </c>
      <c r="B1040" s="1" t="str">
        <f>VLOOKUP(A1040,Participanti!A:B,2,0)</f>
        <v>M</v>
      </c>
      <c r="C1040" s="74">
        <v>13</v>
      </c>
      <c r="D1040" s="50">
        <v>8.15</v>
      </c>
      <c r="E1040" s="51">
        <v>2.7592592592592596E-2</v>
      </c>
      <c r="F1040" s="51">
        <v>2.7592592592592596E-2</v>
      </c>
      <c r="G1040" s="69">
        <f t="shared" si="398"/>
        <v>2.7592592592592596E-2</v>
      </c>
      <c r="H1040" s="52"/>
      <c r="I1040" s="12">
        <f t="shared" si="399"/>
        <v>3.3855941831401957E-3</v>
      </c>
      <c r="J1040" s="37">
        <f t="shared" si="400"/>
        <v>1.9404761904761905</v>
      </c>
      <c r="K1040" s="37">
        <f>IF(J1040=0,0,IF(B1040="F",VLOOKUP(I1040,Barem!$G$2:$H$16,2,1),VLOOKUP(I1040,Barem!$G$17:$H$31,2,1)))</f>
        <v>3</v>
      </c>
      <c r="L1040" s="50">
        <v>1.5</v>
      </c>
      <c r="M1040" s="124" t="s">
        <v>107</v>
      </c>
      <c r="N1040" s="10">
        <f t="shared" ref="N1040:P1103" si="404">IF($M1040=N$1,50%,25%)</f>
        <v>0.25</v>
      </c>
      <c r="O1040" s="10">
        <f t="shared" si="404"/>
        <v>0.5</v>
      </c>
      <c r="P1040" s="10">
        <f t="shared" si="404"/>
        <v>0.25</v>
      </c>
      <c r="Q1040" s="40">
        <f t="shared" si="401"/>
        <v>0</v>
      </c>
      <c r="R1040" s="21">
        <f>IF(D1040&gt;21,VLOOKUP(D1040,Barem!$T$1:$U$141,2,1),0)</f>
        <v>0</v>
      </c>
      <c r="S1040" s="152">
        <f>IF(D1040&lt;1.609,0,IF(B1040="F",VLOOKUP(I1040,Barem!$X$2:$Z$13,2,1),VLOOKUP(I1040,Barem!$X$14:$Z$25,2,1)))</f>
        <v>0</v>
      </c>
      <c r="T1040" s="21">
        <f>VLOOKUP(A1040,Participanti!A:C,3,0)</f>
        <v>0</v>
      </c>
      <c r="U1040" s="18">
        <f t="shared" si="402"/>
        <v>2.3601190476190474</v>
      </c>
      <c r="V1040" s="58" t="s">
        <v>500</v>
      </c>
      <c r="W1040" s="77">
        <f t="shared" si="391"/>
        <v>1</v>
      </c>
      <c r="X1040" s="1" t="str">
        <f>VLOOKUP(A1040,Data_Echipe!A:R,18,0)</f>
        <v>Almost Kenyan Runners</v>
      </c>
      <c r="Z1040" s="115">
        <f t="shared" si="403"/>
        <v>1</v>
      </c>
    </row>
    <row r="1041" spans="1:26" x14ac:dyDescent="0.3">
      <c r="A1041" s="49" t="s">
        <v>336</v>
      </c>
      <c r="B1041" s="1" t="str">
        <f>VLOOKUP(A1041,Participanti!A:B,2,0)</f>
        <v>M</v>
      </c>
      <c r="C1041" s="74">
        <v>13</v>
      </c>
      <c r="D1041" s="50">
        <v>22.02</v>
      </c>
      <c r="E1041" s="51">
        <v>9.0914351851851857E-2</v>
      </c>
      <c r="F1041" s="51">
        <v>9.0914351851851857E-2</v>
      </c>
      <c r="G1041" s="69">
        <f t="shared" si="398"/>
        <v>9.0914351851851857E-2</v>
      </c>
      <c r="H1041" s="52"/>
      <c r="I1041" s="12">
        <f t="shared" si="399"/>
        <v>4.1287171594846439E-3</v>
      </c>
      <c r="J1041" s="37">
        <f t="shared" si="400"/>
        <v>5</v>
      </c>
      <c r="K1041" s="37">
        <f>IF(J1041=0,0,IF(B1041="F",VLOOKUP(I1041,Barem!$G$2:$H$16,2,1),VLOOKUP(I1041,Barem!$G$17:$H$31,2,1)))</f>
        <v>1.5</v>
      </c>
      <c r="L1041" s="50">
        <v>1</v>
      </c>
      <c r="M1041" s="124" t="s">
        <v>106</v>
      </c>
      <c r="N1041" s="10">
        <f t="shared" si="404"/>
        <v>0.5</v>
      </c>
      <c r="O1041" s="10">
        <f t="shared" si="404"/>
        <v>0.25</v>
      </c>
      <c r="P1041" s="10">
        <f t="shared" si="404"/>
        <v>0.25</v>
      </c>
      <c r="Q1041" s="40">
        <f t="shared" si="401"/>
        <v>0</v>
      </c>
      <c r="R1041" s="21">
        <f>IF(D1041&gt;21,VLOOKUP(D1041,Barem!$T$1:$U$141,2,1),0)</f>
        <v>0</v>
      </c>
      <c r="S1041" s="152">
        <f>IF(D1041&lt;1.609,0,IF(B1041="F",VLOOKUP(I1041,Barem!$X$2:$Z$13,2,1),VLOOKUP(I1041,Barem!$X$14:$Z$25,2,1)))</f>
        <v>0</v>
      </c>
      <c r="T1041" s="21">
        <f>VLOOKUP(A1041,Participanti!A:C,3,0)</f>
        <v>0</v>
      </c>
      <c r="U1041" s="18">
        <f t="shared" si="402"/>
        <v>3.125</v>
      </c>
      <c r="V1041" s="58" t="s">
        <v>500</v>
      </c>
      <c r="W1041" s="77">
        <f t="shared" si="391"/>
        <v>1</v>
      </c>
      <c r="X1041" s="1" t="e">
        <f>VLOOKUP(A1041,Data_Echipe!A:R,18,0)</f>
        <v>#N/A</v>
      </c>
      <c r="Z1041" s="115">
        <f t="shared" si="403"/>
        <v>1</v>
      </c>
    </row>
    <row r="1042" spans="1:26" x14ac:dyDescent="0.3">
      <c r="A1042" s="49" t="s">
        <v>205</v>
      </c>
      <c r="B1042" s="1" t="str">
        <f>VLOOKUP(A1042,Participanti!A:B,2,0)</f>
        <v>M</v>
      </c>
      <c r="C1042" s="74">
        <v>13</v>
      </c>
      <c r="D1042" s="50">
        <v>8</v>
      </c>
      <c r="E1042" s="51">
        <v>2.0208333333333335E-2</v>
      </c>
      <c r="F1042" s="51">
        <v>2.0208333333333335E-2</v>
      </c>
      <c r="G1042" s="69">
        <f t="shared" si="398"/>
        <v>2.0208333333333335E-2</v>
      </c>
      <c r="H1042" s="52"/>
      <c r="I1042" s="12">
        <f t="shared" si="399"/>
        <v>2.5260416666666669E-3</v>
      </c>
      <c r="J1042" s="37">
        <f t="shared" si="400"/>
        <v>1.9047619047619047</v>
      </c>
      <c r="K1042" s="37">
        <f>IF(J1042=0,0,IF(B1042="F",VLOOKUP(I1042,Barem!$G$2:$H$16,2,1),VLOOKUP(I1042,Barem!$G$17:$H$31,2,1)))</f>
        <v>5</v>
      </c>
      <c r="L1042" s="50">
        <v>3</v>
      </c>
      <c r="M1042" s="124" t="s">
        <v>107</v>
      </c>
      <c r="N1042" s="10">
        <f t="shared" si="404"/>
        <v>0.25</v>
      </c>
      <c r="O1042" s="10">
        <f t="shared" si="404"/>
        <v>0.5</v>
      </c>
      <c r="P1042" s="10">
        <f t="shared" si="404"/>
        <v>0.25</v>
      </c>
      <c r="Q1042" s="40">
        <f t="shared" si="401"/>
        <v>0</v>
      </c>
      <c r="R1042" s="21">
        <f>IF(D1042&gt;21,VLOOKUP(D1042,Barem!$T$1:$U$141,2,1),0)</f>
        <v>0</v>
      </c>
      <c r="S1042" s="152">
        <f>IF(D1042&lt;1.609,0,IF(B1042="F",VLOOKUP(I1042,Barem!$X$2:$Z$13,2,1),VLOOKUP(I1042,Barem!$X$14:$Z$25,2,1)))</f>
        <v>2.25</v>
      </c>
      <c r="T1042" s="21">
        <f>VLOOKUP(A1042,Participanti!A:C,3,0)</f>
        <v>0</v>
      </c>
      <c r="U1042" s="18">
        <f t="shared" si="402"/>
        <v>5.9761904761904763</v>
      </c>
      <c r="V1042" s="58" t="s">
        <v>501</v>
      </c>
      <c r="W1042" s="77">
        <f t="shared" si="391"/>
        <v>1</v>
      </c>
      <c r="X1042" s="1" t="str">
        <f>VLOOKUP(A1042,Data_Echipe!A:R,18,0)</f>
        <v>Almost Kenyan Runners</v>
      </c>
      <c r="Z1042" s="115">
        <f t="shared" si="403"/>
        <v>1</v>
      </c>
    </row>
    <row r="1043" spans="1:26" x14ac:dyDescent="0.3">
      <c r="A1043" s="49" t="s">
        <v>296</v>
      </c>
      <c r="B1043" s="1" t="str">
        <f>VLOOKUP(A1043,Participanti!A:B,2,0)</f>
        <v>M</v>
      </c>
      <c r="C1043" s="74">
        <v>13</v>
      </c>
      <c r="D1043" s="50">
        <v>5.93</v>
      </c>
      <c r="E1043" s="51">
        <v>2.8749999999999998E-2</v>
      </c>
      <c r="F1043" s="51">
        <v>2.9166666666666664E-2</v>
      </c>
      <c r="G1043" s="69">
        <f t="shared" si="398"/>
        <v>2.8958333333333329E-2</v>
      </c>
      <c r="H1043" s="52">
        <v>61</v>
      </c>
      <c r="I1043" s="12">
        <f t="shared" si="399"/>
        <v>4.8833614390106795E-3</v>
      </c>
      <c r="J1043" s="37">
        <f t="shared" si="400"/>
        <v>1.4119047619047618</v>
      </c>
      <c r="K1043" s="37">
        <f>IF(J1043=0,0,IF(B1043="F",VLOOKUP(I1043,Barem!$G$2:$H$16,2,1),VLOOKUP(I1043,Barem!$G$17:$H$31,2,1)))</f>
        <v>0.25</v>
      </c>
      <c r="L1043" s="50">
        <v>3</v>
      </c>
      <c r="M1043" s="124" t="s">
        <v>107</v>
      </c>
      <c r="N1043" s="10">
        <f t="shared" si="404"/>
        <v>0.25</v>
      </c>
      <c r="O1043" s="10">
        <f t="shared" si="404"/>
        <v>0.5</v>
      </c>
      <c r="P1043" s="10">
        <f t="shared" si="404"/>
        <v>0.25</v>
      </c>
      <c r="Q1043" s="40">
        <f t="shared" si="401"/>
        <v>4.0666666666666663E-2</v>
      </c>
      <c r="R1043" s="21">
        <f>IF(D1043&gt;21,VLOOKUP(D1043,Barem!$T$1:$U$141,2,1),0)</f>
        <v>0</v>
      </c>
      <c r="S1043" s="152">
        <f>IF(D1043&lt;1.609,0,IF(B1043="F",VLOOKUP(I1043,Barem!$X$2:$Z$13,2,1),VLOOKUP(I1043,Barem!$X$14:$Z$25,2,1)))</f>
        <v>0</v>
      </c>
      <c r="T1043" s="21">
        <f>VLOOKUP(A1043,Participanti!A:C,3,0)</f>
        <v>0</v>
      </c>
      <c r="U1043" s="18">
        <f t="shared" si="402"/>
        <v>1.268642857142857</v>
      </c>
      <c r="V1043" s="58" t="s">
        <v>501</v>
      </c>
      <c r="W1043" s="77">
        <f t="shared" si="391"/>
        <v>1</v>
      </c>
      <c r="X1043" s="1" t="str">
        <f>VLOOKUP(A1043,Data_Echipe!A:R,18,0)</f>
        <v>MedgidiaRunning</v>
      </c>
      <c r="Z1043" s="115">
        <f t="shared" si="403"/>
        <v>1</v>
      </c>
    </row>
    <row r="1044" spans="1:26" x14ac:dyDescent="0.3">
      <c r="A1044" s="49" t="s">
        <v>378</v>
      </c>
      <c r="B1044" s="1" t="str">
        <f>VLOOKUP(A1044,Participanti!A:B,2,0)</f>
        <v>F</v>
      </c>
      <c r="C1044" s="74">
        <v>13</v>
      </c>
      <c r="D1044" s="50">
        <v>20.010000000000002</v>
      </c>
      <c r="E1044" s="51">
        <v>7.8946759259259258E-2</v>
      </c>
      <c r="F1044" s="51">
        <v>7.9525462962962964E-2</v>
      </c>
      <c r="G1044" s="69">
        <f t="shared" si="398"/>
        <v>7.9236111111111118E-2</v>
      </c>
      <c r="H1044" s="52">
        <v>80</v>
      </c>
      <c r="I1044" s="12">
        <f t="shared" si="399"/>
        <v>3.9598256427341889E-3</v>
      </c>
      <c r="J1044" s="37">
        <f t="shared" si="400"/>
        <v>5</v>
      </c>
      <c r="K1044" s="37">
        <f>IF(J1044=0,0,IF(B1044="F",VLOOKUP(I1044,Barem!$G$2:$H$16,2,1),VLOOKUP(I1044,Barem!$G$17:$H$31,2,1)))</f>
        <v>2.5</v>
      </c>
      <c r="L1044" s="50">
        <v>2.75</v>
      </c>
      <c r="M1044" s="124" t="s">
        <v>106</v>
      </c>
      <c r="N1044" s="10">
        <f t="shared" si="404"/>
        <v>0.5</v>
      </c>
      <c r="O1044" s="10">
        <f t="shared" si="404"/>
        <v>0.25</v>
      </c>
      <c r="P1044" s="10">
        <f t="shared" si="404"/>
        <v>0.25</v>
      </c>
      <c r="Q1044" s="40">
        <f t="shared" si="401"/>
        <v>5.3333333333333337E-2</v>
      </c>
      <c r="R1044" s="21">
        <f>IF(D1044&gt;21,VLOOKUP(D1044,Barem!$T$1:$U$141,2,1),0)</f>
        <v>0</v>
      </c>
      <c r="S1044" s="152">
        <f>IF(D1044&lt;1.609,0,IF(B1044="F",VLOOKUP(I1044,Barem!$X$2:$Z$13,2,1),VLOOKUP(I1044,Barem!$X$14:$Z$25,2,1)))</f>
        <v>0</v>
      </c>
      <c r="T1044" s="21">
        <f>VLOOKUP(A1044,Participanti!A:C,3,0)</f>
        <v>0</v>
      </c>
      <c r="U1044" s="18">
        <f t="shared" si="402"/>
        <v>3.8658333333333332</v>
      </c>
      <c r="V1044" s="58" t="s">
        <v>501</v>
      </c>
      <c r="W1044" s="77">
        <f t="shared" si="391"/>
        <v>1</v>
      </c>
      <c r="X1044" s="1" t="str">
        <f>VLOOKUP(A1044,Data_Echipe!A:R,18,0)</f>
        <v>MedgidiaRunning</v>
      </c>
      <c r="Z1044" s="115">
        <f t="shared" si="403"/>
        <v>1</v>
      </c>
    </row>
    <row r="1045" spans="1:26" x14ac:dyDescent="0.3">
      <c r="A1045" s="49" t="s">
        <v>345</v>
      </c>
      <c r="B1045" s="1" t="str">
        <f>VLOOKUP(A1045,Participanti!A:B,2,0)</f>
        <v>F</v>
      </c>
      <c r="C1045" s="74">
        <v>13</v>
      </c>
      <c r="D1045" s="50">
        <v>15</v>
      </c>
      <c r="E1045" s="51">
        <v>6.0868055555555557E-2</v>
      </c>
      <c r="F1045" s="51">
        <v>6.1886574074074073E-2</v>
      </c>
      <c r="G1045" s="69">
        <f t="shared" si="398"/>
        <v>6.1377314814814815E-2</v>
      </c>
      <c r="H1045" s="52">
        <v>84</v>
      </c>
      <c r="I1045" s="12">
        <f t="shared" si="399"/>
        <v>4.0918209876543207E-3</v>
      </c>
      <c r="J1045" s="37">
        <f t="shared" si="400"/>
        <v>3.75</v>
      </c>
      <c r="K1045" s="37">
        <f>IF(J1045=0,0,IF(B1045="F",VLOOKUP(I1045,Barem!$G$2:$H$16,2,1),VLOOKUP(I1045,Barem!$G$17:$H$31,2,1)))</f>
        <v>2</v>
      </c>
      <c r="L1045" s="50">
        <v>2.25</v>
      </c>
      <c r="M1045" s="124" t="s">
        <v>106</v>
      </c>
      <c r="N1045" s="10">
        <f t="shared" si="404"/>
        <v>0.5</v>
      </c>
      <c r="O1045" s="10">
        <f t="shared" si="404"/>
        <v>0.25</v>
      </c>
      <c r="P1045" s="10">
        <f t="shared" si="404"/>
        <v>0.25</v>
      </c>
      <c r="Q1045" s="40">
        <f t="shared" si="401"/>
        <v>5.6000000000000001E-2</v>
      </c>
      <c r="R1045" s="21">
        <f>IF(D1045&gt;21,VLOOKUP(D1045,Barem!$T$1:$U$141,2,1),0)</f>
        <v>0</v>
      </c>
      <c r="S1045" s="152">
        <f>IF(D1045&lt;1.609,0,IF(B1045="F",VLOOKUP(I1045,Barem!$X$2:$Z$13,2,1),VLOOKUP(I1045,Barem!$X$14:$Z$25,2,1)))</f>
        <v>0</v>
      </c>
      <c r="T1045" s="21">
        <f>VLOOKUP(A1045,Participanti!A:C,3,0)</f>
        <v>0</v>
      </c>
      <c r="U1045" s="18">
        <f t="shared" si="402"/>
        <v>2.9935</v>
      </c>
      <c r="V1045" s="58" t="s">
        <v>501</v>
      </c>
      <c r="W1045" s="77">
        <f t="shared" si="391"/>
        <v>1</v>
      </c>
      <c r="X1045" s="1" t="str">
        <f>VLOOKUP(A1045,Data_Echipe!A:R,18,0)</f>
        <v>MedgidiaRunning</v>
      </c>
      <c r="Z1045" s="115">
        <f t="shared" si="403"/>
        <v>1</v>
      </c>
    </row>
    <row r="1046" spans="1:26" x14ac:dyDescent="0.3">
      <c r="A1046" s="49" t="s">
        <v>64</v>
      </c>
      <c r="B1046" s="1" t="str">
        <f>VLOOKUP(A1046,Participanti!A:B,2,0)</f>
        <v>F</v>
      </c>
      <c r="C1046" s="74">
        <v>13</v>
      </c>
      <c r="D1046" s="50">
        <v>7.3</v>
      </c>
      <c r="E1046" s="51">
        <v>3.784722222222222E-2</v>
      </c>
      <c r="F1046" s="51">
        <v>4.2939814814814813E-2</v>
      </c>
      <c r="G1046" s="69">
        <f t="shared" si="398"/>
        <v>4.0393518518518516E-2</v>
      </c>
      <c r="H1046" s="52"/>
      <c r="I1046" s="12">
        <f t="shared" si="399"/>
        <v>5.53335870116692E-3</v>
      </c>
      <c r="J1046" s="37">
        <f t="shared" si="400"/>
        <v>1.825</v>
      </c>
      <c r="K1046" s="37">
        <f>IF(J1046=0,0,IF(B1046="F",VLOOKUP(I1046,Barem!$G$2:$H$16,2,1),VLOOKUP(I1046,Barem!$G$17:$H$31,2,1)))</f>
        <v>0.25</v>
      </c>
      <c r="L1046" s="50">
        <v>1.5</v>
      </c>
      <c r="M1046" s="124" t="s">
        <v>106</v>
      </c>
      <c r="N1046" s="10">
        <f t="shared" si="404"/>
        <v>0.5</v>
      </c>
      <c r="O1046" s="10">
        <f t="shared" si="404"/>
        <v>0.25</v>
      </c>
      <c r="P1046" s="10">
        <f t="shared" si="404"/>
        <v>0.25</v>
      </c>
      <c r="Q1046" s="40">
        <f t="shared" si="401"/>
        <v>0</v>
      </c>
      <c r="R1046" s="21">
        <f>IF(D1046&gt;21,VLOOKUP(D1046,Barem!$T$1:$U$141,2,1),0)</f>
        <v>0</v>
      </c>
      <c r="S1046" s="152">
        <f>IF(D1046&lt;1.609,0,IF(B1046="F",VLOOKUP(I1046,Barem!$X$2:$Z$13,2,1),VLOOKUP(I1046,Barem!$X$14:$Z$25,2,1)))</f>
        <v>0</v>
      </c>
      <c r="T1046" s="21">
        <f>VLOOKUP(A1046,Participanti!A:C,3,0)</f>
        <v>0.7</v>
      </c>
      <c r="U1046" s="18">
        <f t="shared" si="402"/>
        <v>2.0499999999999998</v>
      </c>
      <c r="V1046" s="58" t="s">
        <v>501</v>
      </c>
      <c r="W1046" s="77">
        <f t="shared" si="391"/>
        <v>1</v>
      </c>
      <c r="X1046" s="1" t="str">
        <f>VLOOKUP(A1046,Data_Echipe!A:R,18,0)</f>
        <v>UltraHaita lu' Borcan</v>
      </c>
      <c r="Z1046" s="115">
        <f t="shared" si="403"/>
        <v>1</v>
      </c>
    </row>
    <row r="1047" spans="1:26" x14ac:dyDescent="0.3">
      <c r="A1047" s="49" t="s">
        <v>347</v>
      </c>
      <c r="B1047" s="1" t="str">
        <f>VLOOKUP(A1047,Participanti!A:B,2,0)</f>
        <v>F</v>
      </c>
      <c r="C1047" s="74">
        <v>13</v>
      </c>
      <c r="D1047" s="50">
        <v>16.02</v>
      </c>
      <c r="E1047" s="51">
        <v>5.9988425925925924E-2</v>
      </c>
      <c r="F1047" s="51">
        <v>6.0057870370370366E-2</v>
      </c>
      <c r="G1047" s="69">
        <f t="shared" si="398"/>
        <v>6.0023148148148145E-2</v>
      </c>
      <c r="H1047" s="52"/>
      <c r="I1047" s="12">
        <f t="shared" si="399"/>
        <v>3.7467633051278494E-3</v>
      </c>
      <c r="J1047" s="37">
        <f t="shared" si="400"/>
        <v>4.0049999999999999</v>
      </c>
      <c r="K1047" s="37">
        <f>IF(J1047=0,0,IF(B1047="F",VLOOKUP(I1047,Barem!$G$2:$H$16,2,1),VLOOKUP(I1047,Barem!$G$17:$H$31,2,1)))</f>
        <v>3</v>
      </c>
      <c r="L1047" s="50">
        <v>2.5</v>
      </c>
      <c r="M1047" s="124" t="s">
        <v>106</v>
      </c>
      <c r="N1047" s="10">
        <f t="shared" si="404"/>
        <v>0.5</v>
      </c>
      <c r="O1047" s="10">
        <f t="shared" si="404"/>
        <v>0.25</v>
      </c>
      <c r="P1047" s="10">
        <f t="shared" si="404"/>
        <v>0.25</v>
      </c>
      <c r="Q1047" s="40">
        <f t="shared" si="401"/>
        <v>0</v>
      </c>
      <c r="R1047" s="21">
        <f>IF(D1047&gt;21,VLOOKUP(D1047,Barem!$T$1:$U$141,2,1),0)</f>
        <v>0</v>
      </c>
      <c r="S1047" s="152">
        <f>IF(D1047&lt;1.609,0,IF(B1047="F",VLOOKUP(I1047,Barem!$X$2:$Z$13,2,1),VLOOKUP(I1047,Barem!$X$14:$Z$25,2,1)))</f>
        <v>0</v>
      </c>
      <c r="T1047" s="21">
        <f>VLOOKUP(A1047,Participanti!A:C,3,0)</f>
        <v>0</v>
      </c>
      <c r="U1047" s="18">
        <f t="shared" si="402"/>
        <v>3.3774999999999999</v>
      </c>
      <c r="V1047" s="58" t="s">
        <v>501</v>
      </c>
      <c r="W1047" s="77">
        <f t="shared" si="391"/>
        <v>1</v>
      </c>
      <c r="X1047" s="1" t="str">
        <f>VLOOKUP(A1047,Data_Echipe!A:R,18,0)</f>
        <v>MedgidiaRunning</v>
      </c>
      <c r="Z1047" s="115">
        <f t="shared" si="403"/>
        <v>1</v>
      </c>
    </row>
    <row r="1048" spans="1:26" x14ac:dyDescent="0.3">
      <c r="A1048" s="49" t="s">
        <v>300</v>
      </c>
      <c r="B1048" s="1" t="str">
        <f>VLOOKUP(A1048,Participanti!A:B,2,0)</f>
        <v>M</v>
      </c>
      <c r="C1048" s="74">
        <v>13</v>
      </c>
      <c r="D1048" s="50">
        <v>19.739999999999998</v>
      </c>
      <c r="E1048" s="51">
        <v>8.3182870370370365E-2</v>
      </c>
      <c r="F1048" s="51">
        <v>8.4398148148148153E-2</v>
      </c>
      <c r="G1048" s="69">
        <f t="shared" si="398"/>
        <v>8.3790509259259266E-2</v>
      </c>
      <c r="H1048" s="52"/>
      <c r="I1048" s="12">
        <f t="shared" si="399"/>
        <v>4.2447066494052318E-3</v>
      </c>
      <c r="J1048" s="37">
        <f t="shared" si="400"/>
        <v>4.6999999999999993</v>
      </c>
      <c r="K1048" s="37">
        <f>IF(J1048=0,0,IF(B1048="F",VLOOKUP(I1048,Barem!$G$2:$H$16,2,1),VLOOKUP(I1048,Barem!$G$17:$H$31,2,1)))</f>
        <v>1.25</v>
      </c>
      <c r="L1048" s="50">
        <v>3</v>
      </c>
      <c r="M1048" s="124" t="s">
        <v>106</v>
      </c>
      <c r="N1048" s="10">
        <f t="shared" si="404"/>
        <v>0.5</v>
      </c>
      <c r="O1048" s="10">
        <f t="shared" si="404"/>
        <v>0.25</v>
      </c>
      <c r="P1048" s="10">
        <f t="shared" si="404"/>
        <v>0.25</v>
      </c>
      <c r="Q1048" s="40">
        <f t="shared" si="401"/>
        <v>0</v>
      </c>
      <c r="R1048" s="21">
        <f>IF(D1048&gt;21,VLOOKUP(D1048,Barem!$T$1:$U$141,2,1),0)</f>
        <v>0</v>
      </c>
      <c r="S1048" s="152">
        <f>IF(D1048&lt;1.609,0,IF(B1048="F",VLOOKUP(I1048,Barem!$X$2:$Z$13,2,1),VLOOKUP(I1048,Barem!$X$14:$Z$25,2,1)))</f>
        <v>0</v>
      </c>
      <c r="T1048" s="21">
        <f>VLOOKUP(A1048,Participanti!A:C,3,0)</f>
        <v>0</v>
      </c>
      <c r="U1048" s="18">
        <f t="shared" si="402"/>
        <v>3.4124999999999996</v>
      </c>
      <c r="V1048" s="58" t="s">
        <v>501</v>
      </c>
      <c r="W1048" s="77">
        <f t="shared" si="391"/>
        <v>1</v>
      </c>
      <c r="X1048" s="1" t="str">
        <f>VLOOKUP(A1048,Data_Echipe!A:R,18,0)</f>
        <v>#notSYRious</v>
      </c>
      <c r="Z1048" s="115">
        <f t="shared" si="403"/>
        <v>1</v>
      </c>
    </row>
    <row r="1049" spans="1:26" x14ac:dyDescent="0.3">
      <c r="A1049" s="49" t="s">
        <v>292</v>
      </c>
      <c r="B1049" s="1" t="str">
        <f>VLOOKUP(A1049,Participanti!A:B,2,0)</f>
        <v>F</v>
      </c>
      <c r="C1049" s="74">
        <v>13</v>
      </c>
      <c r="D1049" s="50">
        <v>20.27</v>
      </c>
      <c r="E1049" s="51">
        <v>0.11010416666666667</v>
      </c>
      <c r="F1049" s="51">
        <v>0.11591435185185185</v>
      </c>
      <c r="G1049" s="69">
        <f t="shared" si="398"/>
        <v>0.11300925925925925</v>
      </c>
      <c r="H1049" s="52"/>
      <c r="I1049" s="12">
        <f t="shared" si="399"/>
        <v>5.5751977927606935E-3</v>
      </c>
      <c r="J1049" s="37">
        <f t="shared" si="400"/>
        <v>5</v>
      </c>
      <c r="K1049" s="37">
        <f>IF(J1049=0,0,IF(B1049="F",VLOOKUP(I1049,Barem!$G$2:$H$16,2,1),VLOOKUP(I1049,Barem!$G$17:$H$31,2,1)))</f>
        <v>0.25</v>
      </c>
      <c r="L1049" s="50">
        <v>1.75</v>
      </c>
      <c r="M1049" s="124" t="s">
        <v>106</v>
      </c>
      <c r="N1049" s="10">
        <f t="shared" si="404"/>
        <v>0.5</v>
      </c>
      <c r="O1049" s="10">
        <f t="shared" si="404"/>
        <v>0.25</v>
      </c>
      <c r="P1049" s="10">
        <f t="shared" si="404"/>
        <v>0.25</v>
      </c>
      <c r="Q1049" s="40">
        <f t="shared" si="401"/>
        <v>0</v>
      </c>
      <c r="R1049" s="21">
        <f>IF(D1049&gt;21,VLOOKUP(D1049,Barem!$T$1:$U$141,2,1),0)</f>
        <v>0</v>
      </c>
      <c r="S1049" s="152">
        <f>IF(D1049&lt;1.609,0,IF(B1049="F",VLOOKUP(I1049,Barem!$X$2:$Z$13,2,1),VLOOKUP(I1049,Barem!$X$14:$Z$25,2,1)))</f>
        <v>0</v>
      </c>
      <c r="T1049" s="21">
        <f>VLOOKUP(A1049,Participanti!A:C,3,0)</f>
        <v>0</v>
      </c>
      <c r="U1049" s="18">
        <f t="shared" si="402"/>
        <v>3</v>
      </c>
      <c r="V1049" s="58" t="s">
        <v>501</v>
      </c>
      <c r="W1049" s="77">
        <f t="shared" si="391"/>
        <v>1</v>
      </c>
      <c r="X1049" s="1" t="e">
        <f>VLOOKUP(A1049,Data_Echipe!A:R,18,0)</f>
        <v>#N/A</v>
      </c>
      <c r="Z1049" s="115">
        <f t="shared" si="403"/>
        <v>1</v>
      </c>
    </row>
    <row r="1050" spans="1:26" x14ac:dyDescent="0.3">
      <c r="A1050" s="49" t="s">
        <v>353</v>
      </c>
      <c r="B1050" s="1" t="str">
        <f>VLOOKUP(A1050,Participanti!A:B,2,0)</f>
        <v>M</v>
      </c>
      <c r="C1050" s="74">
        <v>13</v>
      </c>
      <c r="D1050" s="50">
        <v>25.53</v>
      </c>
      <c r="E1050" s="51">
        <v>8.9282407407407408E-2</v>
      </c>
      <c r="F1050" s="51">
        <v>8.9328703703703702E-2</v>
      </c>
      <c r="G1050" s="69">
        <f t="shared" si="398"/>
        <v>8.9305555555555555E-2</v>
      </c>
      <c r="H1050" s="52"/>
      <c r="I1050" s="12">
        <f t="shared" si="399"/>
        <v>3.4980632806719762E-3</v>
      </c>
      <c r="J1050" s="37">
        <f t="shared" si="400"/>
        <v>5</v>
      </c>
      <c r="K1050" s="37">
        <f>IF(J1050=0,0,IF(B1050="F",VLOOKUP(I1050,Barem!$G$2:$H$16,2,1),VLOOKUP(I1050,Barem!$G$17:$H$31,2,1)))</f>
        <v>2.5</v>
      </c>
      <c r="L1050" s="50">
        <v>3</v>
      </c>
      <c r="M1050" s="124" t="s">
        <v>207</v>
      </c>
      <c r="N1050" s="10">
        <f t="shared" si="404"/>
        <v>0.25</v>
      </c>
      <c r="O1050" s="10">
        <f t="shared" si="404"/>
        <v>0.25</v>
      </c>
      <c r="P1050" s="10">
        <f t="shared" si="404"/>
        <v>0.5</v>
      </c>
      <c r="Q1050" s="40">
        <f t="shared" si="401"/>
        <v>0</v>
      </c>
      <c r="R1050" s="21">
        <f>IF(D1050&gt;21,VLOOKUP(D1050,Barem!$T$1:$U$141,2,1),0)</f>
        <v>0.2</v>
      </c>
      <c r="S1050" s="152">
        <f>IF(D1050&lt;1.609,0,IF(B1050="F",VLOOKUP(I1050,Barem!$X$2:$Z$13,2,1),VLOOKUP(I1050,Barem!$X$14:$Z$25,2,1)))</f>
        <v>0</v>
      </c>
      <c r="T1050" s="21">
        <f>VLOOKUP(A1050,Participanti!A:C,3,0)</f>
        <v>0</v>
      </c>
      <c r="U1050" s="18">
        <f t="shared" si="402"/>
        <v>3.5750000000000002</v>
      </c>
      <c r="V1050" s="58" t="s">
        <v>501</v>
      </c>
      <c r="W1050" s="77">
        <f t="shared" si="391"/>
        <v>1</v>
      </c>
      <c r="X1050" s="1" t="e">
        <f>VLOOKUP(A1050,Data_Echipe!A:R,18,0)</f>
        <v>#N/A</v>
      </c>
      <c r="Z1050" s="115">
        <f t="shared" si="403"/>
        <v>1</v>
      </c>
    </row>
    <row r="1051" spans="1:26" x14ac:dyDescent="0.3">
      <c r="A1051" s="49" t="s">
        <v>136</v>
      </c>
      <c r="B1051" s="1" t="str">
        <f>VLOOKUP(A1051,Participanti!A:B,2,0)</f>
        <v>F</v>
      </c>
      <c r="C1051" s="74">
        <v>13</v>
      </c>
      <c r="D1051" s="50">
        <v>19.37</v>
      </c>
      <c r="E1051" s="51">
        <v>0.10269675925925925</v>
      </c>
      <c r="F1051" s="51">
        <v>0.10497685185185185</v>
      </c>
      <c r="G1051" s="69">
        <f t="shared" si="398"/>
        <v>0.10383680555555555</v>
      </c>
      <c r="H1051" s="52">
        <v>707</v>
      </c>
      <c r="I1051" s="12">
        <f t="shared" si="399"/>
        <v>5.3607024034876376E-3</v>
      </c>
      <c r="J1051" s="37">
        <f t="shared" si="400"/>
        <v>4.8425000000000002</v>
      </c>
      <c r="K1051" s="37">
        <f>IF(J1051=0,0,IF(B1051="F",VLOOKUP(I1051,Barem!$G$2:$H$16,2,1),VLOOKUP(I1051,Barem!$G$17:$H$31,2,1)))</f>
        <v>0.25</v>
      </c>
      <c r="L1051" s="50">
        <v>3</v>
      </c>
      <c r="M1051" s="124" t="s">
        <v>207</v>
      </c>
      <c r="N1051" s="10">
        <f t="shared" si="404"/>
        <v>0.25</v>
      </c>
      <c r="O1051" s="10">
        <f t="shared" si="404"/>
        <v>0.25</v>
      </c>
      <c r="P1051" s="10">
        <f t="shared" si="404"/>
        <v>0.5</v>
      </c>
      <c r="Q1051" s="40">
        <f t="shared" si="401"/>
        <v>0.47133333333333333</v>
      </c>
      <c r="R1051" s="21">
        <f>IF(D1051&gt;21,VLOOKUP(D1051,Barem!$T$1:$U$141,2,1),0)</f>
        <v>0</v>
      </c>
      <c r="S1051" s="152">
        <f>IF(D1051&lt;1.609,0,IF(B1051="F",VLOOKUP(I1051,Barem!$X$2:$Z$13,2,1),VLOOKUP(I1051,Barem!$X$14:$Z$25,2,1)))</f>
        <v>0</v>
      </c>
      <c r="T1051" s="21">
        <f>VLOOKUP(A1051,Participanti!A:C,3,0)</f>
        <v>0</v>
      </c>
      <c r="U1051" s="18">
        <f t="shared" si="402"/>
        <v>3.2444583333333337</v>
      </c>
      <c r="V1051" s="58" t="s">
        <v>501</v>
      </c>
      <c r="W1051" s="77">
        <f t="shared" si="391"/>
        <v>1</v>
      </c>
      <c r="X1051" s="1" t="e">
        <f>VLOOKUP(A1051,Data_Echipe!A:R,18,0)</f>
        <v>#N/A</v>
      </c>
      <c r="Z1051" s="115">
        <f t="shared" si="403"/>
        <v>1</v>
      </c>
    </row>
    <row r="1052" spans="1:26" x14ac:dyDescent="0.3">
      <c r="A1052" s="49" t="s">
        <v>108</v>
      </c>
      <c r="B1052" s="1" t="str">
        <f>VLOOKUP(A1052,Participanti!A:B,2,0)</f>
        <v>M</v>
      </c>
      <c r="C1052" s="74">
        <v>13</v>
      </c>
      <c r="D1052" s="50">
        <v>30.3</v>
      </c>
      <c r="E1052" s="51">
        <v>0.11429398148148147</v>
      </c>
      <c r="F1052" s="51">
        <v>0.12344907407407407</v>
      </c>
      <c r="G1052" s="69">
        <f t="shared" si="398"/>
        <v>0.11887152777777776</v>
      </c>
      <c r="H1052" s="52">
        <v>68</v>
      </c>
      <c r="I1052" s="12">
        <f t="shared" si="399"/>
        <v>3.9231527319398603E-3</v>
      </c>
      <c r="J1052" s="37">
        <f t="shared" si="400"/>
        <v>5</v>
      </c>
      <c r="K1052" s="37">
        <f>IF(J1052=0,0,IF(B1052="F",VLOOKUP(I1052,Barem!$G$2:$H$16,2,1),VLOOKUP(I1052,Barem!$G$17:$H$31,2,1)))</f>
        <v>1.75</v>
      </c>
      <c r="L1052" s="50">
        <v>3.5</v>
      </c>
      <c r="M1052" s="124" t="s">
        <v>207</v>
      </c>
      <c r="N1052" s="10">
        <f t="shared" si="404"/>
        <v>0.25</v>
      </c>
      <c r="O1052" s="10">
        <f t="shared" si="404"/>
        <v>0.25</v>
      </c>
      <c r="P1052" s="10">
        <f t="shared" si="404"/>
        <v>0.5</v>
      </c>
      <c r="Q1052" s="40">
        <f t="shared" si="401"/>
        <v>4.5333333333333337E-2</v>
      </c>
      <c r="R1052" s="21">
        <f>IF(D1052&gt;21,VLOOKUP(D1052,Barem!$T$1:$U$141,2,1),0)</f>
        <v>0.4</v>
      </c>
      <c r="S1052" s="152">
        <f>IF(D1052&lt;1.609,0,IF(B1052="F",VLOOKUP(I1052,Barem!$X$2:$Z$13,2,1),VLOOKUP(I1052,Barem!$X$14:$Z$25,2,1)))</f>
        <v>0</v>
      </c>
      <c r="T1052" s="21">
        <f>VLOOKUP(A1052,Participanti!A:C,3,0)</f>
        <v>0</v>
      </c>
      <c r="U1052" s="18">
        <f t="shared" si="402"/>
        <v>3.8828333333333331</v>
      </c>
      <c r="V1052" s="58" t="s">
        <v>501</v>
      </c>
      <c r="W1052" s="77">
        <f t="shared" si="391"/>
        <v>1</v>
      </c>
      <c r="X1052" s="1" t="str">
        <f>VLOOKUP(A1052,Data_Echipe!A:R,18,0)</f>
        <v>UltraHaita lu' Borcan</v>
      </c>
      <c r="Z1052" s="115">
        <f t="shared" si="403"/>
        <v>1</v>
      </c>
    </row>
    <row r="1053" spans="1:26" x14ac:dyDescent="0.3">
      <c r="A1053" s="49" t="s">
        <v>303</v>
      </c>
      <c r="B1053" s="1" t="str">
        <f>VLOOKUP(A1053,Participanti!A:B,2,0)</f>
        <v>F</v>
      </c>
      <c r="C1053" s="74">
        <v>13</v>
      </c>
      <c r="D1053" s="50">
        <v>19.57</v>
      </c>
      <c r="E1053" s="51">
        <v>0.10031249999999999</v>
      </c>
      <c r="F1053" s="51">
        <v>0.10369212962962963</v>
      </c>
      <c r="G1053" s="69">
        <f t="shared" si="398"/>
        <v>0.10200231481481481</v>
      </c>
      <c r="H1053" s="52">
        <v>688</v>
      </c>
      <c r="I1053" s="12">
        <f t="shared" si="399"/>
        <v>5.2121775582429641E-3</v>
      </c>
      <c r="J1053" s="37">
        <f t="shared" si="400"/>
        <v>4.8925000000000001</v>
      </c>
      <c r="K1053" s="37">
        <f>IF(J1053=0,0,IF(B1053="F",VLOOKUP(I1053,Barem!$G$2:$H$16,2,1),VLOOKUP(I1053,Barem!$G$17:$H$31,2,1)))</f>
        <v>0.5</v>
      </c>
      <c r="L1053" s="50">
        <v>2.5</v>
      </c>
      <c r="M1053" s="124" t="s">
        <v>207</v>
      </c>
      <c r="N1053" s="10">
        <f t="shared" si="404"/>
        <v>0.25</v>
      </c>
      <c r="O1053" s="10">
        <f t="shared" si="404"/>
        <v>0.25</v>
      </c>
      <c r="P1053" s="10">
        <f t="shared" si="404"/>
        <v>0.5</v>
      </c>
      <c r="Q1053" s="40">
        <f t="shared" si="401"/>
        <v>0.45866666666666667</v>
      </c>
      <c r="R1053" s="21">
        <f>IF(D1053&gt;21,VLOOKUP(D1053,Barem!$T$1:$U$141,2,1),0)</f>
        <v>0</v>
      </c>
      <c r="S1053" s="152">
        <f>IF(D1053&lt;1.609,0,IF(B1053="F",VLOOKUP(I1053,Barem!$X$2:$Z$13,2,1),VLOOKUP(I1053,Barem!$X$14:$Z$25,2,1)))</f>
        <v>0</v>
      </c>
      <c r="T1053" s="21">
        <f>VLOOKUP(A1053,Participanti!A:C,3,0)</f>
        <v>0</v>
      </c>
      <c r="U1053" s="18">
        <f t="shared" si="402"/>
        <v>3.0567916666666668</v>
      </c>
      <c r="V1053" s="58" t="s">
        <v>501</v>
      </c>
      <c r="W1053" s="77">
        <f t="shared" si="391"/>
        <v>1</v>
      </c>
      <c r="X1053" s="1" t="e">
        <f>VLOOKUP(A1053,Data_Echipe!A:R,18,0)</f>
        <v>#N/A</v>
      </c>
      <c r="Z1053" s="115">
        <f t="shared" si="403"/>
        <v>1</v>
      </c>
    </row>
    <row r="1054" spans="1:26" x14ac:dyDescent="0.3">
      <c r="A1054" s="49" t="s">
        <v>225</v>
      </c>
      <c r="B1054" s="1" t="str">
        <f>VLOOKUP(A1054,Participanti!A:B,2,0)</f>
        <v>F</v>
      </c>
      <c r="C1054" s="74">
        <v>13</v>
      </c>
      <c r="D1054" s="50">
        <v>12.49</v>
      </c>
      <c r="E1054" s="51">
        <v>4.8043981481481479E-2</v>
      </c>
      <c r="F1054" s="51">
        <v>4.8749999999999995E-2</v>
      </c>
      <c r="G1054" s="69">
        <f t="shared" si="398"/>
        <v>4.8396990740740733E-2</v>
      </c>
      <c r="H1054" s="52"/>
      <c r="I1054" s="12">
        <f t="shared" si="399"/>
        <v>3.8748591465765196E-3</v>
      </c>
      <c r="J1054" s="37">
        <f t="shared" si="400"/>
        <v>3.1225000000000001</v>
      </c>
      <c r="K1054" s="37">
        <f>IF(J1054=0,0,IF(B1054="F",VLOOKUP(I1054,Barem!$G$2:$H$16,2,1),VLOOKUP(I1054,Barem!$G$17:$H$31,2,1)))</f>
        <v>2.5</v>
      </c>
      <c r="L1054" s="50">
        <v>3.75</v>
      </c>
      <c r="M1054" s="124" t="s">
        <v>107</v>
      </c>
      <c r="N1054" s="10">
        <f t="shared" si="404"/>
        <v>0.25</v>
      </c>
      <c r="O1054" s="10">
        <f t="shared" si="404"/>
        <v>0.5</v>
      </c>
      <c r="P1054" s="10">
        <f t="shared" si="404"/>
        <v>0.25</v>
      </c>
      <c r="Q1054" s="40">
        <f t="shared" si="401"/>
        <v>0</v>
      </c>
      <c r="R1054" s="21">
        <f>IF(D1054&gt;21,VLOOKUP(D1054,Barem!$T$1:$U$141,2,1),0)</f>
        <v>0</v>
      </c>
      <c r="S1054" s="152">
        <f>IF(D1054&lt;1.609,0,IF(B1054="F",VLOOKUP(I1054,Barem!$X$2:$Z$13,2,1),VLOOKUP(I1054,Barem!$X$14:$Z$25,2,1)))</f>
        <v>0</v>
      </c>
      <c r="T1054" s="21">
        <f>VLOOKUP(A1054,Participanti!A:C,3,0)</f>
        <v>0</v>
      </c>
      <c r="U1054" s="18">
        <f t="shared" si="402"/>
        <v>2.9681250000000001</v>
      </c>
      <c r="V1054" s="58" t="s">
        <v>501</v>
      </c>
      <c r="W1054" s="77">
        <f t="shared" si="391"/>
        <v>1</v>
      </c>
      <c r="X1054" s="1" t="str">
        <f>VLOOKUP(A1054,Data_Echipe!A:R,18,0)</f>
        <v>The GOATs</v>
      </c>
      <c r="Z1054" s="115">
        <f t="shared" si="403"/>
        <v>1</v>
      </c>
    </row>
    <row r="1055" spans="1:26" x14ac:dyDescent="0.3">
      <c r="A1055" s="49" t="s">
        <v>339</v>
      </c>
      <c r="B1055" s="1" t="str">
        <f>VLOOKUP(A1055,Participanti!A:B,2,0)</f>
        <v>M</v>
      </c>
      <c r="C1055" s="74">
        <v>13</v>
      </c>
      <c r="D1055" s="50">
        <v>42</v>
      </c>
      <c r="E1055" s="51">
        <v>0.18062500000000001</v>
      </c>
      <c r="F1055" s="51">
        <v>0.19918981481481482</v>
      </c>
      <c r="G1055" s="69">
        <f t="shared" si="398"/>
        <v>0.18990740740740741</v>
      </c>
      <c r="H1055" s="52">
        <v>1550</v>
      </c>
      <c r="I1055" s="12">
        <f t="shared" si="399"/>
        <v>4.5216049382716048E-3</v>
      </c>
      <c r="J1055" s="37">
        <f t="shared" si="400"/>
        <v>5</v>
      </c>
      <c r="K1055" s="37">
        <f>IF(J1055=0,0,IF(B1055="F",VLOOKUP(I1055,Barem!$G$2:$H$16,2,1),VLOOKUP(I1055,Barem!$G$17:$H$31,2,1)))</f>
        <v>1</v>
      </c>
      <c r="L1055" s="50">
        <v>3.25</v>
      </c>
      <c r="M1055" s="124" t="s">
        <v>207</v>
      </c>
      <c r="N1055" s="10">
        <f t="shared" si="404"/>
        <v>0.25</v>
      </c>
      <c r="O1055" s="10">
        <f t="shared" si="404"/>
        <v>0.25</v>
      </c>
      <c r="P1055" s="10">
        <f t="shared" si="404"/>
        <v>0.5</v>
      </c>
      <c r="Q1055" s="40">
        <f t="shared" si="401"/>
        <v>1.0333333333333334</v>
      </c>
      <c r="R1055" s="21">
        <f>IF(D1055&gt;21,VLOOKUP(D1055,Barem!$T$1:$U$141,2,1),0)</f>
        <v>1</v>
      </c>
      <c r="S1055" s="152">
        <f>IF(D1055&lt;1.609,0,IF(B1055="F",VLOOKUP(I1055,Barem!$X$2:$Z$13,2,1),VLOOKUP(I1055,Barem!$X$14:$Z$25,2,1)))</f>
        <v>0</v>
      </c>
      <c r="T1055" s="21">
        <f>VLOOKUP(A1055,Participanti!A:C,3,0)</f>
        <v>0</v>
      </c>
      <c r="U1055" s="18">
        <f t="shared" si="402"/>
        <v>5.1583333333333332</v>
      </c>
      <c r="V1055" s="58" t="s">
        <v>501</v>
      </c>
      <c r="W1055" s="77">
        <f t="shared" si="391"/>
        <v>1</v>
      </c>
      <c r="X1055" s="1" t="str">
        <f>VLOOKUP(A1055,Data_Echipe!A:R,18,0)</f>
        <v>MedgidiaRunning</v>
      </c>
      <c r="Z1055" s="115">
        <f t="shared" si="403"/>
        <v>1</v>
      </c>
    </row>
    <row r="1056" spans="1:26" x14ac:dyDescent="0.3">
      <c r="A1056" s="49" t="s">
        <v>208</v>
      </c>
      <c r="B1056" s="1" t="str">
        <f>VLOOKUP(A1056,Participanti!A:B,2,0)</f>
        <v>M</v>
      </c>
      <c r="C1056" s="74">
        <v>13</v>
      </c>
      <c r="D1056" s="50">
        <v>42.71</v>
      </c>
      <c r="E1056" s="51">
        <v>0.20576388888888889</v>
      </c>
      <c r="F1056" s="51">
        <v>0.21054398148148148</v>
      </c>
      <c r="G1056" s="69">
        <f t="shared" si="398"/>
        <v>0.20815393518518518</v>
      </c>
      <c r="H1056" s="52">
        <v>1550</v>
      </c>
      <c r="I1056" s="12">
        <f t="shared" si="399"/>
        <v>4.8736580469488453E-3</v>
      </c>
      <c r="J1056" s="37">
        <f t="shared" si="400"/>
        <v>5</v>
      </c>
      <c r="K1056" s="37">
        <f>IF(J1056=0,0,IF(B1056="F",VLOOKUP(I1056,Barem!$G$2:$H$16,2,1),VLOOKUP(I1056,Barem!$G$17:$H$31,2,1)))</f>
        <v>0.25</v>
      </c>
      <c r="L1056" s="50">
        <v>3.5</v>
      </c>
      <c r="M1056" s="124" t="s">
        <v>106</v>
      </c>
      <c r="N1056" s="10">
        <f t="shared" si="404"/>
        <v>0.5</v>
      </c>
      <c r="O1056" s="10">
        <f t="shared" si="404"/>
        <v>0.25</v>
      </c>
      <c r="P1056" s="10">
        <f t="shared" si="404"/>
        <v>0.25</v>
      </c>
      <c r="Q1056" s="40">
        <f t="shared" si="401"/>
        <v>1.0333333333333334</v>
      </c>
      <c r="R1056" s="21">
        <f>IF(D1056&gt;21,VLOOKUP(D1056,Barem!$T$1:$U$141,2,1),0)</f>
        <v>1</v>
      </c>
      <c r="S1056" s="152">
        <f>IF(D1056&lt;1.609,0,IF(B1056="F",VLOOKUP(I1056,Barem!$X$2:$Z$13,2,1),VLOOKUP(I1056,Barem!$X$14:$Z$25,2,1)))</f>
        <v>0</v>
      </c>
      <c r="T1056" s="21">
        <f>VLOOKUP(A1056,Participanti!A:C,3,0)</f>
        <v>0</v>
      </c>
      <c r="U1056" s="18">
        <f t="shared" si="402"/>
        <v>5.4708333333333332</v>
      </c>
      <c r="V1056" s="58" t="s">
        <v>501</v>
      </c>
      <c r="W1056" s="77">
        <f t="shared" si="391"/>
        <v>1</v>
      </c>
      <c r="X1056" s="1" t="e">
        <f>VLOOKUP(A1056,Data_Echipe!A:R,18,0)</f>
        <v>#N/A</v>
      </c>
      <c r="Z1056" s="115">
        <f t="shared" si="403"/>
        <v>1</v>
      </c>
    </row>
    <row r="1057" spans="1:26" x14ac:dyDescent="0.3">
      <c r="A1057" s="49" t="s">
        <v>227</v>
      </c>
      <c r="B1057" s="1" t="str">
        <f>VLOOKUP(A1057,Participanti!A:B,2,0)</f>
        <v>M</v>
      </c>
      <c r="C1057" s="74">
        <v>13</v>
      </c>
      <c r="D1057" s="50">
        <v>60.06</v>
      </c>
      <c r="E1057" s="51">
        <v>0.24064814814814817</v>
      </c>
      <c r="F1057" s="51">
        <v>0.28469907407407408</v>
      </c>
      <c r="G1057" s="69">
        <f t="shared" si="398"/>
        <v>0.26267361111111109</v>
      </c>
      <c r="H1057" s="52">
        <v>1193</v>
      </c>
      <c r="I1057" s="12">
        <f t="shared" si="399"/>
        <v>4.3735199985199978E-3</v>
      </c>
      <c r="J1057" s="37">
        <f t="shared" si="400"/>
        <v>5</v>
      </c>
      <c r="K1057" s="37">
        <f>IF(J1057=0,0,IF(B1057="F",VLOOKUP(I1057,Barem!$G$2:$H$16,2,1),VLOOKUP(I1057,Barem!$G$17:$H$31,2,1)))</f>
        <v>1</v>
      </c>
      <c r="L1057" s="50">
        <v>3.75</v>
      </c>
      <c r="M1057" s="124" t="s">
        <v>207</v>
      </c>
      <c r="N1057" s="10">
        <f t="shared" si="404"/>
        <v>0.25</v>
      </c>
      <c r="O1057" s="10">
        <f t="shared" si="404"/>
        <v>0.25</v>
      </c>
      <c r="P1057" s="10">
        <f t="shared" si="404"/>
        <v>0.5</v>
      </c>
      <c r="Q1057" s="40">
        <f t="shared" si="401"/>
        <v>0.79533333333333334</v>
      </c>
      <c r="R1057" s="21">
        <f>IF(D1057&gt;21,VLOOKUP(D1057,Barem!$T$1:$U$141,2,1),0)</f>
        <v>1.9</v>
      </c>
      <c r="S1057" s="152">
        <f>IF(D1057&lt;1.609,0,IF(B1057="F",VLOOKUP(I1057,Barem!$X$2:$Z$13,2,1),VLOOKUP(I1057,Barem!$X$14:$Z$25,2,1)))</f>
        <v>0</v>
      </c>
      <c r="T1057" s="21">
        <f>VLOOKUP(A1057,Participanti!A:C,3,0)</f>
        <v>0</v>
      </c>
      <c r="U1057" s="18">
        <f t="shared" si="402"/>
        <v>6.070333333333334</v>
      </c>
      <c r="V1057" s="58" t="s">
        <v>501</v>
      </c>
      <c r="W1057" s="77">
        <f t="shared" si="391"/>
        <v>1</v>
      </c>
      <c r="X1057" s="1" t="str">
        <f>VLOOKUP(A1057,Data_Echipe!A:R,18,0)</f>
        <v>UltraHaita lu' Borcan</v>
      </c>
      <c r="Z1057" s="115">
        <f t="shared" si="403"/>
        <v>1</v>
      </c>
    </row>
    <row r="1058" spans="1:26" x14ac:dyDescent="0.3">
      <c r="A1058" s="49" t="s">
        <v>124</v>
      </c>
      <c r="B1058" s="1" t="str">
        <f>VLOOKUP(A1058,Participanti!A:B,2,0)</f>
        <v>M</v>
      </c>
      <c r="C1058" s="74">
        <v>13</v>
      </c>
      <c r="D1058" s="50">
        <v>23.03</v>
      </c>
      <c r="E1058" s="51">
        <v>6.1435185185185183E-2</v>
      </c>
      <c r="F1058" s="51">
        <v>6.1435185185185183E-2</v>
      </c>
      <c r="G1058" s="69">
        <f t="shared" si="398"/>
        <v>6.1435185185185183E-2</v>
      </c>
      <c r="H1058" s="52"/>
      <c r="I1058" s="12">
        <f t="shared" si="399"/>
        <v>2.667615509560798E-3</v>
      </c>
      <c r="J1058" s="37">
        <f t="shared" si="400"/>
        <v>5</v>
      </c>
      <c r="K1058" s="37">
        <f>IF(J1058=0,0,IF(B1058="F",VLOOKUP(I1058,Barem!$G$2:$H$16,2,1),VLOOKUP(I1058,Barem!$G$17:$H$31,2,1)))</f>
        <v>5</v>
      </c>
      <c r="L1058" s="50">
        <v>3</v>
      </c>
      <c r="M1058" s="124" t="s">
        <v>106</v>
      </c>
      <c r="N1058" s="10">
        <f t="shared" si="404"/>
        <v>0.5</v>
      </c>
      <c r="O1058" s="10">
        <f t="shared" si="404"/>
        <v>0.25</v>
      </c>
      <c r="P1058" s="10">
        <f t="shared" si="404"/>
        <v>0.25</v>
      </c>
      <c r="Q1058" s="40">
        <f t="shared" si="401"/>
        <v>0</v>
      </c>
      <c r="R1058" s="21">
        <f>IF(D1058&gt;21,VLOOKUP(D1058,Barem!$T$1:$U$141,2,1),0)</f>
        <v>0.1</v>
      </c>
      <c r="S1058" s="152">
        <f>IF(D1058&lt;1.609,0,IF(B1058="F",VLOOKUP(I1058,Barem!$X$2:$Z$13,2,1),VLOOKUP(I1058,Barem!$X$14:$Z$25,2,1)))</f>
        <v>0.89999999999999991</v>
      </c>
      <c r="T1058" s="21">
        <f>VLOOKUP(A1058,Participanti!A:C,3,0)</f>
        <v>0</v>
      </c>
      <c r="U1058" s="18">
        <f t="shared" si="402"/>
        <v>5.5</v>
      </c>
      <c r="V1058" s="58" t="s">
        <v>501</v>
      </c>
      <c r="W1058" s="77">
        <f t="shared" si="391"/>
        <v>1</v>
      </c>
      <c r="X1058" s="1" t="str">
        <f>VLOOKUP(A1058,Data_Echipe!A:R,18,0)</f>
        <v>#notSYRious</v>
      </c>
      <c r="Z1058" s="115">
        <f t="shared" si="403"/>
        <v>1</v>
      </c>
    </row>
    <row r="1059" spans="1:26" x14ac:dyDescent="0.3">
      <c r="A1059" s="49" t="s">
        <v>203</v>
      </c>
      <c r="B1059" s="1" t="str">
        <f>VLOOKUP(A1059,Participanti!A:B,2,0)</f>
        <v>M</v>
      </c>
      <c r="C1059" s="74">
        <v>13</v>
      </c>
      <c r="D1059" s="50">
        <v>10.01</v>
      </c>
      <c r="E1059" s="51">
        <v>2.9479166666666667E-2</v>
      </c>
      <c r="F1059" s="51">
        <v>2.960648148148148E-2</v>
      </c>
      <c r="G1059" s="69">
        <f t="shared" si="398"/>
        <v>2.9542824074074076E-2</v>
      </c>
      <c r="H1059" s="52"/>
      <c r="I1059" s="12">
        <f t="shared" si="399"/>
        <v>2.9513310763310766E-3</v>
      </c>
      <c r="J1059" s="37">
        <f t="shared" si="400"/>
        <v>2.3833333333333333</v>
      </c>
      <c r="K1059" s="37">
        <f>IF(J1059=0,0,IF(B1059="F",VLOOKUP(I1059,Barem!$G$2:$H$16,2,1),VLOOKUP(I1059,Barem!$G$17:$H$31,2,1)))</f>
        <v>4.5</v>
      </c>
      <c r="L1059" s="50">
        <v>4</v>
      </c>
      <c r="M1059" s="124" t="s">
        <v>207</v>
      </c>
      <c r="N1059" s="10">
        <f t="shared" si="404"/>
        <v>0.25</v>
      </c>
      <c r="O1059" s="10">
        <f t="shared" si="404"/>
        <v>0.25</v>
      </c>
      <c r="P1059" s="10">
        <f t="shared" si="404"/>
        <v>0.5</v>
      </c>
      <c r="Q1059" s="40">
        <f t="shared" si="401"/>
        <v>0</v>
      </c>
      <c r="R1059" s="21">
        <f>IF(D1059&gt;21,VLOOKUP(D1059,Barem!$T$1:$U$141,2,1),0)</f>
        <v>0</v>
      </c>
      <c r="S1059" s="152">
        <f>IF(D1059&lt;1.609,0,IF(B1059="F",VLOOKUP(I1059,Barem!$X$2:$Z$13,2,1),VLOOKUP(I1059,Barem!$X$14:$Z$25,2,1)))</f>
        <v>0</v>
      </c>
      <c r="T1059" s="21">
        <f>VLOOKUP(A1059,Participanti!A:C,3,0)</f>
        <v>0</v>
      </c>
      <c r="U1059" s="18">
        <f t="shared" si="402"/>
        <v>3.7208333333333332</v>
      </c>
      <c r="V1059" s="58" t="s">
        <v>501</v>
      </c>
      <c r="W1059" s="77">
        <f t="shared" si="391"/>
        <v>1</v>
      </c>
      <c r="X1059" s="1" t="str">
        <f>VLOOKUP(A1059,Data_Echipe!A:R,18,0)</f>
        <v>The GOATs</v>
      </c>
      <c r="Z1059" s="115">
        <f t="shared" si="403"/>
        <v>1</v>
      </c>
    </row>
    <row r="1060" spans="1:26" x14ac:dyDescent="0.3">
      <c r="A1060" s="49" t="s">
        <v>355</v>
      </c>
      <c r="B1060" s="1" t="str">
        <f>VLOOKUP(A1060,Participanti!A:B,2,0)</f>
        <v>F</v>
      </c>
      <c r="C1060" s="74">
        <v>13</v>
      </c>
      <c r="D1060" s="50">
        <v>8.9700000000000006</v>
      </c>
      <c r="E1060" s="51">
        <v>3.7754629629629631E-2</v>
      </c>
      <c r="F1060" s="51">
        <v>3.7754629629629631E-2</v>
      </c>
      <c r="G1060" s="69">
        <f t="shared" si="398"/>
        <v>3.7754629629629631E-2</v>
      </c>
      <c r="H1060" s="52"/>
      <c r="I1060" s="12">
        <f t="shared" si="399"/>
        <v>4.2089888104380859E-3</v>
      </c>
      <c r="J1060" s="37">
        <f t="shared" si="400"/>
        <v>2.2425000000000002</v>
      </c>
      <c r="K1060" s="37">
        <f>IF(J1060=0,0,IF(B1060="F",VLOOKUP(I1060,Barem!$G$2:$H$16,2,1),VLOOKUP(I1060,Barem!$G$17:$H$31,2,1)))</f>
        <v>1.75</v>
      </c>
      <c r="L1060" s="50">
        <v>3.25</v>
      </c>
      <c r="M1060" s="124" t="s">
        <v>106</v>
      </c>
      <c r="N1060" s="10">
        <f t="shared" si="404"/>
        <v>0.5</v>
      </c>
      <c r="O1060" s="10">
        <f t="shared" si="404"/>
        <v>0.25</v>
      </c>
      <c r="P1060" s="10">
        <f t="shared" si="404"/>
        <v>0.25</v>
      </c>
      <c r="Q1060" s="40">
        <f t="shared" si="401"/>
        <v>0</v>
      </c>
      <c r="R1060" s="21">
        <f>IF(D1060&gt;21,VLOOKUP(D1060,Barem!$T$1:$U$141,2,1),0)</f>
        <v>0</v>
      </c>
      <c r="S1060" s="152">
        <f>IF(D1060&lt;1.609,0,IF(B1060="F",VLOOKUP(I1060,Barem!$X$2:$Z$13,2,1),VLOOKUP(I1060,Barem!$X$14:$Z$25,2,1)))</f>
        <v>0</v>
      </c>
      <c r="T1060" s="21">
        <f>VLOOKUP(A1060,Participanti!A:C,3,0)</f>
        <v>0</v>
      </c>
      <c r="U1060" s="18">
        <f t="shared" si="402"/>
        <v>2.3712499999999999</v>
      </c>
      <c r="V1060" s="58" t="s">
        <v>501</v>
      </c>
      <c r="W1060" s="77">
        <f t="shared" si="391"/>
        <v>1</v>
      </c>
      <c r="X1060" s="1" t="str">
        <f>VLOOKUP(A1060,Data_Echipe!A:R,18,0)</f>
        <v>#notSYRious</v>
      </c>
      <c r="Z1060" s="115">
        <f t="shared" si="403"/>
        <v>1</v>
      </c>
    </row>
    <row r="1061" spans="1:26" x14ac:dyDescent="0.3">
      <c r="A1061" s="49" t="s">
        <v>252</v>
      </c>
      <c r="B1061" s="1" t="str">
        <f>VLOOKUP(A1061,Participanti!A:B,2,0)</f>
        <v>M</v>
      </c>
      <c r="C1061" s="74">
        <v>13</v>
      </c>
      <c r="D1061" s="50">
        <v>42.52</v>
      </c>
      <c r="E1061" s="51">
        <v>0.23968749999999997</v>
      </c>
      <c r="F1061" s="51">
        <v>0.25488425925925923</v>
      </c>
      <c r="G1061" s="69">
        <f t="shared" si="398"/>
        <v>0.24728587962962961</v>
      </c>
      <c r="H1061" s="52">
        <v>1550</v>
      </c>
      <c r="I1061" s="12">
        <f t="shared" si="399"/>
        <v>5.8157544597749198E-3</v>
      </c>
      <c r="J1061" s="37">
        <f t="shared" si="400"/>
        <v>5</v>
      </c>
      <c r="K1061" s="37">
        <f>IF(J1061=0,0,IF(B1061="F",VLOOKUP(I1061,Barem!$G$2:$H$16,2,1),VLOOKUP(I1061,Barem!$G$17:$H$31,2,1)))</f>
        <v>0</v>
      </c>
      <c r="L1061" s="50">
        <v>3.75</v>
      </c>
      <c r="M1061" s="124" t="s">
        <v>207</v>
      </c>
      <c r="N1061" s="10">
        <f t="shared" si="404"/>
        <v>0.25</v>
      </c>
      <c r="O1061" s="10">
        <f t="shared" si="404"/>
        <v>0.25</v>
      </c>
      <c r="P1061" s="10">
        <f t="shared" si="404"/>
        <v>0.5</v>
      </c>
      <c r="Q1061" s="40">
        <f t="shared" si="401"/>
        <v>1.0333333333333334</v>
      </c>
      <c r="R1061" s="21">
        <f>IF(D1061&gt;21,VLOOKUP(D1061,Barem!$T$1:$U$141,2,1),0)</f>
        <v>1</v>
      </c>
      <c r="S1061" s="152">
        <f>IF(D1061&lt;1.609,0,IF(B1061="F",VLOOKUP(I1061,Barem!$X$2:$Z$13,2,1),VLOOKUP(I1061,Barem!$X$14:$Z$25,2,1)))</f>
        <v>0</v>
      </c>
      <c r="T1061" s="21">
        <f>VLOOKUP(A1061,Participanti!A:C,3,0)</f>
        <v>0</v>
      </c>
      <c r="U1061" s="18">
        <f t="shared" si="402"/>
        <v>5.1583333333333332</v>
      </c>
      <c r="V1061" s="58" t="s">
        <v>501</v>
      </c>
      <c r="W1061" s="77">
        <f t="shared" si="391"/>
        <v>1</v>
      </c>
      <c r="X1061" s="1" t="str">
        <f>VLOOKUP(A1061,Data_Echipe!A:R,18,0)</f>
        <v>UltraHaita lu' Borcan</v>
      </c>
      <c r="Z1061" s="115">
        <f t="shared" si="403"/>
        <v>0</v>
      </c>
    </row>
    <row r="1062" spans="1:26" x14ac:dyDescent="0.3">
      <c r="A1062" s="49" t="s">
        <v>387</v>
      </c>
      <c r="B1062" s="1" t="str">
        <f>VLOOKUP(A1062,Participanti!A:B,2,0)</f>
        <v>F</v>
      </c>
      <c r="C1062" s="74">
        <v>13</v>
      </c>
      <c r="D1062" s="50">
        <v>21.23</v>
      </c>
      <c r="E1062" s="51">
        <v>8.2407407407407415E-2</v>
      </c>
      <c r="F1062" s="51">
        <v>8.2858796296296292E-2</v>
      </c>
      <c r="G1062" s="69">
        <f t="shared" si="398"/>
        <v>8.2633101851851853E-2</v>
      </c>
      <c r="H1062" s="52"/>
      <c r="I1062" s="12">
        <f t="shared" si="399"/>
        <v>3.8922798799741806E-3</v>
      </c>
      <c r="J1062" s="37">
        <f t="shared" si="400"/>
        <v>5</v>
      </c>
      <c r="K1062" s="37">
        <f>IF(J1062=0,0,IF(B1062="F",VLOOKUP(I1062,Barem!$G$2:$H$16,2,1),VLOOKUP(I1062,Barem!$G$17:$H$31,2,1)))</f>
        <v>2.5</v>
      </c>
      <c r="L1062" s="50">
        <v>2.75</v>
      </c>
      <c r="M1062" s="124" t="s">
        <v>106</v>
      </c>
      <c r="N1062" s="10">
        <f t="shared" si="404"/>
        <v>0.5</v>
      </c>
      <c r="O1062" s="10">
        <f t="shared" si="404"/>
        <v>0.25</v>
      </c>
      <c r="P1062" s="10">
        <f t="shared" si="404"/>
        <v>0.25</v>
      </c>
      <c r="Q1062" s="40">
        <f t="shared" si="401"/>
        <v>0</v>
      </c>
      <c r="R1062" s="21">
        <f>IF(D1062&gt;21,VLOOKUP(D1062,Barem!$T$1:$U$141,2,1),0)</f>
        <v>0</v>
      </c>
      <c r="S1062" s="152">
        <f>IF(D1062&lt;1.609,0,IF(B1062="F",VLOOKUP(I1062,Barem!$X$2:$Z$13,2,1),VLOOKUP(I1062,Barem!$X$14:$Z$25,2,1)))</f>
        <v>0</v>
      </c>
      <c r="T1062" s="21">
        <f>VLOOKUP(A1062,Participanti!A:C,3,0)</f>
        <v>0</v>
      </c>
      <c r="U1062" s="18">
        <f t="shared" si="402"/>
        <v>3.8125</v>
      </c>
      <c r="V1062" s="58" t="s">
        <v>501</v>
      </c>
      <c r="W1062" s="77">
        <f t="shared" si="391"/>
        <v>1</v>
      </c>
      <c r="X1062" s="1" t="str">
        <f>VLOOKUP(A1062,Data_Echipe!A:R,18,0)</f>
        <v>#notSYRious</v>
      </c>
      <c r="Z1062" s="115">
        <f t="shared" si="403"/>
        <v>1</v>
      </c>
    </row>
    <row r="1063" spans="1:26" x14ac:dyDescent="0.3">
      <c r="A1063" s="49" t="s">
        <v>291</v>
      </c>
      <c r="B1063" s="1" t="str">
        <f>VLOOKUP(A1063,Participanti!A:B,2,0)</f>
        <v>F</v>
      </c>
      <c r="C1063" s="74">
        <v>13</v>
      </c>
      <c r="D1063" s="50">
        <v>9.9499999999999993</v>
      </c>
      <c r="E1063" s="51">
        <v>5.2939814814814821E-2</v>
      </c>
      <c r="F1063" s="51">
        <v>5.5798611111111111E-2</v>
      </c>
      <c r="G1063" s="69">
        <f t="shared" si="398"/>
        <v>5.4369212962962966E-2</v>
      </c>
      <c r="H1063" s="52"/>
      <c r="I1063" s="12">
        <f t="shared" si="399"/>
        <v>5.4642425088404995E-3</v>
      </c>
      <c r="J1063" s="37">
        <f t="shared" si="400"/>
        <v>2.4874999999999998</v>
      </c>
      <c r="K1063" s="37">
        <f>IF(J1063=0,0,IF(B1063="F",VLOOKUP(I1063,Barem!$G$2:$H$16,2,1),VLOOKUP(I1063,Barem!$G$17:$H$31,2,1)))</f>
        <v>0.25</v>
      </c>
      <c r="L1063" s="50">
        <v>3</v>
      </c>
      <c r="M1063" s="124" t="s">
        <v>106</v>
      </c>
      <c r="N1063" s="10">
        <f t="shared" si="404"/>
        <v>0.5</v>
      </c>
      <c r="O1063" s="10">
        <f t="shared" si="404"/>
        <v>0.25</v>
      </c>
      <c r="P1063" s="10">
        <f t="shared" si="404"/>
        <v>0.25</v>
      </c>
      <c r="Q1063" s="40">
        <f t="shared" si="401"/>
        <v>0</v>
      </c>
      <c r="R1063" s="21">
        <f>IF(D1063&gt;21,VLOOKUP(D1063,Barem!$T$1:$U$141,2,1),0)</f>
        <v>0</v>
      </c>
      <c r="S1063" s="152">
        <f>IF(D1063&lt;1.609,0,IF(B1063="F",VLOOKUP(I1063,Barem!$X$2:$Z$13,2,1),VLOOKUP(I1063,Barem!$X$14:$Z$25,2,1)))</f>
        <v>0</v>
      </c>
      <c r="T1063" s="21">
        <f>VLOOKUP(A1063,Participanti!A:C,3,0)</f>
        <v>0</v>
      </c>
      <c r="U1063" s="18">
        <f t="shared" si="402"/>
        <v>2.0562499999999999</v>
      </c>
      <c r="V1063" s="58" t="s">
        <v>501</v>
      </c>
      <c r="W1063" s="77">
        <f t="shared" si="391"/>
        <v>1</v>
      </c>
      <c r="X1063" s="1" t="str">
        <f>VLOOKUP(A1063,Data_Echipe!A:R,18,0)</f>
        <v>#notSYRious</v>
      </c>
      <c r="Z1063" s="115">
        <f t="shared" si="403"/>
        <v>1</v>
      </c>
    </row>
    <row r="1064" spans="1:26" x14ac:dyDescent="0.3">
      <c r="A1064" s="49" t="s">
        <v>132</v>
      </c>
      <c r="B1064" s="1" t="str">
        <f>VLOOKUP(A1064,Participanti!A:B,2,0)</f>
        <v>F</v>
      </c>
      <c r="C1064" s="74">
        <v>13</v>
      </c>
      <c r="D1064" s="50">
        <v>22.82</v>
      </c>
      <c r="E1064" s="51">
        <v>0.12471064814814814</v>
      </c>
      <c r="F1064" s="51">
        <v>0.13403935185185187</v>
      </c>
      <c r="G1064" s="69">
        <f t="shared" si="398"/>
        <v>0.12937500000000002</v>
      </c>
      <c r="H1064" s="52">
        <v>628</v>
      </c>
      <c r="I1064" s="12">
        <f t="shared" si="399"/>
        <v>5.6693689745836995E-3</v>
      </c>
      <c r="J1064" s="37">
        <f t="shared" si="400"/>
        <v>5</v>
      </c>
      <c r="K1064" s="37">
        <f>IF(J1064=0,0,IF(B1064="F",VLOOKUP(I1064,Barem!$G$2:$H$16,2,1),VLOOKUP(I1064,Barem!$G$17:$H$31,2,1)))</f>
        <v>0.25</v>
      </c>
      <c r="L1064" s="50">
        <v>4</v>
      </c>
      <c r="M1064" s="124" t="s">
        <v>207</v>
      </c>
      <c r="N1064" s="10">
        <f t="shared" si="404"/>
        <v>0.25</v>
      </c>
      <c r="O1064" s="10">
        <f t="shared" si="404"/>
        <v>0.25</v>
      </c>
      <c r="P1064" s="10">
        <f t="shared" si="404"/>
        <v>0.5</v>
      </c>
      <c r="Q1064" s="40">
        <f t="shared" si="401"/>
        <v>0.41866666666666669</v>
      </c>
      <c r="R1064" s="21">
        <f>IF(D1064&gt;21,VLOOKUP(D1064,Barem!$T$1:$U$141,2,1),0)</f>
        <v>0</v>
      </c>
      <c r="S1064" s="152">
        <f>IF(D1064&lt;1.609,0,IF(B1064="F",VLOOKUP(I1064,Barem!$X$2:$Z$13,2,1),VLOOKUP(I1064,Barem!$X$14:$Z$25,2,1)))</f>
        <v>0</v>
      </c>
      <c r="T1064" s="21">
        <f>VLOOKUP(A1064,Participanti!A:C,3,0)</f>
        <v>0</v>
      </c>
      <c r="U1064" s="18">
        <f t="shared" si="402"/>
        <v>3.7311666666666667</v>
      </c>
      <c r="V1064" s="58" t="s">
        <v>501</v>
      </c>
      <c r="W1064" s="77">
        <f t="shared" si="391"/>
        <v>1</v>
      </c>
      <c r="X1064" s="1" t="str">
        <f>VLOOKUP(A1064,Data_Echipe!A:R,18,0)</f>
        <v>MedgidiaRunning</v>
      </c>
      <c r="Z1064" s="115">
        <f t="shared" si="403"/>
        <v>1</v>
      </c>
    </row>
    <row r="1065" spans="1:26" x14ac:dyDescent="0.3">
      <c r="A1065" s="49" t="s">
        <v>344</v>
      </c>
      <c r="B1065" s="1" t="str">
        <f>VLOOKUP(A1065,Participanti!A:B,2,0)</f>
        <v>F</v>
      </c>
      <c r="C1065" s="74">
        <v>13</v>
      </c>
      <c r="D1065" s="50">
        <v>19.899999999999999</v>
      </c>
      <c r="E1065" s="51">
        <v>0.10870370370370371</v>
      </c>
      <c r="F1065" s="51">
        <v>0.11230324074074073</v>
      </c>
      <c r="G1065" s="69">
        <f t="shared" si="398"/>
        <v>0.11050347222222222</v>
      </c>
      <c r="H1065" s="52">
        <v>715</v>
      </c>
      <c r="I1065" s="12">
        <f t="shared" si="399"/>
        <v>5.5529383026242324E-3</v>
      </c>
      <c r="J1065" s="37">
        <f t="shared" si="400"/>
        <v>4.9749999999999996</v>
      </c>
      <c r="K1065" s="37">
        <f>IF(J1065=0,0,IF(B1065="F",VLOOKUP(I1065,Barem!$G$2:$H$16,2,1),VLOOKUP(I1065,Barem!$G$17:$H$31,2,1)))</f>
        <v>0.25</v>
      </c>
      <c r="L1065" s="50">
        <v>4</v>
      </c>
      <c r="M1065" s="124" t="s">
        <v>106</v>
      </c>
      <c r="N1065" s="10">
        <f t="shared" si="404"/>
        <v>0.5</v>
      </c>
      <c r="O1065" s="10">
        <f t="shared" si="404"/>
        <v>0.25</v>
      </c>
      <c r="P1065" s="10">
        <f t="shared" si="404"/>
        <v>0.25</v>
      </c>
      <c r="Q1065" s="40">
        <f t="shared" si="401"/>
        <v>0.47666666666666668</v>
      </c>
      <c r="R1065" s="21">
        <f>IF(D1065&gt;21,VLOOKUP(D1065,Barem!$T$1:$U$141,2,1),0)</f>
        <v>0</v>
      </c>
      <c r="S1065" s="152">
        <f>IF(D1065&lt;1.609,0,IF(B1065="F",VLOOKUP(I1065,Barem!$X$2:$Z$13,2,1),VLOOKUP(I1065,Barem!$X$14:$Z$25,2,1)))</f>
        <v>0</v>
      </c>
      <c r="T1065" s="21">
        <f>VLOOKUP(A1065,Participanti!A:C,3,0)</f>
        <v>0</v>
      </c>
      <c r="U1065" s="18">
        <f t="shared" si="402"/>
        <v>4.0266666666666664</v>
      </c>
      <c r="V1065" s="58" t="s">
        <v>501</v>
      </c>
      <c r="W1065" s="77">
        <f t="shared" si="391"/>
        <v>1</v>
      </c>
      <c r="X1065" s="1" t="e">
        <f>VLOOKUP(A1065,Data_Echipe!A:R,18,0)</f>
        <v>#N/A</v>
      </c>
      <c r="Z1065" s="115">
        <f t="shared" si="403"/>
        <v>1</v>
      </c>
    </row>
    <row r="1066" spans="1:26" x14ac:dyDescent="0.3">
      <c r="A1066" s="49" t="s">
        <v>351</v>
      </c>
      <c r="B1066" s="1" t="str">
        <f>VLOOKUP(A1066,Participanti!A:B,2,0)</f>
        <v>F</v>
      </c>
      <c r="C1066" s="74">
        <v>13</v>
      </c>
      <c r="D1066" s="50">
        <v>10.16</v>
      </c>
      <c r="E1066" s="51">
        <v>3.1805555555555552E-2</v>
      </c>
      <c r="F1066" s="51">
        <v>3.1805555555555552E-2</v>
      </c>
      <c r="G1066" s="69">
        <f t="shared" si="398"/>
        <v>3.1805555555555552E-2</v>
      </c>
      <c r="H1066" s="52"/>
      <c r="I1066" s="12">
        <f t="shared" si="399"/>
        <v>3.130468066491688E-3</v>
      </c>
      <c r="J1066" s="37">
        <f t="shared" si="400"/>
        <v>2.54</v>
      </c>
      <c r="K1066" s="37">
        <f>IF(J1066=0,0,IF(B1066="F",VLOOKUP(I1066,Barem!$G$2:$H$16,2,1),VLOOKUP(I1066,Barem!$G$17:$H$31,2,1)))</f>
        <v>5</v>
      </c>
      <c r="L1066" s="50">
        <v>2.75</v>
      </c>
      <c r="M1066" s="124" t="s">
        <v>207</v>
      </c>
      <c r="N1066" s="10">
        <f t="shared" si="404"/>
        <v>0.25</v>
      </c>
      <c r="O1066" s="10">
        <f t="shared" si="404"/>
        <v>0.25</v>
      </c>
      <c r="P1066" s="10">
        <f t="shared" si="404"/>
        <v>0.5</v>
      </c>
      <c r="Q1066" s="40">
        <f t="shared" si="401"/>
        <v>0</v>
      </c>
      <c r="R1066" s="21">
        <f>IF(D1066&gt;21,VLOOKUP(D1066,Barem!$T$1:$U$141,2,1),0)</f>
        <v>0</v>
      </c>
      <c r="S1066" s="152">
        <f>IF(D1066&lt;1.609,0,IF(B1066="F",VLOOKUP(I1066,Barem!$X$2:$Z$13,2,1),VLOOKUP(I1066,Barem!$X$14:$Z$25,2,1)))</f>
        <v>0</v>
      </c>
      <c r="T1066" s="21">
        <f>VLOOKUP(A1066,Participanti!A:C,3,0)</f>
        <v>0</v>
      </c>
      <c r="U1066" s="18">
        <f t="shared" si="402"/>
        <v>3.26</v>
      </c>
      <c r="V1066" s="58" t="s">
        <v>501</v>
      </c>
      <c r="W1066" s="77">
        <f t="shared" si="391"/>
        <v>1</v>
      </c>
      <c r="X1066" s="1" t="e">
        <f>VLOOKUP(A1066,Data_Echipe!A:R,18,0)</f>
        <v>#N/A</v>
      </c>
      <c r="Z1066" s="115">
        <f t="shared" si="403"/>
        <v>1</v>
      </c>
    </row>
    <row r="1067" spans="1:26" x14ac:dyDescent="0.3">
      <c r="A1067" s="49" t="s">
        <v>48</v>
      </c>
      <c r="B1067" s="1" t="str">
        <f>VLOOKUP(A1067,Participanti!A:B,2,0)</f>
        <v>M</v>
      </c>
      <c r="C1067" s="74">
        <v>13</v>
      </c>
      <c r="D1067" s="50">
        <v>12.18</v>
      </c>
      <c r="E1067" s="51">
        <v>5.5995370370370369E-2</v>
      </c>
      <c r="F1067" s="51">
        <v>6.5856481481481488E-2</v>
      </c>
      <c r="G1067" s="69">
        <f t="shared" si="398"/>
        <v>6.0925925925925925E-2</v>
      </c>
      <c r="H1067" s="52">
        <v>264</v>
      </c>
      <c r="I1067" s="12">
        <f t="shared" si="399"/>
        <v>5.0021285653469565E-3</v>
      </c>
      <c r="J1067" s="37">
        <f t="shared" si="400"/>
        <v>2.9</v>
      </c>
      <c r="K1067" s="37">
        <f>IF(J1067=0,0,IF(B1067="F",VLOOKUP(I1067,Barem!$G$2:$H$16,2,1),VLOOKUP(I1067,Barem!$G$17:$H$31,2,1)))</f>
        <v>0.25</v>
      </c>
      <c r="L1067" s="50">
        <v>2.75</v>
      </c>
      <c r="M1067" s="124" t="s">
        <v>106</v>
      </c>
      <c r="N1067" s="10">
        <f t="shared" si="404"/>
        <v>0.5</v>
      </c>
      <c r="O1067" s="10">
        <f t="shared" si="404"/>
        <v>0.25</v>
      </c>
      <c r="P1067" s="10">
        <f t="shared" si="404"/>
        <v>0.25</v>
      </c>
      <c r="Q1067" s="40">
        <f t="shared" si="401"/>
        <v>0.17599999999999999</v>
      </c>
      <c r="R1067" s="21">
        <f>IF(D1067&gt;21,VLOOKUP(D1067,Barem!$T$1:$U$141,2,1),0)</f>
        <v>0</v>
      </c>
      <c r="S1067" s="152">
        <f>IF(D1067&lt;1.609,0,IF(B1067="F",VLOOKUP(I1067,Barem!$X$2:$Z$13,2,1),VLOOKUP(I1067,Barem!$X$14:$Z$25,2,1)))</f>
        <v>0</v>
      </c>
      <c r="T1067" s="21">
        <f>VLOOKUP(A1067,Participanti!A:C,3,0)</f>
        <v>0.4</v>
      </c>
      <c r="U1067" s="18">
        <f t="shared" si="402"/>
        <v>2.7760000000000002</v>
      </c>
      <c r="V1067" s="58" t="s">
        <v>501</v>
      </c>
      <c r="W1067" s="77">
        <f t="shared" si="391"/>
        <v>1</v>
      </c>
      <c r="X1067" s="1" t="str">
        <f>VLOOKUP(A1067,Data_Echipe!A:R,18,0)</f>
        <v>#notSYRious</v>
      </c>
      <c r="Z1067" s="115">
        <f t="shared" si="403"/>
        <v>1</v>
      </c>
    </row>
    <row r="1068" spans="1:26" x14ac:dyDescent="0.3">
      <c r="A1068" s="49" t="s">
        <v>177</v>
      </c>
      <c r="B1068" s="1" t="str">
        <f>VLOOKUP(A1068,Participanti!A:B,2,0)</f>
        <v>F</v>
      </c>
      <c r="C1068" s="74">
        <v>13</v>
      </c>
      <c r="D1068" s="50">
        <v>23.02</v>
      </c>
      <c r="E1068" s="51">
        <v>0.10252314814814815</v>
      </c>
      <c r="F1068" s="51">
        <v>0.12474537037037037</v>
      </c>
      <c r="G1068" s="69">
        <f t="shared" si="398"/>
        <v>0.11363425925925927</v>
      </c>
      <c r="H1068" s="52"/>
      <c r="I1068" s="12">
        <f t="shared" si="399"/>
        <v>4.9363275090903245E-3</v>
      </c>
      <c r="J1068" s="37">
        <f t="shared" si="400"/>
        <v>5</v>
      </c>
      <c r="K1068" s="37">
        <f>IF(J1068=0,0,IF(B1068="F",VLOOKUP(I1068,Barem!$G$2:$H$16,2,1),VLOOKUP(I1068,Barem!$G$17:$H$31,2,1)))</f>
        <v>0.75</v>
      </c>
      <c r="L1068" s="50">
        <v>3.25</v>
      </c>
      <c r="M1068" s="124" t="s">
        <v>106</v>
      </c>
      <c r="N1068" s="10">
        <f t="shared" si="404"/>
        <v>0.5</v>
      </c>
      <c r="O1068" s="10">
        <f t="shared" si="404"/>
        <v>0.25</v>
      </c>
      <c r="P1068" s="10">
        <f t="shared" si="404"/>
        <v>0.25</v>
      </c>
      <c r="Q1068" s="40">
        <f t="shared" si="401"/>
        <v>0</v>
      </c>
      <c r="R1068" s="21">
        <f>IF(D1068&gt;21,VLOOKUP(D1068,Barem!$T$1:$U$141,2,1),0)</f>
        <v>0.1</v>
      </c>
      <c r="S1068" s="152">
        <f>IF(D1068&lt;1.609,0,IF(B1068="F",VLOOKUP(I1068,Barem!$X$2:$Z$13,2,1),VLOOKUP(I1068,Barem!$X$14:$Z$25,2,1)))</f>
        <v>0</v>
      </c>
      <c r="T1068" s="21">
        <f>VLOOKUP(A1068,Participanti!A:C,3,0)</f>
        <v>0</v>
      </c>
      <c r="U1068" s="18">
        <f t="shared" si="402"/>
        <v>3.6</v>
      </c>
      <c r="V1068" s="58" t="s">
        <v>501</v>
      </c>
      <c r="W1068" s="77">
        <f t="shared" si="391"/>
        <v>1</v>
      </c>
      <c r="X1068" s="1" t="str">
        <f>VLOOKUP(A1068,Data_Echipe!A:R,18,0)</f>
        <v>UltraHaita lu' Borcan</v>
      </c>
      <c r="Z1068" s="115">
        <f t="shared" si="403"/>
        <v>1</v>
      </c>
    </row>
    <row r="1069" spans="1:26" x14ac:dyDescent="0.3">
      <c r="A1069" s="49" t="s">
        <v>241</v>
      </c>
      <c r="B1069" s="1" t="str">
        <f>VLOOKUP(A1069,Participanti!A:B,2,0)</f>
        <v>F</v>
      </c>
      <c r="C1069" s="74">
        <v>13</v>
      </c>
      <c r="D1069" s="50">
        <v>10.210000000000001</v>
      </c>
      <c r="E1069" s="51">
        <v>5.5775462962962964E-2</v>
      </c>
      <c r="F1069" s="51">
        <v>6.5590277777777775E-2</v>
      </c>
      <c r="G1069" s="69">
        <f t="shared" si="398"/>
        <v>6.0682870370370373E-2</v>
      </c>
      <c r="H1069" s="52">
        <v>434</v>
      </c>
      <c r="I1069" s="12">
        <f t="shared" si="399"/>
        <v>5.9434740813291255E-3</v>
      </c>
      <c r="J1069" s="37">
        <f t="shared" si="400"/>
        <v>2.5525000000000002</v>
      </c>
      <c r="K1069" s="37">
        <f>IF(J1069=0,0,IF(B1069="F",VLOOKUP(I1069,Barem!$G$2:$H$16,2,1),VLOOKUP(I1069,Barem!$G$17:$H$31,2,1)))</f>
        <v>0.25</v>
      </c>
      <c r="L1069" s="50">
        <v>3.5</v>
      </c>
      <c r="M1069" s="124" t="s">
        <v>106</v>
      </c>
      <c r="N1069" s="10">
        <f t="shared" si="404"/>
        <v>0.5</v>
      </c>
      <c r="O1069" s="10">
        <f t="shared" si="404"/>
        <v>0.25</v>
      </c>
      <c r="P1069" s="10">
        <f t="shared" si="404"/>
        <v>0.25</v>
      </c>
      <c r="Q1069" s="40">
        <f t="shared" si="401"/>
        <v>0.28933333333333333</v>
      </c>
      <c r="R1069" s="21">
        <f>IF(D1069&gt;21,VLOOKUP(D1069,Barem!$T$1:$U$141,2,1),0)</f>
        <v>0</v>
      </c>
      <c r="S1069" s="152">
        <f>IF(D1069&lt;1.609,0,IF(B1069="F",VLOOKUP(I1069,Barem!$X$2:$Z$13,2,1),VLOOKUP(I1069,Barem!$X$14:$Z$25,2,1)))</f>
        <v>0</v>
      </c>
      <c r="T1069" s="21">
        <f>VLOOKUP(A1069,Participanti!A:C,3,0)</f>
        <v>0</v>
      </c>
      <c r="U1069" s="18">
        <f t="shared" si="402"/>
        <v>2.5030833333333335</v>
      </c>
      <c r="V1069" s="58" t="s">
        <v>501</v>
      </c>
      <c r="W1069" s="77">
        <f t="shared" si="391"/>
        <v>1</v>
      </c>
      <c r="X1069" s="1" t="str">
        <f>VLOOKUP(A1069,Data_Echipe!A:R,18,0)</f>
        <v>Almost Kenyan Runners</v>
      </c>
      <c r="Z1069" s="115">
        <f t="shared" si="403"/>
        <v>1</v>
      </c>
    </row>
    <row r="1070" spans="1:26" x14ac:dyDescent="0.3">
      <c r="A1070" s="49" t="s">
        <v>431</v>
      </c>
      <c r="B1070" s="1" t="str">
        <f>VLOOKUP(A1070,Participanti!A:B,2,0)</f>
        <v>F</v>
      </c>
      <c r="C1070" s="74">
        <v>13</v>
      </c>
      <c r="D1070" s="50">
        <v>10.119999999999999</v>
      </c>
      <c r="E1070" s="51">
        <v>6.008101851851852E-2</v>
      </c>
      <c r="F1070" s="51">
        <v>6.7291666666666666E-2</v>
      </c>
      <c r="G1070" s="69">
        <f t="shared" si="398"/>
        <v>6.3686342592592593E-2</v>
      </c>
      <c r="H1070" s="52">
        <v>425</v>
      </c>
      <c r="I1070" s="12">
        <f t="shared" si="399"/>
        <v>6.2931168569755535E-3</v>
      </c>
      <c r="J1070" s="37">
        <f t="shared" si="400"/>
        <v>2.5299999999999998</v>
      </c>
      <c r="K1070" s="37">
        <f>IF(J1070=0,0,IF(B1070="F",VLOOKUP(I1070,Barem!$G$2:$H$16,2,1),VLOOKUP(I1070,Barem!$G$17:$H$31,2,1)))</f>
        <v>0</v>
      </c>
      <c r="L1070" s="50">
        <v>2.5</v>
      </c>
      <c r="M1070" s="124" t="s">
        <v>106</v>
      </c>
      <c r="N1070" s="10">
        <f t="shared" si="404"/>
        <v>0.5</v>
      </c>
      <c r="O1070" s="10">
        <f t="shared" si="404"/>
        <v>0.25</v>
      </c>
      <c r="P1070" s="10">
        <f t="shared" si="404"/>
        <v>0.25</v>
      </c>
      <c r="Q1070" s="40">
        <f t="shared" si="401"/>
        <v>0.28333333333333333</v>
      </c>
      <c r="R1070" s="21">
        <f>IF(D1070&gt;21,VLOOKUP(D1070,Barem!$T$1:$U$141,2,1),0)</f>
        <v>0</v>
      </c>
      <c r="S1070" s="152">
        <f>IF(D1070&lt;1.609,0,IF(B1070="F",VLOOKUP(I1070,Barem!$X$2:$Z$13,2,1),VLOOKUP(I1070,Barem!$X$14:$Z$25,2,1)))</f>
        <v>0</v>
      </c>
      <c r="T1070" s="21">
        <f>VLOOKUP(A1070,Participanti!A:C,3,0)</f>
        <v>0.4</v>
      </c>
      <c r="U1070" s="18">
        <f t="shared" si="402"/>
        <v>2.5733333333333333</v>
      </c>
      <c r="V1070" s="58" t="s">
        <v>501</v>
      </c>
      <c r="W1070" s="77">
        <f t="shared" si="391"/>
        <v>1</v>
      </c>
      <c r="X1070" s="1" t="e">
        <f>VLOOKUP(A1070,Data_Echipe!A:R,18,0)</f>
        <v>#N/A</v>
      </c>
      <c r="Z1070" s="115">
        <f t="shared" si="403"/>
        <v>0</v>
      </c>
    </row>
    <row r="1071" spans="1:26" x14ac:dyDescent="0.3">
      <c r="A1071" s="49" t="s">
        <v>248</v>
      </c>
      <c r="B1071" s="1" t="str">
        <f>VLOOKUP(A1071,Participanti!A:B,2,0)</f>
        <v>M</v>
      </c>
      <c r="C1071" s="74">
        <v>13</v>
      </c>
      <c r="D1071" s="50">
        <v>22.35</v>
      </c>
      <c r="E1071" s="51">
        <v>8.2465277777777776E-2</v>
      </c>
      <c r="F1071" s="51">
        <v>9.1712962962962954E-2</v>
      </c>
      <c r="G1071" s="69">
        <f t="shared" si="398"/>
        <v>8.7089120370370365E-2</v>
      </c>
      <c r="H1071" s="52">
        <v>71</v>
      </c>
      <c r="I1071" s="12">
        <f t="shared" si="399"/>
        <v>3.8966049382716046E-3</v>
      </c>
      <c r="J1071" s="37">
        <f t="shared" si="400"/>
        <v>5</v>
      </c>
      <c r="K1071" s="37">
        <f>IF(J1071=0,0,IF(B1071="F",VLOOKUP(I1071,Barem!$G$2:$H$16,2,1),VLOOKUP(I1071,Barem!$G$17:$H$31,2,1)))</f>
        <v>1.75</v>
      </c>
      <c r="L1071" s="50">
        <v>2.75</v>
      </c>
      <c r="M1071" s="124" t="s">
        <v>207</v>
      </c>
      <c r="N1071" s="10">
        <f t="shared" si="404"/>
        <v>0.25</v>
      </c>
      <c r="O1071" s="10">
        <f t="shared" si="404"/>
        <v>0.25</v>
      </c>
      <c r="P1071" s="10">
        <f t="shared" si="404"/>
        <v>0.5</v>
      </c>
      <c r="Q1071" s="40">
        <f t="shared" si="401"/>
        <v>4.7333333333333331E-2</v>
      </c>
      <c r="R1071" s="21">
        <f>IF(D1071&gt;21,VLOOKUP(D1071,Barem!$T$1:$U$141,2,1),0)</f>
        <v>0</v>
      </c>
      <c r="S1071" s="152">
        <f>IF(D1071&lt;1.609,0,IF(B1071="F",VLOOKUP(I1071,Barem!$X$2:$Z$13,2,1),VLOOKUP(I1071,Barem!$X$14:$Z$25,2,1)))</f>
        <v>0</v>
      </c>
      <c r="T1071" s="21">
        <f>VLOOKUP(A1071,Participanti!A:C,3,0)</f>
        <v>0</v>
      </c>
      <c r="U1071" s="18">
        <f t="shared" si="402"/>
        <v>3.1098333333333334</v>
      </c>
      <c r="V1071" s="58" t="s">
        <v>501</v>
      </c>
      <c r="W1071" s="77">
        <f t="shared" si="391"/>
        <v>1</v>
      </c>
      <c r="X1071" s="1" t="str">
        <f>VLOOKUP(A1071,Data_Echipe!A:R,18,0)</f>
        <v>Almost Kenyan Runners</v>
      </c>
      <c r="Z1071" s="115">
        <f t="shared" si="403"/>
        <v>1</v>
      </c>
    </row>
    <row r="1072" spans="1:26" x14ac:dyDescent="0.3">
      <c r="A1072" s="49" t="s">
        <v>125</v>
      </c>
      <c r="B1072" s="1" t="str">
        <f>VLOOKUP(A1072,Participanti!A:B,2,0)</f>
        <v>M</v>
      </c>
      <c r="C1072" s="74">
        <v>13</v>
      </c>
      <c r="D1072" s="50">
        <v>10.01</v>
      </c>
      <c r="E1072" s="51">
        <v>3.0474537037037036E-2</v>
      </c>
      <c r="F1072" s="51">
        <v>3.0474537037037036E-2</v>
      </c>
      <c r="G1072" s="69">
        <f t="shared" si="398"/>
        <v>3.0474537037037036E-2</v>
      </c>
      <c r="H1072" s="52"/>
      <c r="I1072" s="12">
        <f t="shared" si="399"/>
        <v>3.0444092944092943E-3</v>
      </c>
      <c r="J1072" s="37">
        <f t="shared" si="400"/>
        <v>2.3833333333333333</v>
      </c>
      <c r="K1072" s="37">
        <f>IF(J1072=0,0,IF(B1072="F",VLOOKUP(I1072,Barem!$G$2:$H$16,2,1),VLOOKUP(I1072,Barem!$G$17:$H$31,2,1)))</f>
        <v>4</v>
      </c>
      <c r="L1072" s="50">
        <v>0</v>
      </c>
      <c r="M1072" s="124" t="s">
        <v>106</v>
      </c>
      <c r="N1072" s="10">
        <f t="shared" si="404"/>
        <v>0.5</v>
      </c>
      <c r="O1072" s="10">
        <f t="shared" si="404"/>
        <v>0.25</v>
      </c>
      <c r="P1072" s="10">
        <f t="shared" si="404"/>
        <v>0.25</v>
      </c>
      <c r="Q1072" s="40">
        <f t="shared" si="401"/>
        <v>0</v>
      </c>
      <c r="R1072" s="21">
        <f>IF(D1072&gt;21,VLOOKUP(D1072,Barem!$T$1:$U$141,2,1),0)</f>
        <v>0</v>
      </c>
      <c r="S1072" s="152">
        <f>IF(D1072&lt;1.609,0,IF(B1072="F",VLOOKUP(I1072,Barem!$X$2:$Z$13,2,1),VLOOKUP(I1072,Barem!$X$14:$Z$25,2,1)))</f>
        <v>0</v>
      </c>
      <c r="T1072" s="21">
        <f>VLOOKUP(A1072,Participanti!A:C,3,0)</f>
        <v>0</v>
      </c>
      <c r="U1072" s="18">
        <f t="shared" si="402"/>
        <v>2.1916666666666664</v>
      </c>
      <c r="V1072" s="58" t="s">
        <v>501</v>
      </c>
      <c r="W1072" s="77">
        <f t="shared" si="391"/>
        <v>1</v>
      </c>
      <c r="X1072" s="1" t="str">
        <f>VLOOKUP(A1072,Data_Echipe!A:R,18,0)</f>
        <v>The GOATs</v>
      </c>
      <c r="Z1072" s="115">
        <f t="shared" si="403"/>
        <v>1</v>
      </c>
    </row>
    <row r="1073" spans="1:26" x14ac:dyDescent="0.3">
      <c r="A1073" s="49" t="s">
        <v>128</v>
      </c>
      <c r="B1073" s="1" t="str">
        <f>VLOOKUP(A1073,Participanti!A:B,2,0)</f>
        <v>M</v>
      </c>
      <c r="C1073" s="74">
        <v>13</v>
      </c>
      <c r="D1073" s="50">
        <v>11</v>
      </c>
      <c r="E1073" s="51">
        <v>4.1018518518518517E-2</v>
      </c>
      <c r="F1073" s="51">
        <v>4.1018518518518517E-2</v>
      </c>
      <c r="G1073" s="69">
        <f t="shared" si="398"/>
        <v>4.1018518518518517E-2</v>
      </c>
      <c r="H1073" s="52"/>
      <c r="I1073" s="12">
        <f t="shared" si="399"/>
        <v>3.7289562289562288E-3</v>
      </c>
      <c r="J1073" s="37">
        <f t="shared" si="400"/>
        <v>2.6190476190476191</v>
      </c>
      <c r="K1073" s="37">
        <f>IF(J1073=0,0,IF(B1073="F",VLOOKUP(I1073,Barem!$G$2:$H$16,2,1),VLOOKUP(I1073,Barem!$G$17:$H$31,2,1)))</f>
        <v>2</v>
      </c>
      <c r="L1073" s="50">
        <v>1</v>
      </c>
      <c r="M1073" s="124" t="s">
        <v>207</v>
      </c>
      <c r="N1073" s="10">
        <f t="shared" si="404"/>
        <v>0.25</v>
      </c>
      <c r="O1073" s="10">
        <f t="shared" si="404"/>
        <v>0.25</v>
      </c>
      <c r="P1073" s="10">
        <f t="shared" si="404"/>
        <v>0.5</v>
      </c>
      <c r="Q1073" s="40">
        <f t="shared" si="401"/>
        <v>0</v>
      </c>
      <c r="R1073" s="21">
        <f>IF(D1073&gt;21,VLOOKUP(D1073,Barem!$T$1:$U$141,2,1),0)</f>
        <v>0</v>
      </c>
      <c r="S1073" s="152">
        <f>IF(D1073&lt;1.609,0,IF(B1073="F",VLOOKUP(I1073,Barem!$X$2:$Z$13,2,1),VLOOKUP(I1073,Barem!$X$14:$Z$25,2,1)))</f>
        <v>0</v>
      </c>
      <c r="T1073" s="21">
        <f>VLOOKUP(A1073,Participanti!A:C,3,0)</f>
        <v>0</v>
      </c>
      <c r="U1073" s="18">
        <f t="shared" si="402"/>
        <v>1.6547619047619047</v>
      </c>
      <c r="V1073" s="58" t="s">
        <v>501</v>
      </c>
      <c r="W1073" s="77">
        <f t="shared" si="391"/>
        <v>1</v>
      </c>
      <c r="X1073" s="1" t="str">
        <f>VLOOKUP(A1073,Data_Echipe!A:R,18,0)</f>
        <v>Almost Kenyan Runners</v>
      </c>
      <c r="Z1073" s="115">
        <f t="shared" si="403"/>
        <v>1</v>
      </c>
    </row>
    <row r="1074" spans="1:26" x14ac:dyDescent="0.3">
      <c r="A1074" s="49" t="s">
        <v>361</v>
      </c>
      <c r="B1074" s="1" t="str">
        <f>VLOOKUP(A1074,Participanti!A:B,2,0)</f>
        <v>M</v>
      </c>
      <c r="C1074" s="74">
        <v>13</v>
      </c>
      <c r="D1074" s="50">
        <v>17.010000000000002</v>
      </c>
      <c r="E1074" s="51">
        <v>6.3912037037037031E-2</v>
      </c>
      <c r="F1074" s="51">
        <v>0.10694444444444444</v>
      </c>
      <c r="G1074" s="69">
        <f t="shared" si="398"/>
        <v>8.5428240740740735E-2</v>
      </c>
      <c r="H1074" s="52"/>
      <c r="I1074" s="12">
        <f t="shared" si="399"/>
        <v>5.0222363751170332E-3</v>
      </c>
      <c r="J1074" s="37">
        <f t="shared" si="400"/>
        <v>4.05</v>
      </c>
      <c r="K1074" s="37">
        <f>IF(J1074=0,0,IF(B1074="F",VLOOKUP(I1074,Barem!$G$2:$H$16,2,1),VLOOKUP(I1074,Barem!$G$17:$H$31,2,1)))</f>
        <v>0.25</v>
      </c>
      <c r="L1074" s="50">
        <v>2.5</v>
      </c>
      <c r="M1074" s="124" t="s">
        <v>207</v>
      </c>
      <c r="N1074" s="10">
        <f t="shared" si="404"/>
        <v>0.25</v>
      </c>
      <c r="O1074" s="10">
        <f t="shared" si="404"/>
        <v>0.25</v>
      </c>
      <c r="P1074" s="10">
        <f t="shared" si="404"/>
        <v>0.5</v>
      </c>
      <c r="Q1074" s="40">
        <f t="shared" si="401"/>
        <v>0</v>
      </c>
      <c r="R1074" s="21">
        <f>IF(D1074&gt;21,VLOOKUP(D1074,Barem!$T$1:$U$141,2,1),0)</f>
        <v>0</v>
      </c>
      <c r="S1074" s="152">
        <f>IF(D1074&lt;1.609,0,IF(B1074="F",VLOOKUP(I1074,Barem!$X$2:$Z$13,2,1),VLOOKUP(I1074,Barem!$X$14:$Z$25,2,1)))</f>
        <v>0</v>
      </c>
      <c r="T1074" s="21">
        <f>VLOOKUP(A1074,Participanti!A:C,3,0)</f>
        <v>0</v>
      </c>
      <c r="U1074" s="18">
        <f t="shared" si="402"/>
        <v>2.3250000000000002</v>
      </c>
      <c r="V1074" s="58" t="s">
        <v>501</v>
      </c>
      <c r="W1074" s="77">
        <f t="shared" si="391"/>
        <v>1</v>
      </c>
      <c r="X1074" s="1" t="str">
        <f>VLOOKUP(A1074,Data_Echipe!A:R,18,0)</f>
        <v>UltraHaita lu' Borcan</v>
      </c>
      <c r="Z1074" s="115">
        <f t="shared" si="403"/>
        <v>1</v>
      </c>
    </row>
    <row r="1075" spans="1:26" x14ac:dyDescent="0.3">
      <c r="A1075" s="49" t="s">
        <v>359</v>
      </c>
      <c r="B1075" s="1" t="str">
        <f>VLOOKUP(A1075,Participanti!A:B,2,0)</f>
        <v>M</v>
      </c>
      <c r="C1075" s="74">
        <v>13</v>
      </c>
      <c r="D1075" s="50">
        <v>19.37</v>
      </c>
      <c r="E1075" s="51">
        <v>0.10020833333333334</v>
      </c>
      <c r="F1075" s="51">
        <v>0.10474537037037036</v>
      </c>
      <c r="G1075" s="69">
        <f t="shared" si="398"/>
        <v>0.10247685185185185</v>
      </c>
      <c r="H1075" s="52">
        <v>718</v>
      </c>
      <c r="I1075" s="12">
        <f t="shared" si="399"/>
        <v>5.2904931260635956E-3</v>
      </c>
      <c r="J1075" s="37">
        <f t="shared" si="400"/>
        <v>4.6119047619047615</v>
      </c>
      <c r="K1075" s="37">
        <f>IF(J1075=0,0,IF(B1075="F",VLOOKUP(I1075,Barem!$G$2:$H$16,2,1),VLOOKUP(I1075,Barem!$G$17:$H$31,2,1)))</f>
        <v>0.25</v>
      </c>
      <c r="L1075" s="50">
        <v>2.75</v>
      </c>
      <c r="M1075" s="124" t="s">
        <v>207</v>
      </c>
      <c r="N1075" s="10">
        <f t="shared" si="404"/>
        <v>0.25</v>
      </c>
      <c r="O1075" s="10">
        <f t="shared" si="404"/>
        <v>0.25</v>
      </c>
      <c r="P1075" s="10">
        <f t="shared" si="404"/>
        <v>0.5</v>
      </c>
      <c r="Q1075" s="40">
        <f t="shared" si="401"/>
        <v>0.47866666666666668</v>
      </c>
      <c r="R1075" s="21">
        <f>IF(D1075&gt;21,VLOOKUP(D1075,Barem!$T$1:$U$141,2,1),0)</f>
        <v>0</v>
      </c>
      <c r="S1075" s="152">
        <f>IF(D1075&lt;1.609,0,IF(B1075="F",VLOOKUP(I1075,Barem!$X$2:$Z$13,2,1),VLOOKUP(I1075,Barem!$X$14:$Z$25,2,1)))</f>
        <v>0</v>
      </c>
      <c r="T1075" s="21">
        <f>VLOOKUP(A1075,Participanti!A:C,3,0)</f>
        <v>0</v>
      </c>
      <c r="U1075" s="18">
        <f t="shared" si="402"/>
        <v>3.069142857142857</v>
      </c>
      <c r="V1075" s="58" t="s">
        <v>501</v>
      </c>
      <c r="W1075" s="77">
        <f t="shared" si="391"/>
        <v>1</v>
      </c>
      <c r="X1075" s="1" t="str">
        <f>VLOOKUP(A1075,Data_Echipe!A:R,18,0)</f>
        <v>Almost Kenyan Runners</v>
      </c>
      <c r="Z1075" s="115">
        <f t="shared" si="403"/>
        <v>1</v>
      </c>
    </row>
    <row r="1076" spans="1:26" x14ac:dyDescent="0.3">
      <c r="A1076" s="49" t="s">
        <v>370</v>
      </c>
      <c r="B1076" s="1" t="str">
        <f>VLOOKUP(A1076,Participanti!A:B,2,0)</f>
        <v>F</v>
      </c>
      <c r="C1076" s="74">
        <v>13</v>
      </c>
      <c r="D1076" s="50">
        <v>10.1</v>
      </c>
      <c r="E1076" s="51">
        <v>6.1932870370370374E-2</v>
      </c>
      <c r="F1076" s="51">
        <v>6.3090277777777773E-2</v>
      </c>
      <c r="G1076" s="69">
        <f t="shared" si="398"/>
        <v>6.2511574074074067E-2</v>
      </c>
      <c r="H1076" s="52">
        <v>523</v>
      </c>
      <c r="I1076" s="12">
        <f t="shared" si="399"/>
        <v>6.1892647598093134E-3</v>
      </c>
      <c r="J1076" s="37">
        <f t="shared" si="400"/>
        <v>2.5249999999999999</v>
      </c>
      <c r="K1076" s="37">
        <f>IF(J1076=0,0,IF(B1076="F",VLOOKUP(I1076,Barem!$G$2:$H$16,2,1),VLOOKUP(I1076,Barem!$G$17:$H$31,2,1)))</f>
        <v>0.25</v>
      </c>
      <c r="L1076" s="50">
        <v>3</v>
      </c>
      <c r="M1076" s="124" t="s">
        <v>106</v>
      </c>
      <c r="N1076" s="10">
        <f t="shared" si="404"/>
        <v>0.5</v>
      </c>
      <c r="O1076" s="10">
        <f t="shared" si="404"/>
        <v>0.25</v>
      </c>
      <c r="P1076" s="10">
        <f t="shared" si="404"/>
        <v>0.25</v>
      </c>
      <c r="Q1076" s="40">
        <f t="shared" si="401"/>
        <v>0.34866666666666668</v>
      </c>
      <c r="R1076" s="21">
        <f>IF(D1076&gt;21,VLOOKUP(D1076,Barem!$T$1:$U$141,2,1),0)</f>
        <v>0</v>
      </c>
      <c r="S1076" s="152">
        <f>IF(D1076&lt;1.609,0,IF(B1076="F",VLOOKUP(I1076,Barem!$X$2:$Z$13,2,1),VLOOKUP(I1076,Barem!$X$14:$Z$25,2,1)))</f>
        <v>0</v>
      </c>
      <c r="T1076" s="21">
        <f>VLOOKUP(A1076,Participanti!A:C,3,0)</f>
        <v>0</v>
      </c>
      <c r="U1076" s="18">
        <f t="shared" si="402"/>
        <v>2.4236666666666666</v>
      </c>
      <c r="V1076" s="58" t="s">
        <v>501</v>
      </c>
      <c r="W1076" s="77">
        <f t="shared" si="391"/>
        <v>1</v>
      </c>
      <c r="X1076" s="1" t="e">
        <f>VLOOKUP(A1076,Data_Echipe!A:R,18,0)</f>
        <v>#N/A</v>
      </c>
      <c r="Z1076" s="115">
        <f t="shared" si="403"/>
        <v>1</v>
      </c>
    </row>
    <row r="1077" spans="1:26" x14ac:dyDescent="0.3">
      <c r="A1077" s="49" t="s">
        <v>283</v>
      </c>
      <c r="B1077" s="1" t="str">
        <f>VLOOKUP(A1077,Participanti!A:B,2,0)</f>
        <v>M</v>
      </c>
      <c r="C1077" s="74">
        <v>13</v>
      </c>
      <c r="D1077" s="50">
        <v>20.010000000000002</v>
      </c>
      <c r="E1077" s="51">
        <v>0.11039351851851853</v>
      </c>
      <c r="F1077" s="51">
        <v>0.11574074074074074</v>
      </c>
      <c r="G1077" s="69">
        <f t="shared" si="398"/>
        <v>0.11306712962962964</v>
      </c>
      <c r="H1077" s="52">
        <v>718</v>
      </c>
      <c r="I1077" s="12">
        <f t="shared" si="399"/>
        <v>5.650531215873545E-3</v>
      </c>
      <c r="J1077" s="37">
        <f t="shared" si="400"/>
        <v>4.7642857142857142</v>
      </c>
      <c r="K1077" s="37">
        <f>IF(J1077=0,0,IF(B1077="F",VLOOKUP(I1077,Barem!$G$2:$H$16,2,1),VLOOKUP(I1077,Barem!$G$17:$H$31,2,1)))</f>
        <v>0</v>
      </c>
      <c r="L1077" s="50">
        <v>4.25</v>
      </c>
      <c r="M1077" s="124" t="s">
        <v>107</v>
      </c>
      <c r="N1077" s="10">
        <f t="shared" si="404"/>
        <v>0.25</v>
      </c>
      <c r="O1077" s="10">
        <f t="shared" si="404"/>
        <v>0.5</v>
      </c>
      <c r="P1077" s="10">
        <f t="shared" si="404"/>
        <v>0.25</v>
      </c>
      <c r="Q1077" s="40">
        <f t="shared" si="401"/>
        <v>0.47866666666666668</v>
      </c>
      <c r="R1077" s="21">
        <f>IF(D1077&gt;21,VLOOKUP(D1077,Barem!$T$1:$U$141,2,1),0)</f>
        <v>0</v>
      </c>
      <c r="S1077" s="152">
        <f>IF(D1077&lt;1.609,0,IF(B1077="F",VLOOKUP(I1077,Barem!$X$2:$Z$13,2,1),VLOOKUP(I1077,Barem!$X$14:$Z$25,2,1)))</f>
        <v>0</v>
      </c>
      <c r="T1077" s="21">
        <f>VLOOKUP(A1077,Participanti!A:C,3,0)</f>
        <v>0</v>
      </c>
      <c r="U1077" s="18">
        <f t="shared" si="402"/>
        <v>2.7322380952380954</v>
      </c>
      <c r="V1077" s="58" t="s">
        <v>501</v>
      </c>
      <c r="W1077" s="77">
        <f t="shared" si="391"/>
        <v>1</v>
      </c>
      <c r="X1077" s="1" t="str">
        <f>VLOOKUP(A1077,Data_Echipe!A:R,18,0)</f>
        <v>The GOATs</v>
      </c>
      <c r="Z1077" s="115">
        <f t="shared" si="403"/>
        <v>0</v>
      </c>
    </row>
    <row r="1078" spans="1:26" x14ac:dyDescent="0.3">
      <c r="A1078" s="49" t="s">
        <v>346</v>
      </c>
      <c r="B1078" s="1" t="str">
        <f>VLOOKUP(A1078,Participanti!A:B,2,0)</f>
        <v>M</v>
      </c>
      <c r="C1078" s="74">
        <v>13</v>
      </c>
      <c r="D1078" s="50">
        <v>17.989999999999998</v>
      </c>
      <c r="E1078" s="51">
        <v>8.6979166666666663E-2</v>
      </c>
      <c r="F1078" s="51">
        <v>0.1587847222222222</v>
      </c>
      <c r="G1078" s="69">
        <f t="shared" si="398"/>
        <v>0.12288194444444443</v>
      </c>
      <c r="H1078" s="52">
        <v>138</v>
      </c>
      <c r="I1078" s="12">
        <f t="shared" si="399"/>
        <v>6.8305694521647829E-3</v>
      </c>
      <c r="J1078" s="37">
        <f t="shared" si="400"/>
        <v>4.2833333333333332</v>
      </c>
      <c r="K1078" s="37">
        <f>IF(J1078=0,0,IF(B1078="F",VLOOKUP(I1078,Barem!$G$2:$H$16,2,1),VLOOKUP(I1078,Barem!$G$17:$H$31,2,1)))</f>
        <v>0</v>
      </c>
      <c r="L1078" s="50">
        <v>3</v>
      </c>
      <c r="M1078" s="124" t="s">
        <v>207</v>
      </c>
      <c r="N1078" s="10">
        <f t="shared" si="404"/>
        <v>0.25</v>
      </c>
      <c r="O1078" s="10">
        <f t="shared" si="404"/>
        <v>0.25</v>
      </c>
      <c r="P1078" s="10">
        <f t="shared" si="404"/>
        <v>0.5</v>
      </c>
      <c r="Q1078" s="40">
        <f t="shared" si="401"/>
        <v>9.1999999999999998E-2</v>
      </c>
      <c r="R1078" s="21">
        <f>IF(D1078&gt;21,VLOOKUP(D1078,Barem!$T$1:$U$141,2,1),0)</f>
        <v>0</v>
      </c>
      <c r="S1078" s="152">
        <f>IF(D1078&lt;1.609,0,IF(B1078="F",VLOOKUP(I1078,Barem!$X$2:$Z$13,2,1),VLOOKUP(I1078,Barem!$X$14:$Z$25,2,1)))</f>
        <v>0</v>
      </c>
      <c r="T1078" s="21">
        <f>VLOOKUP(A1078,Participanti!A:C,3,0)</f>
        <v>0</v>
      </c>
      <c r="U1078" s="18">
        <f t="shared" si="402"/>
        <v>2.6628333333333334</v>
      </c>
      <c r="V1078" s="58" t="s">
        <v>501</v>
      </c>
      <c r="W1078" s="77">
        <f t="shared" si="391"/>
        <v>1</v>
      </c>
      <c r="X1078" s="1" t="str">
        <f>VLOOKUP(A1078,Data_Echipe!A:R,18,0)</f>
        <v>UltraHaita lu' Borcan</v>
      </c>
      <c r="Z1078" s="115">
        <f t="shared" si="403"/>
        <v>0</v>
      </c>
    </row>
    <row r="1079" spans="1:26" x14ac:dyDescent="0.3">
      <c r="A1079" s="49" t="s">
        <v>403</v>
      </c>
      <c r="B1079" s="1" t="str">
        <f>VLOOKUP(A1079,Participanti!A:B,2,0)</f>
        <v>M</v>
      </c>
      <c r="C1079" s="74">
        <v>13</v>
      </c>
      <c r="D1079" s="50">
        <v>13.14</v>
      </c>
      <c r="E1079" s="51">
        <v>5.0127314814814812E-2</v>
      </c>
      <c r="F1079" s="51">
        <v>5.1446759259259262E-2</v>
      </c>
      <c r="G1079" s="69">
        <f t="shared" si="398"/>
        <v>5.0787037037037033E-2</v>
      </c>
      <c r="H1079" s="52">
        <v>67</v>
      </c>
      <c r="I1079" s="12">
        <f t="shared" si="399"/>
        <v>3.8650713117988609E-3</v>
      </c>
      <c r="J1079" s="37">
        <f t="shared" si="400"/>
        <v>3.1285714285714286</v>
      </c>
      <c r="K1079" s="37">
        <f>IF(J1079=0,0,IF(B1079="F",VLOOKUP(I1079,Barem!$G$2:$H$16,2,1),VLOOKUP(I1079,Barem!$G$17:$H$31,2,1)))</f>
        <v>1.75</v>
      </c>
      <c r="L1079" s="50">
        <v>4</v>
      </c>
      <c r="M1079" s="124" t="s">
        <v>106</v>
      </c>
      <c r="N1079" s="10">
        <f t="shared" si="404"/>
        <v>0.5</v>
      </c>
      <c r="O1079" s="10">
        <f t="shared" si="404"/>
        <v>0.25</v>
      </c>
      <c r="P1079" s="10">
        <f t="shared" si="404"/>
        <v>0.25</v>
      </c>
      <c r="Q1079" s="40">
        <f t="shared" si="401"/>
        <v>4.4666666666666667E-2</v>
      </c>
      <c r="R1079" s="21">
        <f>IF(D1079&gt;21,VLOOKUP(D1079,Barem!$T$1:$U$141,2,1),0)</f>
        <v>0</v>
      </c>
      <c r="S1079" s="152">
        <f>IF(D1079&lt;1.609,0,IF(B1079="F",VLOOKUP(I1079,Barem!$X$2:$Z$13,2,1),VLOOKUP(I1079,Barem!$X$14:$Z$25,2,1)))</f>
        <v>0</v>
      </c>
      <c r="T1079" s="21">
        <f>VLOOKUP(A1079,Participanti!A:C,3,0)</f>
        <v>0</v>
      </c>
      <c r="U1079" s="18">
        <f t="shared" si="402"/>
        <v>3.0464523809523807</v>
      </c>
      <c r="V1079" s="58" t="s">
        <v>501</v>
      </c>
      <c r="W1079" s="77">
        <f t="shared" si="391"/>
        <v>1</v>
      </c>
      <c r="X1079" s="1" t="str">
        <f>VLOOKUP(A1079,Data_Echipe!A:R,18,0)</f>
        <v>The GOATs</v>
      </c>
      <c r="Z1079" s="115">
        <f t="shared" si="403"/>
        <v>1</v>
      </c>
    </row>
    <row r="1080" spans="1:26" x14ac:dyDescent="0.3">
      <c r="A1080" s="49" t="s">
        <v>226</v>
      </c>
      <c r="B1080" s="1" t="str">
        <f>VLOOKUP(A1080,Participanti!A:B,2,0)</f>
        <v>M</v>
      </c>
      <c r="C1080" s="74">
        <v>13</v>
      </c>
      <c r="D1080" s="50">
        <v>14.19</v>
      </c>
      <c r="E1080" s="51">
        <v>6.0381944444444446E-2</v>
      </c>
      <c r="F1080" s="51">
        <v>6.0416666666666667E-2</v>
      </c>
      <c r="G1080" s="69">
        <f t="shared" si="398"/>
        <v>6.039930555555556E-2</v>
      </c>
      <c r="H1080" s="52"/>
      <c r="I1080" s="12">
        <f t="shared" si="399"/>
        <v>4.2564697361208992E-3</v>
      </c>
      <c r="J1080" s="37">
        <f t="shared" si="400"/>
        <v>3.3785714285714281</v>
      </c>
      <c r="K1080" s="37">
        <f>IF(J1080=0,0,IF(B1080="F",VLOOKUP(I1080,Barem!$G$2:$H$16,2,1),VLOOKUP(I1080,Barem!$G$17:$H$31,2,1)))</f>
        <v>1.25</v>
      </c>
      <c r="L1080" s="50">
        <v>2</v>
      </c>
      <c r="M1080" s="124" t="s">
        <v>106</v>
      </c>
      <c r="N1080" s="10">
        <f t="shared" si="404"/>
        <v>0.5</v>
      </c>
      <c r="O1080" s="10">
        <f t="shared" si="404"/>
        <v>0.25</v>
      </c>
      <c r="P1080" s="10">
        <f t="shared" si="404"/>
        <v>0.25</v>
      </c>
      <c r="Q1080" s="40">
        <f t="shared" si="401"/>
        <v>0</v>
      </c>
      <c r="R1080" s="21">
        <f>IF(D1080&gt;21,VLOOKUP(D1080,Barem!$T$1:$U$141,2,1),0)</f>
        <v>0</v>
      </c>
      <c r="S1080" s="152">
        <f>IF(D1080&lt;1.609,0,IF(B1080="F",VLOOKUP(I1080,Barem!$X$2:$Z$13,2,1),VLOOKUP(I1080,Barem!$X$14:$Z$25,2,1)))</f>
        <v>0</v>
      </c>
      <c r="T1080" s="21">
        <f>VLOOKUP(A1080,Participanti!A:C,3,0)</f>
        <v>0</v>
      </c>
      <c r="U1080" s="18">
        <f t="shared" si="402"/>
        <v>2.5017857142857141</v>
      </c>
      <c r="V1080" s="58" t="s">
        <v>501</v>
      </c>
      <c r="W1080" s="77">
        <f t="shared" si="391"/>
        <v>1</v>
      </c>
      <c r="X1080" s="1" t="e">
        <f>VLOOKUP(A1080,Data_Echipe!A:R,18,0)</f>
        <v>#N/A</v>
      </c>
      <c r="Z1080" s="115">
        <f t="shared" si="403"/>
        <v>1</v>
      </c>
    </row>
    <row r="1081" spans="1:26" x14ac:dyDescent="0.3">
      <c r="A1081" s="49" t="s">
        <v>469</v>
      </c>
      <c r="B1081" s="1" t="str">
        <f>VLOOKUP(A1081,Participanti!A:B,2,0)</f>
        <v>M</v>
      </c>
      <c r="C1081" s="74">
        <v>13</v>
      </c>
      <c r="D1081" s="50">
        <v>11.46</v>
      </c>
      <c r="E1081" s="51">
        <v>4.8460648148148149E-2</v>
      </c>
      <c r="F1081" s="51">
        <v>5.0185185185185187E-2</v>
      </c>
      <c r="G1081" s="69">
        <f t="shared" si="398"/>
        <v>4.9322916666666668E-2</v>
      </c>
      <c r="H1081" s="52"/>
      <c r="I1081" s="12">
        <f t="shared" si="399"/>
        <v>4.303919429901105E-3</v>
      </c>
      <c r="J1081" s="37">
        <f t="shared" si="400"/>
        <v>2.7285714285714286</v>
      </c>
      <c r="K1081" s="37">
        <f>IF(J1081=0,0,IF(B1081="F",VLOOKUP(I1081,Barem!$G$2:$H$16,2,1),VLOOKUP(I1081,Barem!$G$17:$H$31,2,1)))</f>
        <v>1.25</v>
      </c>
      <c r="L1081" s="50">
        <v>2</v>
      </c>
      <c r="M1081" s="124" t="s">
        <v>106</v>
      </c>
      <c r="N1081" s="10">
        <f t="shared" si="404"/>
        <v>0.5</v>
      </c>
      <c r="O1081" s="10">
        <f t="shared" si="404"/>
        <v>0.25</v>
      </c>
      <c r="P1081" s="10">
        <f t="shared" si="404"/>
        <v>0.25</v>
      </c>
      <c r="Q1081" s="40">
        <f t="shared" si="401"/>
        <v>0</v>
      </c>
      <c r="R1081" s="21">
        <f>IF(D1081&gt;21,VLOOKUP(D1081,Barem!$T$1:$U$141,2,1),0)</f>
        <v>0</v>
      </c>
      <c r="S1081" s="152">
        <f>IF(D1081&lt;1.609,0,IF(B1081="F",VLOOKUP(I1081,Barem!$X$2:$Z$13,2,1),VLOOKUP(I1081,Barem!$X$14:$Z$25,2,1)))</f>
        <v>0</v>
      </c>
      <c r="T1081" s="21">
        <f>VLOOKUP(A1081,Participanti!A:C,3,0)</f>
        <v>0</v>
      </c>
      <c r="U1081" s="18">
        <f t="shared" si="402"/>
        <v>2.1767857142857143</v>
      </c>
      <c r="V1081" s="58" t="s">
        <v>501</v>
      </c>
      <c r="W1081" s="77">
        <f t="shared" si="391"/>
        <v>1</v>
      </c>
      <c r="X1081" s="1" t="e">
        <f>VLOOKUP(A1081,Data_Echipe!A:R,18,0)</f>
        <v>#N/A</v>
      </c>
      <c r="Z1081" s="115">
        <f t="shared" si="403"/>
        <v>1</v>
      </c>
    </row>
    <row r="1082" spans="1:26" x14ac:dyDescent="0.3">
      <c r="A1082" s="49" t="s">
        <v>483</v>
      </c>
      <c r="B1082" s="1" t="str">
        <f>VLOOKUP(A1082,Participanti!A:B,2,0)</f>
        <v>M</v>
      </c>
      <c r="C1082" s="74">
        <v>13</v>
      </c>
      <c r="D1082" s="50">
        <v>25.51</v>
      </c>
      <c r="E1082" s="51">
        <v>8.8842592592592584E-2</v>
      </c>
      <c r="F1082" s="51">
        <v>9.0474537037037048E-2</v>
      </c>
      <c r="G1082" s="69">
        <f t="shared" si="398"/>
        <v>8.9658564814814823E-2</v>
      </c>
      <c r="H1082" s="52">
        <v>742</v>
      </c>
      <c r="I1082" s="12">
        <f t="shared" si="399"/>
        <v>3.5146438578916041E-3</v>
      </c>
      <c r="J1082" s="37">
        <f t="shared" si="400"/>
        <v>5</v>
      </c>
      <c r="K1082" s="37">
        <f>IF(J1082=0,0,IF(B1082="F",VLOOKUP(I1082,Barem!$G$2:$H$16,2,1),VLOOKUP(I1082,Barem!$G$17:$H$31,2,1)))</f>
        <v>2.5</v>
      </c>
      <c r="L1082" s="50">
        <v>1.5</v>
      </c>
      <c r="M1082" s="124" t="s">
        <v>106</v>
      </c>
      <c r="N1082" s="10">
        <f t="shared" si="404"/>
        <v>0.5</v>
      </c>
      <c r="O1082" s="10">
        <f t="shared" si="404"/>
        <v>0.25</v>
      </c>
      <c r="P1082" s="10">
        <f t="shared" si="404"/>
        <v>0.25</v>
      </c>
      <c r="Q1082" s="40">
        <f t="shared" si="401"/>
        <v>0.49466666666666664</v>
      </c>
      <c r="R1082" s="21">
        <f>IF(D1082&gt;21,VLOOKUP(D1082,Barem!$T$1:$U$141,2,1),0)</f>
        <v>0.2</v>
      </c>
      <c r="S1082" s="152">
        <f>IF(D1082&lt;1.609,0,IF(B1082="F",VLOOKUP(I1082,Barem!$X$2:$Z$13,2,1),VLOOKUP(I1082,Barem!$X$14:$Z$25,2,1)))</f>
        <v>0</v>
      </c>
      <c r="T1082" s="21">
        <f>VLOOKUP(A1082,Participanti!A:C,3,0)</f>
        <v>0</v>
      </c>
      <c r="U1082" s="18">
        <f t="shared" si="402"/>
        <v>4.1946666666666665</v>
      </c>
      <c r="V1082" s="58" t="s">
        <v>501</v>
      </c>
      <c r="W1082" s="77">
        <f t="shared" si="391"/>
        <v>1</v>
      </c>
      <c r="X1082" s="1" t="e">
        <f>VLOOKUP(A1082,Data_Echipe!A:R,18,0)</f>
        <v>#N/A</v>
      </c>
      <c r="Z1082" s="115">
        <f t="shared" si="403"/>
        <v>1</v>
      </c>
    </row>
    <row r="1083" spans="1:26" x14ac:dyDescent="0.3">
      <c r="A1083" s="49" t="s">
        <v>357</v>
      </c>
      <c r="B1083" s="1" t="str">
        <f>VLOOKUP(A1083,Participanti!A:B,2,0)</f>
        <v>M</v>
      </c>
      <c r="C1083" s="74">
        <v>13</v>
      </c>
      <c r="D1083" s="50">
        <v>6</v>
      </c>
      <c r="E1083" s="51">
        <v>2.2222222222222223E-2</v>
      </c>
      <c r="F1083" s="51">
        <v>2.7210648148148147E-2</v>
      </c>
      <c r="G1083" s="69">
        <f t="shared" si="398"/>
        <v>2.4716435185185185E-2</v>
      </c>
      <c r="H1083" s="52"/>
      <c r="I1083" s="12">
        <f t="shared" si="399"/>
        <v>4.1194058641975308E-3</v>
      </c>
      <c r="J1083" s="37">
        <f t="shared" si="400"/>
        <v>1.4285714285714286</v>
      </c>
      <c r="K1083" s="37">
        <f>IF(J1083=0,0,IF(B1083="F",VLOOKUP(I1083,Barem!$G$2:$H$16,2,1),VLOOKUP(I1083,Barem!$G$17:$H$31,2,1)))</f>
        <v>1.5</v>
      </c>
      <c r="L1083" s="50">
        <v>3</v>
      </c>
      <c r="M1083" s="124" t="s">
        <v>107</v>
      </c>
      <c r="N1083" s="10">
        <f t="shared" si="404"/>
        <v>0.25</v>
      </c>
      <c r="O1083" s="10">
        <f t="shared" si="404"/>
        <v>0.5</v>
      </c>
      <c r="P1083" s="10">
        <f t="shared" si="404"/>
        <v>0.25</v>
      </c>
      <c r="Q1083" s="40">
        <f t="shared" si="401"/>
        <v>0</v>
      </c>
      <c r="R1083" s="21">
        <f>IF(D1083&gt;21,VLOOKUP(D1083,Barem!$T$1:$U$141,2,1),0)</f>
        <v>0</v>
      </c>
      <c r="S1083" s="152">
        <f>IF(D1083&lt;1.609,0,IF(B1083="F",VLOOKUP(I1083,Barem!$X$2:$Z$13,2,1),VLOOKUP(I1083,Barem!$X$14:$Z$25,2,1)))</f>
        <v>0</v>
      </c>
      <c r="T1083" s="21">
        <f>VLOOKUP(A1083,Participanti!A:C,3,0)</f>
        <v>0</v>
      </c>
      <c r="U1083" s="18">
        <f t="shared" si="402"/>
        <v>1.8571428571428572</v>
      </c>
      <c r="V1083" s="58" t="s">
        <v>501</v>
      </c>
      <c r="W1083" s="77">
        <f t="shared" si="391"/>
        <v>1</v>
      </c>
      <c r="X1083" s="1" t="e">
        <f>VLOOKUP(A1083,Data_Echipe!A:R,18,0)</f>
        <v>#N/A</v>
      </c>
      <c r="Z1083" s="115">
        <f t="shared" si="403"/>
        <v>1</v>
      </c>
    </row>
    <row r="1084" spans="1:26" x14ac:dyDescent="0.3">
      <c r="A1084" s="49" t="s">
        <v>332</v>
      </c>
      <c r="B1084" s="1" t="str">
        <f>VLOOKUP(A1084,Participanti!A:B,2,0)</f>
        <v>M</v>
      </c>
      <c r="C1084" s="74">
        <v>13</v>
      </c>
      <c r="D1084" s="50">
        <v>43.16</v>
      </c>
      <c r="E1084" s="51">
        <v>0.28186342592592589</v>
      </c>
      <c r="F1084" s="51">
        <v>0.31603009259259257</v>
      </c>
      <c r="G1084" s="69">
        <f t="shared" si="398"/>
        <v>0.29894675925925923</v>
      </c>
      <c r="H1084" s="52">
        <v>1550</v>
      </c>
      <c r="I1084" s="12">
        <f t="shared" si="399"/>
        <v>6.9264772766278789E-3</v>
      </c>
      <c r="J1084" s="37">
        <f t="shared" si="400"/>
        <v>5</v>
      </c>
      <c r="K1084" s="37">
        <f>IF(J1084=0,0,IF(B1084="F",VLOOKUP(I1084,Barem!$G$2:$H$16,2,1),VLOOKUP(I1084,Barem!$G$17:$H$31,2,1)))</f>
        <v>0</v>
      </c>
      <c r="L1084" s="50">
        <v>3</v>
      </c>
      <c r="M1084" s="124" t="s">
        <v>107</v>
      </c>
      <c r="N1084" s="10">
        <f t="shared" si="404"/>
        <v>0.25</v>
      </c>
      <c r="O1084" s="10">
        <f t="shared" si="404"/>
        <v>0.5</v>
      </c>
      <c r="P1084" s="10">
        <f t="shared" si="404"/>
        <v>0.25</v>
      </c>
      <c r="Q1084" s="40">
        <f t="shared" si="401"/>
        <v>1.0333333333333334</v>
      </c>
      <c r="R1084" s="21">
        <f>IF(D1084&gt;21,VLOOKUP(D1084,Barem!$T$1:$U$141,2,1),0)</f>
        <v>1.1000000000000001</v>
      </c>
      <c r="S1084" s="152">
        <f>IF(D1084&lt;1.609,0,IF(B1084="F",VLOOKUP(I1084,Barem!$X$2:$Z$13,2,1),VLOOKUP(I1084,Barem!$X$14:$Z$25,2,1)))</f>
        <v>0</v>
      </c>
      <c r="T1084" s="21">
        <f>VLOOKUP(A1084,Participanti!A:C,3,0)</f>
        <v>0.4</v>
      </c>
      <c r="U1084" s="18">
        <f t="shared" si="402"/>
        <v>4.5333333333333332</v>
      </c>
      <c r="V1084" s="58" t="s">
        <v>501</v>
      </c>
      <c r="W1084" s="77">
        <f t="shared" si="391"/>
        <v>1</v>
      </c>
      <c r="X1084" s="1" t="str">
        <f>VLOOKUP(A1084,Data_Echipe!A:R,18,0)</f>
        <v>MedgidiaRunning</v>
      </c>
      <c r="Z1084" s="115">
        <f t="shared" si="403"/>
        <v>0</v>
      </c>
    </row>
    <row r="1085" spans="1:26" x14ac:dyDescent="0.3">
      <c r="A1085" s="49" t="s">
        <v>335</v>
      </c>
      <c r="B1085" s="1" t="str">
        <f>VLOOKUP(A1085,Participanti!A:B,2,0)</f>
        <v>M</v>
      </c>
      <c r="C1085" s="74">
        <v>13</v>
      </c>
      <c r="D1085" s="50">
        <v>25.13</v>
      </c>
      <c r="E1085" s="51">
        <v>9.2557870370370374E-2</v>
      </c>
      <c r="F1085" s="51">
        <v>9.2731481481481484E-2</v>
      </c>
      <c r="G1085" s="69">
        <f t="shared" si="398"/>
        <v>9.2644675925925929E-2</v>
      </c>
      <c r="H1085" s="52">
        <v>774</v>
      </c>
      <c r="I1085" s="12">
        <f t="shared" si="399"/>
        <v>3.686616630558135E-3</v>
      </c>
      <c r="J1085" s="37">
        <f t="shared" si="400"/>
        <v>5</v>
      </c>
      <c r="K1085" s="37">
        <f>IF(J1085=0,0,IF(B1085="F",VLOOKUP(I1085,Barem!$G$2:$H$16,2,1),VLOOKUP(I1085,Barem!$G$17:$H$31,2,1)))</f>
        <v>2</v>
      </c>
      <c r="L1085" s="50">
        <v>2</v>
      </c>
      <c r="M1085" s="124" t="s">
        <v>106</v>
      </c>
      <c r="N1085" s="10">
        <f t="shared" si="404"/>
        <v>0.5</v>
      </c>
      <c r="O1085" s="10">
        <f t="shared" si="404"/>
        <v>0.25</v>
      </c>
      <c r="P1085" s="10">
        <f t="shared" si="404"/>
        <v>0.25</v>
      </c>
      <c r="Q1085" s="40">
        <f t="shared" si="401"/>
        <v>0.51600000000000001</v>
      </c>
      <c r="R1085" s="21">
        <f>IF(D1085&gt;21,VLOOKUP(D1085,Barem!$T$1:$U$141,2,1),0)</f>
        <v>0.2</v>
      </c>
      <c r="S1085" s="152">
        <f>IF(D1085&lt;1.609,0,IF(B1085="F",VLOOKUP(I1085,Barem!$X$2:$Z$13,2,1),VLOOKUP(I1085,Barem!$X$14:$Z$25,2,1)))</f>
        <v>0</v>
      </c>
      <c r="T1085" s="21">
        <f>VLOOKUP(A1085,Participanti!A:C,3,0)</f>
        <v>0.4</v>
      </c>
      <c r="U1085" s="18">
        <f t="shared" si="402"/>
        <v>4.6160000000000005</v>
      </c>
      <c r="V1085" s="58" t="s">
        <v>501</v>
      </c>
      <c r="W1085" s="77">
        <f t="shared" si="391"/>
        <v>1</v>
      </c>
      <c r="X1085" s="1" t="e">
        <f>VLOOKUP(A1085,Data_Echipe!A:R,18,0)</f>
        <v>#N/A</v>
      </c>
      <c r="Z1085" s="115">
        <f t="shared" si="403"/>
        <v>1</v>
      </c>
    </row>
    <row r="1086" spans="1:26" x14ac:dyDescent="0.3">
      <c r="A1086" s="49" t="s">
        <v>137</v>
      </c>
      <c r="B1086" s="1" t="str">
        <f>VLOOKUP(A1086,Participanti!A:B,2,0)</f>
        <v>M</v>
      </c>
      <c r="C1086" s="74">
        <v>13</v>
      </c>
      <c r="D1086" s="50">
        <v>10.01</v>
      </c>
      <c r="E1086" s="51">
        <v>3.3657407407407407E-2</v>
      </c>
      <c r="F1086" s="51">
        <v>3.3657407407407407E-2</v>
      </c>
      <c r="G1086" s="69">
        <f t="shared" si="398"/>
        <v>3.3657407407407407E-2</v>
      </c>
      <c r="H1086" s="52"/>
      <c r="I1086" s="12">
        <f t="shared" si="399"/>
        <v>3.3623783623783622E-3</v>
      </c>
      <c r="J1086" s="37">
        <f t="shared" si="400"/>
        <v>2.3833333333333333</v>
      </c>
      <c r="K1086" s="37">
        <f>IF(J1086=0,0,IF(B1086="F",VLOOKUP(I1086,Barem!$G$2:$H$16,2,1),VLOOKUP(I1086,Barem!$G$17:$H$31,2,1)))</f>
        <v>3</v>
      </c>
      <c r="L1086" s="50">
        <v>3.25</v>
      </c>
      <c r="M1086" s="124" t="s">
        <v>207</v>
      </c>
      <c r="N1086" s="10">
        <f t="shared" si="404"/>
        <v>0.25</v>
      </c>
      <c r="O1086" s="10">
        <f t="shared" si="404"/>
        <v>0.25</v>
      </c>
      <c r="P1086" s="10">
        <f t="shared" si="404"/>
        <v>0.5</v>
      </c>
      <c r="Q1086" s="40">
        <f t="shared" si="401"/>
        <v>0</v>
      </c>
      <c r="R1086" s="21">
        <f>IF(D1086&gt;21,VLOOKUP(D1086,Barem!$T$1:$U$141,2,1),0)</f>
        <v>0</v>
      </c>
      <c r="S1086" s="152">
        <f>IF(D1086&lt;1.609,0,IF(B1086="F",VLOOKUP(I1086,Barem!$X$2:$Z$13,2,1),VLOOKUP(I1086,Barem!$X$14:$Z$25,2,1)))</f>
        <v>0</v>
      </c>
      <c r="T1086" s="21">
        <f>VLOOKUP(A1086,Participanti!A:C,3,0)</f>
        <v>0</v>
      </c>
      <c r="U1086" s="18">
        <f t="shared" si="402"/>
        <v>2.9708333333333332</v>
      </c>
      <c r="V1086" s="58" t="s">
        <v>501</v>
      </c>
      <c r="W1086" s="77">
        <f t="shared" si="391"/>
        <v>1</v>
      </c>
      <c r="X1086" s="1" t="str">
        <f>VLOOKUP(A1086,Data_Echipe!A:R,18,0)</f>
        <v>The GOATs</v>
      </c>
      <c r="Z1086" s="115">
        <f t="shared" si="403"/>
        <v>1</v>
      </c>
    </row>
    <row r="1087" spans="1:26" x14ac:dyDescent="0.3">
      <c r="A1087" s="49" t="s">
        <v>341</v>
      </c>
      <c r="B1087" s="1" t="str">
        <f>VLOOKUP(A1087,Participanti!A:B,2,0)</f>
        <v>M</v>
      </c>
      <c r="C1087" s="74">
        <v>13</v>
      </c>
      <c r="D1087" s="50">
        <v>42.39</v>
      </c>
      <c r="E1087" s="51">
        <v>0.13954861111111111</v>
      </c>
      <c r="F1087" s="51">
        <v>0.14028935185185185</v>
      </c>
      <c r="G1087" s="69">
        <f t="shared" si="398"/>
        <v>0.13991898148148146</v>
      </c>
      <c r="H1087" s="52">
        <v>60</v>
      </c>
      <c r="I1087" s="12">
        <f t="shared" si="399"/>
        <v>3.3007544581618651E-3</v>
      </c>
      <c r="J1087" s="37">
        <f t="shared" si="400"/>
        <v>5</v>
      </c>
      <c r="K1087" s="37">
        <f>IF(J1087=0,0,IF(B1087="F",VLOOKUP(I1087,Barem!$G$2:$H$16,2,1),VLOOKUP(I1087,Barem!$G$17:$H$31,2,1)))</f>
        <v>3.5</v>
      </c>
      <c r="L1087" s="50">
        <v>2.75</v>
      </c>
      <c r="M1087" s="124" t="s">
        <v>207</v>
      </c>
      <c r="N1087" s="10">
        <f t="shared" si="404"/>
        <v>0.25</v>
      </c>
      <c r="O1087" s="10">
        <f t="shared" si="404"/>
        <v>0.25</v>
      </c>
      <c r="P1087" s="10">
        <f t="shared" si="404"/>
        <v>0.5</v>
      </c>
      <c r="Q1087" s="40">
        <f t="shared" si="401"/>
        <v>0.04</v>
      </c>
      <c r="R1087" s="21">
        <f>IF(D1087&gt;21,VLOOKUP(D1087,Barem!$T$1:$U$141,2,1),0)</f>
        <v>1</v>
      </c>
      <c r="S1087" s="152">
        <f>IF(D1087&lt;1.609,0,IF(B1087="F",VLOOKUP(I1087,Barem!$X$2:$Z$13,2,1),VLOOKUP(I1087,Barem!$X$14:$Z$25,2,1)))</f>
        <v>0</v>
      </c>
      <c r="T1087" s="21">
        <f>VLOOKUP(A1087,Participanti!A:C,3,0)</f>
        <v>0</v>
      </c>
      <c r="U1087" s="18">
        <f t="shared" si="402"/>
        <v>4.54</v>
      </c>
      <c r="V1087" s="58" t="s">
        <v>501</v>
      </c>
      <c r="W1087" s="77">
        <f t="shared" si="391"/>
        <v>1</v>
      </c>
      <c r="X1087" s="1" t="str">
        <f>VLOOKUP(A1087,Data_Echipe!A:R,18,0)</f>
        <v>The GOATs</v>
      </c>
      <c r="Z1087" s="115">
        <f t="shared" si="403"/>
        <v>1</v>
      </c>
    </row>
    <row r="1088" spans="1:26" x14ac:dyDescent="0.3">
      <c r="A1088" s="49" t="s">
        <v>301</v>
      </c>
      <c r="B1088" s="1" t="str">
        <f>VLOOKUP(A1088,Participanti!A:B,2,0)</f>
        <v>M</v>
      </c>
      <c r="C1088" s="74">
        <v>13</v>
      </c>
      <c r="D1088" s="50">
        <v>10.06</v>
      </c>
      <c r="E1088" s="51">
        <v>3.6631944444444446E-2</v>
      </c>
      <c r="F1088" s="51">
        <v>3.8148148148148146E-2</v>
      </c>
      <c r="G1088" s="69">
        <f t="shared" si="398"/>
        <v>3.7390046296296296E-2</v>
      </c>
      <c r="H1088" s="52"/>
      <c r="I1088" s="12">
        <f t="shared" si="399"/>
        <v>3.7167044032103674E-3</v>
      </c>
      <c r="J1088" s="37">
        <f t="shared" si="400"/>
        <v>2.3952380952380952</v>
      </c>
      <c r="K1088" s="37">
        <f>IF(J1088=0,0,IF(B1088="F",VLOOKUP(I1088,Barem!$G$2:$H$16,2,1),VLOOKUP(I1088,Barem!$G$17:$H$31,2,1)))</f>
        <v>2</v>
      </c>
      <c r="L1088" s="50">
        <v>2.75</v>
      </c>
      <c r="M1088" s="124" t="s">
        <v>207</v>
      </c>
      <c r="N1088" s="10">
        <f t="shared" si="404"/>
        <v>0.25</v>
      </c>
      <c r="O1088" s="10">
        <f t="shared" si="404"/>
        <v>0.25</v>
      </c>
      <c r="P1088" s="10">
        <f t="shared" si="404"/>
        <v>0.5</v>
      </c>
      <c r="Q1088" s="40">
        <f t="shared" si="401"/>
        <v>0</v>
      </c>
      <c r="R1088" s="21">
        <f>IF(D1088&gt;21,VLOOKUP(D1088,Barem!$T$1:$U$141,2,1),0)</f>
        <v>0</v>
      </c>
      <c r="S1088" s="152">
        <f>IF(D1088&lt;1.609,0,IF(B1088="F",VLOOKUP(I1088,Barem!$X$2:$Z$13,2,1),VLOOKUP(I1088,Barem!$X$14:$Z$25,2,1)))</f>
        <v>0</v>
      </c>
      <c r="T1088" s="21">
        <f>VLOOKUP(A1088,Participanti!A:C,3,0)</f>
        <v>0</v>
      </c>
      <c r="U1088" s="18">
        <f t="shared" si="402"/>
        <v>2.4738095238095239</v>
      </c>
      <c r="V1088" s="58" t="s">
        <v>501</v>
      </c>
      <c r="W1088" s="77">
        <f t="shared" si="391"/>
        <v>1</v>
      </c>
      <c r="X1088" s="1" t="e">
        <f>VLOOKUP(A1088,Data_Echipe!A:R,18,0)</f>
        <v>#N/A</v>
      </c>
      <c r="Z1088" s="115">
        <f t="shared" si="403"/>
        <v>1</v>
      </c>
    </row>
    <row r="1089" spans="1:26" x14ac:dyDescent="0.3">
      <c r="A1089" s="49" t="s">
        <v>368</v>
      </c>
      <c r="B1089" s="1" t="str">
        <f>VLOOKUP(A1089,Participanti!A:B,2,0)</f>
        <v>M</v>
      </c>
      <c r="C1089" s="74">
        <v>13</v>
      </c>
      <c r="D1089" s="50">
        <v>3.02</v>
      </c>
      <c r="E1089" s="51">
        <v>8.6921296296296312E-3</v>
      </c>
      <c r="F1089" s="51">
        <v>8.726851851851852E-3</v>
      </c>
      <c r="G1089" s="69">
        <f t="shared" si="398"/>
        <v>8.7094907407407416E-3</v>
      </c>
      <c r="H1089" s="52"/>
      <c r="I1089" s="12">
        <f t="shared" si="399"/>
        <v>2.8839373313711064E-3</v>
      </c>
      <c r="J1089" s="37">
        <f t="shared" si="400"/>
        <v>0.71904761904761905</v>
      </c>
      <c r="K1089" s="37">
        <f>IF(J1089=0,0,IF(B1089="F",VLOOKUP(I1089,Barem!$G$2:$H$16,2,1),VLOOKUP(I1089,Barem!$G$17:$H$31,2,1)))</f>
        <v>4.5</v>
      </c>
      <c r="L1089" s="50">
        <v>1.5</v>
      </c>
      <c r="M1089" s="124" t="s">
        <v>107</v>
      </c>
      <c r="N1089" s="10">
        <f t="shared" si="404"/>
        <v>0.25</v>
      </c>
      <c r="O1089" s="10">
        <f t="shared" si="404"/>
        <v>0.5</v>
      </c>
      <c r="P1089" s="10">
        <f t="shared" si="404"/>
        <v>0.25</v>
      </c>
      <c r="Q1089" s="40">
        <f t="shared" si="401"/>
        <v>0</v>
      </c>
      <c r="R1089" s="21">
        <f>IF(D1089&gt;21,VLOOKUP(D1089,Barem!$T$1:$U$141,2,1),0)</f>
        <v>0</v>
      </c>
      <c r="S1089" s="152">
        <f>IF(D1089&lt;1.609,0,IF(B1089="F",VLOOKUP(I1089,Barem!$X$2:$Z$13,2,1),VLOOKUP(I1089,Barem!$X$14:$Z$25,2,1)))</f>
        <v>0</v>
      </c>
      <c r="T1089" s="21">
        <f>VLOOKUP(A1089,Participanti!A:C,3,0)</f>
        <v>0</v>
      </c>
      <c r="U1089" s="18">
        <f t="shared" si="402"/>
        <v>2.8047619047619046</v>
      </c>
      <c r="V1089" s="58" t="s">
        <v>501</v>
      </c>
      <c r="W1089" s="77">
        <f t="shared" si="391"/>
        <v>1</v>
      </c>
      <c r="X1089" s="1" t="str">
        <f>VLOOKUP(A1089,Data_Echipe!A:R,18,0)</f>
        <v>Almost Kenyan Runners</v>
      </c>
      <c r="Z1089" s="115">
        <f t="shared" si="403"/>
        <v>1</v>
      </c>
    </row>
    <row r="1090" spans="1:26" x14ac:dyDescent="0.3">
      <c r="A1090" s="49" t="s">
        <v>393</v>
      </c>
      <c r="B1090" s="1" t="str">
        <f>VLOOKUP(A1090,Participanti!A:B,2,0)</f>
        <v>M</v>
      </c>
      <c r="C1090" s="74">
        <v>13</v>
      </c>
      <c r="D1090" s="50">
        <v>12.18</v>
      </c>
      <c r="E1090" s="51">
        <v>7.6087962962962954E-2</v>
      </c>
      <c r="F1090" s="51">
        <v>8.4861111111111109E-2</v>
      </c>
      <c r="G1090" s="69">
        <f t="shared" si="398"/>
        <v>8.0474537037037025E-2</v>
      </c>
      <c r="H1090" s="52">
        <v>556</v>
      </c>
      <c r="I1090" s="12">
        <f t="shared" si="399"/>
        <v>6.6071048470473749E-3</v>
      </c>
      <c r="J1090" s="37">
        <f t="shared" si="400"/>
        <v>2.9</v>
      </c>
      <c r="K1090" s="37">
        <f>IF(J1090=0,0,IF(B1090="F",VLOOKUP(I1090,Barem!$G$2:$H$16,2,1),VLOOKUP(I1090,Barem!$G$17:$H$31,2,1)))</f>
        <v>0</v>
      </c>
      <c r="L1090" s="50">
        <v>1.5</v>
      </c>
      <c r="M1090" s="124" t="s">
        <v>106</v>
      </c>
      <c r="N1090" s="10">
        <f t="shared" si="404"/>
        <v>0.5</v>
      </c>
      <c r="O1090" s="10">
        <f t="shared" si="404"/>
        <v>0.25</v>
      </c>
      <c r="P1090" s="10">
        <f t="shared" si="404"/>
        <v>0.25</v>
      </c>
      <c r="Q1090" s="40">
        <f t="shared" si="401"/>
        <v>0.37066666666666664</v>
      </c>
      <c r="R1090" s="21">
        <f>IF(D1090&gt;21,VLOOKUP(D1090,Barem!$T$1:$U$141,2,1),0)</f>
        <v>0</v>
      </c>
      <c r="S1090" s="152">
        <f>IF(D1090&lt;1.609,0,IF(B1090="F",VLOOKUP(I1090,Barem!$X$2:$Z$13,2,1),VLOOKUP(I1090,Barem!$X$14:$Z$25,2,1)))</f>
        <v>0</v>
      </c>
      <c r="T1090" s="21">
        <f>VLOOKUP(A1090,Participanti!A:C,3,0)</f>
        <v>0</v>
      </c>
      <c r="U1090" s="18">
        <f t="shared" si="402"/>
        <v>2.1956666666666664</v>
      </c>
      <c r="V1090" s="58" t="s">
        <v>501</v>
      </c>
      <c r="W1090" s="77">
        <f t="shared" ref="W1090:W1153" si="405">COUNTIFS(A:A,A1090,C:C,C1090)</f>
        <v>1</v>
      </c>
      <c r="X1090" s="1" t="e">
        <f>VLOOKUP(A1090,Data_Echipe!A:R,18,0)</f>
        <v>#N/A</v>
      </c>
      <c r="Z1090" s="115">
        <f t="shared" si="403"/>
        <v>0</v>
      </c>
    </row>
    <row r="1091" spans="1:26" x14ac:dyDescent="0.3">
      <c r="A1091" s="49" t="s">
        <v>375</v>
      </c>
      <c r="B1091" s="1" t="str">
        <f>VLOOKUP(A1091,Participanti!A:B,2,0)</f>
        <v>M</v>
      </c>
      <c r="C1091" s="74">
        <v>13</v>
      </c>
      <c r="D1091" s="50">
        <v>6</v>
      </c>
      <c r="E1091" s="51">
        <v>1.9479166666666669E-2</v>
      </c>
      <c r="F1091" s="51">
        <v>1.9479166666666669E-2</v>
      </c>
      <c r="G1091" s="69">
        <f t="shared" si="398"/>
        <v>1.9479166666666669E-2</v>
      </c>
      <c r="H1091" s="52"/>
      <c r="I1091" s="12">
        <f t="shared" si="399"/>
        <v>3.2465277777777783E-3</v>
      </c>
      <c r="J1091" s="37">
        <f t="shared" si="400"/>
        <v>1.4285714285714286</v>
      </c>
      <c r="K1091" s="37">
        <f>IF(J1091=0,0,IF(B1091="F",VLOOKUP(I1091,Barem!$G$2:$H$16,2,1),VLOOKUP(I1091,Barem!$G$17:$H$31,2,1)))</f>
        <v>3.5</v>
      </c>
      <c r="L1091" s="50">
        <v>2.25</v>
      </c>
      <c r="M1091" s="124" t="s">
        <v>207</v>
      </c>
      <c r="N1091" s="10">
        <f t="shared" si="404"/>
        <v>0.25</v>
      </c>
      <c r="O1091" s="10">
        <f t="shared" si="404"/>
        <v>0.25</v>
      </c>
      <c r="P1091" s="10">
        <f t="shared" si="404"/>
        <v>0.5</v>
      </c>
      <c r="Q1091" s="40">
        <f t="shared" si="401"/>
        <v>0</v>
      </c>
      <c r="R1091" s="21">
        <f>IF(D1091&gt;21,VLOOKUP(D1091,Barem!$T$1:$U$141,2,1),0)</f>
        <v>0</v>
      </c>
      <c r="S1091" s="152">
        <f>IF(D1091&lt;1.609,0,IF(B1091="F",VLOOKUP(I1091,Barem!$X$2:$Z$13,2,1),VLOOKUP(I1091,Barem!$X$14:$Z$25,2,1)))</f>
        <v>0</v>
      </c>
      <c r="T1091" s="21">
        <f>VLOOKUP(A1091,Participanti!A:C,3,0)</f>
        <v>0</v>
      </c>
      <c r="U1091" s="18">
        <f t="shared" si="402"/>
        <v>2.3571428571428572</v>
      </c>
      <c r="V1091" s="58" t="s">
        <v>501</v>
      </c>
      <c r="W1091" s="77">
        <f t="shared" si="405"/>
        <v>1</v>
      </c>
      <c r="X1091" s="1" t="e">
        <f>VLOOKUP(A1091,Data_Echipe!A:R,18,0)</f>
        <v>#N/A</v>
      </c>
      <c r="Z1091" s="115">
        <f t="shared" si="403"/>
        <v>1</v>
      </c>
    </row>
    <row r="1092" spans="1:26" x14ac:dyDescent="0.3">
      <c r="A1092" s="49" t="s">
        <v>390</v>
      </c>
      <c r="B1092" s="1" t="str">
        <f>VLOOKUP(A1092,Participanti!A:B,2,0)</f>
        <v>F</v>
      </c>
      <c r="C1092" s="74">
        <v>13</v>
      </c>
      <c r="D1092" s="50">
        <v>12.47</v>
      </c>
      <c r="E1092" s="51">
        <v>5.4340277777777779E-2</v>
      </c>
      <c r="F1092" s="51">
        <v>6.682870370370371E-2</v>
      </c>
      <c r="G1092" s="69">
        <f t="shared" si="398"/>
        <v>6.0584490740740744E-2</v>
      </c>
      <c r="H1092" s="52">
        <v>497</v>
      </c>
      <c r="I1092" s="12">
        <f t="shared" si="399"/>
        <v>4.8584194659776056E-3</v>
      </c>
      <c r="J1092" s="37">
        <f t="shared" si="400"/>
        <v>3.1175000000000002</v>
      </c>
      <c r="K1092" s="37">
        <f>IF(J1092=0,0,IF(B1092="F",VLOOKUP(I1092,Barem!$G$2:$H$16,2,1),VLOOKUP(I1092,Barem!$G$17:$H$31,2,1)))</f>
        <v>1</v>
      </c>
      <c r="L1092" s="50">
        <v>3.25</v>
      </c>
      <c r="M1092" s="124" t="s">
        <v>106</v>
      </c>
      <c r="N1092" s="10">
        <f t="shared" si="404"/>
        <v>0.5</v>
      </c>
      <c r="O1092" s="10">
        <f t="shared" si="404"/>
        <v>0.25</v>
      </c>
      <c r="P1092" s="10">
        <f t="shared" si="404"/>
        <v>0.25</v>
      </c>
      <c r="Q1092" s="40">
        <f t="shared" si="401"/>
        <v>0.33133333333333331</v>
      </c>
      <c r="R1092" s="21">
        <f>IF(D1092&gt;21,VLOOKUP(D1092,Barem!$T$1:$U$141,2,1),0)</f>
        <v>0</v>
      </c>
      <c r="S1092" s="152">
        <f>IF(D1092&lt;1.609,0,IF(B1092="F",VLOOKUP(I1092,Barem!$X$2:$Z$13,2,1),VLOOKUP(I1092,Barem!$X$14:$Z$25,2,1)))</f>
        <v>0</v>
      </c>
      <c r="T1092" s="21">
        <f>VLOOKUP(A1092,Participanti!A:C,3,0)</f>
        <v>0</v>
      </c>
      <c r="U1092" s="18">
        <f t="shared" si="402"/>
        <v>2.9525833333333331</v>
      </c>
      <c r="V1092" s="58" t="s">
        <v>501</v>
      </c>
      <c r="W1092" s="77">
        <f t="shared" si="405"/>
        <v>1</v>
      </c>
      <c r="X1092" s="1" t="str">
        <f>VLOOKUP(A1092,Data_Echipe!A:R,18,0)</f>
        <v>#notSYRious</v>
      </c>
      <c r="Z1092" s="115">
        <f t="shared" si="403"/>
        <v>1</v>
      </c>
    </row>
    <row r="1093" spans="1:26" x14ac:dyDescent="0.3">
      <c r="A1093" s="49" t="s">
        <v>288</v>
      </c>
      <c r="B1093" s="1" t="str">
        <f>VLOOKUP(A1093,Participanti!A:B,2,0)</f>
        <v>M</v>
      </c>
      <c r="C1093" s="74">
        <v>13</v>
      </c>
      <c r="D1093" s="50">
        <v>7.06</v>
      </c>
      <c r="E1093" s="51">
        <v>2.5381944444444443E-2</v>
      </c>
      <c r="F1093" s="51">
        <v>2.9594907407407407E-2</v>
      </c>
      <c r="G1093" s="69">
        <f t="shared" si="398"/>
        <v>2.7488425925925923E-2</v>
      </c>
      <c r="H1093" s="52"/>
      <c r="I1093" s="12">
        <f t="shared" si="399"/>
        <v>3.8935447487147201E-3</v>
      </c>
      <c r="J1093" s="37">
        <f t="shared" si="400"/>
        <v>1.6809523809523808</v>
      </c>
      <c r="K1093" s="37">
        <f>IF(J1093=0,0,IF(B1093="F",VLOOKUP(I1093,Barem!$G$2:$H$16,2,1),VLOOKUP(I1093,Barem!$G$17:$H$31,2,1)))</f>
        <v>1.75</v>
      </c>
      <c r="L1093" s="50">
        <v>2</v>
      </c>
      <c r="M1093" s="124" t="s">
        <v>207</v>
      </c>
      <c r="N1093" s="10">
        <f t="shared" si="404"/>
        <v>0.25</v>
      </c>
      <c r="O1093" s="10">
        <f t="shared" si="404"/>
        <v>0.25</v>
      </c>
      <c r="P1093" s="10">
        <f t="shared" si="404"/>
        <v>0.5</v>
      </c>
      <c r="Q1093" s="40">
        <f t="shared" si="401"/>
        <v>0</v>
      </c>
      <c r="R1093" s="21">
        <f>IF(D1093&gt;21,VLOOKUP(D1093,Barem!$T$1:$U$141,2,1),0)</f>
        <v>0</v>
      </c>
      <c r="S1093" s="152">
        <f>IF(D1093&lt;1.609,0,IF(B1093="F",VLOOKUP(I1093,Barem!$X$2:$Z$13,2,1),VLOOKUP(I1093,Barem!$X$14:$Z$25,2,1)))</f>
        <v>0</v>
      </c>
      <c r="T1093" s="21">
        <f>VLOOKUP(A1093,Participanti!A:C,3,0)</f>
        <v>0</v>
      </c>
      <c r="U1093" s="18">
        <f t="shared" si="402"/>
        <v>1.8577380952380951</v>
      </c>
      <c r="V1093" s="58" t="s">
        <v>501</v>
      </c>
      <c r="W1093" s="77">
        <f t="shared" si="405"/>
        <v>1</v>
      </c>
      <c r="X1093" s="1" t="e">
        <f>VLOOKUP(A1093,Data_Echipe!A:R,18,0)</f>
        <v>#N/A</v>
      </c>
      <c r="Z1093" s="115">
        <f t="shared" si="403"/>
        <v>1</v>
      </c>
    </row>
    <row r="1094" spans="1:26" x14ac:dyDescent="0.3">
      <c r="A1094" s="49" t="s">
        <v>47</v>
      </c>
      <c r="B1094" s="1" t="str">
        <f>VLOOKUP(A1094,Participanti!A:B,2,0)</f>
        <v>M</v>
      </c>
      <c r="C1094" s="74">
        <v>13</v>
      </c>
      <c r="D1094" s="50">
        <v>15.16</v>
      </c>
      <c r="E1094" s="51">
        <v>5.2048611111111108E-2</v>
      </c>
      <c r="F1094" s="51">
        <v>5.244212962962963E-2</v>
      </c>
      <c r="G1094" s="69">
        <f t="shared" si="398"/>
        <v>5.2245370370370373E-2</v>
      </c>
      <c r="H1094" s="52"/>
      <c r="I1094" s="12">
        <f t="shared" si="399"/>
        <v>3.4462645363041141E-3</v>
      </c>
      <c r="J1094" s="37">
        <f t="shared" si="400"/>
        <v>3.6095238095238096</v>
      </c>
      <c r="K1094" s="37">
        <f>IF(J1094=0,0,IF(B1094="F",VLOOKUP(I1094,Barem!$G$2:$H$16,2,1),VLOOKUP(I1094,Barem!$G$17:$H$31,2,1)))</f>
        <v>3</v>
      </c>
      <c r="L1094" s="50">
        <v>3.5</v>
      </c>
      <c r="M1094" s="124" t="s">
        <v>207</v>
      </c>
      <c r="N1094" s="10">
        <f t="shared" si="404"/>
        <v>0.25</v>
      </c>
      <c r="O1094" s="10">
        <f t="shared" si="404"/>
        <v>0.25</v>
      </c>
      <c r="P1094" s="10">
        <f t="shared" si="404"/>
        <v>0.5</v>
      </c>
      <c r="Q1094" s="40">
        <f t="shared" si="401"/>
        <v>0</v>
      </c>
      <c r="R1094" s="21">
        <f>IF(D1094&gt;21,VLOOKUP(D1094,Barem!$T$1:$U$141,2,1),0)</f>
        <v>0</v>
      </c>
      <c r="S1094" s="152">
        <f>IF(D1094&lt;1.609,0,IF(B1094="F",VLOOKUP(I1094,Barem!$X$2:$Z$13,2,1),VLOOKUP(I1094,Barem!$X$14:$Z$25,2,1)))</f>
        <v>0</v>
      </c>
      <c r="T1094" s="21">
        <f>VLOOKUP(A1094,Participanti!A:C,3,0)</f>
        <v>0</v>
      </c>
      <c r="U1094" s="18">
        <f t="shared" si="402"/>
        <v>3.4023809523809523</v>
      </c>
      <c r="V1094" s="58" t="s">
        <v>501</v>
      </c>
      <c r="W1094" s="77">
        <f t="shared" si="405"/>
        <v>1</v>
      </c>
      <c r="X1094" s="1" t="str">
        <f>VLOOKUP(A1094,Data_Echipe!A:R,18,0)</f>
        <v>The GOATs</v>
      </c>
      <c r="Z1094" s="115">
        <f t="shared" si="403"/>
        <v>1</v>
      </c>
    </row>
    <row r="1095" spans="1:26" x14ac:dyDescent="0.3">
      <c r="A1095" s="49" t="s">
        <v>170</v>
      </c>
      <c r="B1095" s="1" t="str">
        <f>VLOOKUP(A1095,Participanti!A:B,2,0)</f>
        <v>F</v>
      </c>
      <c r="C1095" s="74">
        <v>13</v>
      </c>
      <c r="D1095" s="50">
        <v>16.690000000000001</v>
      </c>
      <c r="E1095" s="51">
        <v>6.9907407407407404E-2</v>
      </c>
      <c r="F1095" s="51">
        <v>7.1469907407407399E-2</v>
      </c>
      <c r="G1095" s="69">
        <f t="shared" si="398"/>
        <v>7.0688657407407401E-2</v>
      </c>
      <c r="H1095" s="52"/>
      <c r="I1095" s="12">
        <f t="shared" si="399"/>
        <v>4.2353898985864231E-3</v>
      </c>
      <c r="J1095" s="37">
        <f t="shared" si="400"/>
        <v>4.1725000000000003</v>
      </c>
      <c r="K1095" s="37">
        <f>IF(J1095=0,0,IF(B1095="F",VLOOKUP(I1095,Barem!$G$2:$H$16,2,1),VLOOKUP(I1095,Barem!$G$17:$H$31,2,1)))</f>
        <v>1.75</v>
      </c>
      <c r="L1095" s="50">
        <v>4</v>
      </c>
      <c r="M1095" s="124" t="s">
        <v>207</v>
      </c>
      <c r="N1095" s="10">
        <f t="shared" si="404"/>
        <v>0.25</v>
      </c>
      <c r="O1095" s="10">
        <f t="shared" si="404"/>
        <v>0.25</v>
      </c>
      <c r="P1095" s="10">
        <f t="shared" si="404"/>
        <v>0.5</v>
      </c>
      <c r="Q1095" s="40">
        <f t="shared" si="401"/>
        <v>0</v>
      </c>
      <c r="R1095" s="21">
        <f>IF(D1095&gt;21,VLOOKUP(D1095,Barem!$T$1:$U$141,2,1),0)</f>
        <v>0</v>
      </c>
      <c r="S1095" s="152">
        <f>IF(D1095&lt;1.609,0,IF(B1095="F",VLOOKUP(I1095,Barem!$X$2:$Z$13,2,1),VLOOKUP(I1095,Barem!$X$14:$Z$25,2,1)))</f>
        <v>0</v>
      </c>
      <c r="T1095" s="21">
        <f>VLOOKUP(A1095,Participanti!A:C,3,0)</f>
        <v>0</v>
      </c>
      <c r="U1095" s="18">
        <f t="shared" si="402"/>
        <v>3.4806249999999999</v>
      </c>
      <c r="V1095" s="58" t="s">
        <v>502</v>
      </c>
      <c r="W1095" s="77">
        <f t="shared" si="405"/>
        <v>1</v>
      </c>
      <c r="X1095" s="1" t="str">
        <f>VLOOKUP(A1095,Data_Echipe!A:R,18,0)</f>
        <v>Almost Kenyan Runners</v>
      </c>
      <c r="Z1095" s="115">
        <f t="shared" si="403"/>
        <v>1</v>
      </c>
    </row>
    <row r="1096" spans="1:26" x14ac:dyDescent="0.3">
      <c r="A1096" s="49" t="s">
        <v>41</v>
      </c>
      <c r="B1096" s="1" t="str">
        <f>VLOOKUP(A1096,Participanti!A:B,2,0)</f>
        <v>M</v>
      </c>
      <c r="C1096" s="74">
        <v>13</v>
      </c>
      <c r="D1096" s="50">
        <v>5.15</v>
      </c>
      <c r="E1096" s="51">
        <v>1.4722222222222222E-2</v>
      </c>
      <c r="F1096" s="51">
        <v>1.4722222222222222E-2</v>
      </c>
      <c r="G1096" s="69">
        <f t="shared" si="398"/>
        <v>1.4722222222222222E-2</v>
      </c>
      <c r="H1096" s="52"/>
      <c r="I1096" s="12">
        <f t="shared" si="399"/>
        <v>2.8586839266450913E-3</v>
      </c>
      <c r="J1096" s="37">
        <f t="shared" si="400"/>
        <v>1.2261904761904763</v>
      </c>
      <c r="K1096" s="37">
        <f>IF(J1096=0,0,IF(B1096="F",VLOOKUP(I1096,Barem!$G$2:$H$16,2,1),VLOOKUP(I1096,Barem!$G$17:$H$31,2,1)))</f>
        <v>4.5</v>
      </c>
      <c r="L1096" s="50">
        <v>3.25</v>
      </c>
      <c r="M1096" s="124" t="s">
        <v>107</v>
      </c>
      <c r="N1096" s="10">
        <f t="shared" si="404"/>
        <v>0.25</v>
      </c>
      <c r="O1096" s="10">
        <f t="shared" si="404"/>
        <v>0.5</v>
      </c>
      <c r="P1096" s="10">
        <f t="shared" si="404"/>
        <v>0.25</v>
      </c>
      <c r="Q1096" s="40">
        <f t="shared" si="401"/>
        <v>0</v>
      </c>
      <c r="R1096" s="21">
        <f>IF(D1096&gt;21,VLOOKUP(D1096,Barem!$T$1:$U$141,2,1),0)</f>
        <v>0</v>
      </c>
      <c r="S1096" s="152">
        <f>IF(D1096&lt;1.609,0,IF(B1096="F",VLOOKUP(I1096,Barem!$X$2:$Z$13,2,1),VLOOKUP(I1096,Barem!$X$14:$Z$25,2,1)))</f>
        <v>0</v>
      </c>
      <c r="T1096" s="21">
        <f>VLOOKUP(A1096,Participanti!A:C,3,0)</f>
        <v>0</v>
      </c>
      <c r="U1096" s="18">
        <f t="shared" si="402"/>
        <v>3.3690476190476191</v>
      </c>
      <c r="V1096" s="58" t="s">
        <v>502</v>
      </c>
      <c r="W1096" s="77">
        <f t="shared" si="405"/>
        <v>1</v>
      </c>
      <c r="X1096" s="1" t="str">
        <f>VLOOKUP(A1096,Data_Echipe!A:R,18,0)</f>
        <v>Almost Kenyan Runners</v>
      </c>
      <c r="Z1096" s="115">
        <f t="shared" si="403"/>
        <v>1</v>
      </c>
    </row>
    <row r="1097" spans="1:26" x14ac:dyDescent="0.3">
      <c r="A1097" s="49" t="s">
        <v>49</v>
      </c>
      <c r="B1097" s="1" t="str">
        <f>VLOOKUP(A1097,Participanti!A:B,2,0)</f>
        <v>M</v>
      </c>
      <c r="C1097" s="74">
        <v>13</v>
      </c>
      <c r="D1097" s="50">
        <v>19.690000000000001</v>
      </c>
      <c r="E1097" s="51">
        <v>7.7928240740740742E-2</v>
      </c>
      <c r="F1097" s="51">
        <v>7.9027777777777766E-2</v>
      </c>
      <c r="G1097" s="69">
        <f t="shared" si="398"/>
        <v>7.8478009259259254E-2</v>
      </c>
      <c r="H1097" s="52">
        <v>674</v>
      </c>
      <c r="I1097" s="12">
        <f t="shared" si="399"/>
        <v>3.9856784793935625E-3</v>
      </c>
      <c r="J1097" s="37">
        <f t="shared" si="400"/>
        <v>4.6880952380952383</v>
      </c>
      <c r="K1097" s="37">
        <f>IF(J1097=0,0,IF(B1097="F",VLOOKUP(I1097,Barem!$G$2:$H$16,2,1),VLOOKUP(I1097,Barem!$G$17:$H$31,2,1)))</f>
        <v>1.75</v>
      </c>
      <c r="L1097" s="50">
        <v>4</v>
      </c>
      <c r="M1097" s="124" t="s">
        <v>107</v>
      </c>
      <c r="N1097" s="10">
        <f t="shared" si="404"/>
        <v>0.25</v>
      </c>
      <c r="O1097" s="10">
        <f t="shared" si="404"/>
        <v>0.5</v>
      </c>
      <c r="P1097" s="10">
        <f t="shared" si="404"/>
        <v>0.25</v>
      </c>
      <c r="Q1097" s="40">
        <f t="shared" si="401"/>
        <v>0.44933333333333331</v>
      </c>
      <c r="R1097" s="21">
        <f>IF(D1097&gt;21,VLOOKUP(D1097,Barem!$T$1:$U$141,2,1),0)</f>
        <v>0</v>
      </c>
      <c r="S1097" s="152">
        <f>IF(D1097&lt;1.609,0,IF(B1097="F",VLOOKUP(I1097,Barem!$X$2:$Z$13,2,1),VLOOKUP(I1097,Barem!$X$14:$Z$25,2,1)))</f>
        <v>0</v>
      </c>
      <c r="T1097" s="21">
        <f>VLOOKUP(A1097,Participanti!A:C,3,0)</f>
        <v>0</v>
      </c>
      <c r="U1097" s="18">
        <f t="shared" si="402"/>
        <v>3.4963571428571427</v>
      </c>
      <c r="V1097" s="58" t="s">
        <v>502</v>
      </c>
      <c r="W1097" s="77">
        <f t="shared" si="405"/>
        <v>1</v>
      </c>
      <c r="X1097" s="1" t="str">
        <f>VLOOKUP(A1097,Data_Echipe!A:R,18,0)</f>
        <v>The GOATs</v>
      </c>
      <c r="Z1097" s="115">
        <f t="shared" si="403"/>
        <v>1</v>
      </c>
    </row>
    <row r="1098" spans="1:26" x14ac:dyDescent="0.3">
      <c r="A1098" s="49" t="s">
        <v>116</v>
      </c>
      <c r="B1098" s="1" t="str">
        <f>VLOOKUP(A1098,Participanti!A:B,2,0)</f>
        <v>F</v>
      </c>
      <c r="C1098" s="74">
        <v>13</v>
      </c>
      <c r="D1098" s="50">
        <v>19.93</v>
      </c>
      <c r="E1098" s="51">
        <v>0.10642361111111111</v>
      </c>
      <c r="F1098" s="51">
        <v>0.11297453703703704</v>
      </c>
      <c r="G1098" s="69">
        <f t="shared" ref="G1098" si="406">AVERAGE(E1098:F1098)</f>
        <v>0.10969907407407407</v>
      </c>
      <c r="H1098" s="52">
        <v>686</v>
      </c>
      <c r="I1098" s="12">
        <f t="shared" ref="I1098" si="407">G1098/D1098</f>
        <v>5.5042184683429043E-3</v>
      </c>
      <c r="J1098" s="37">
        <f t="shared" ref="J1098" si="408">IF(B1098="F",IF(D1098&lt;2.5,0,IF(D1098&gt;19.99,5,D1098/4)),IF(D1098&lt;3,0, IF(D1098&gt;20.99,5,D1098/4.2)))</f>
        <v>4.9824999999999999</v>
      </c>
      <c r="K1098" s="37">
        <f>IF(J1098=0,0,IF(B1098="F",VLOOKUP(I1098,Barem!$G$2:$H$16,2,1),VLOOKUP(I1098,Barem!$G$17:$H$31,2,1)))</f>
        <v>0.25</v>
      </c>
      <c r="L1098" s="50">
        <v>3.5</v>
      </c>
      <c r="M1098" s="124" t="s">
        <v>106</v>
      </c>
      <c r="N1098" s="10">
        <f t="shared" si="404"/>
        <v>0.5</v>
      </c>
      <c r="O1098" s="10">
        <f t="shared" si="404"/>
        <v>0.25</v>
      </c>
      <c r="P1098" s="10">
        <f t="shared" si="404"/>
        <v>0.25</v>
      </c>
      <c r="Q1098" s="40">
        <f t="shared" ref="Q1098" si="409">IF(H1098&gt;49,H1098/1500,0)</f>
        <v>0.45733333333333331</v>
      </c>
      <c r="R1098" s="21">
        <f>IF(D1098&gt;21,VLOOKUP(D1098,Barem!$T$1:$U$141,2,1),0)</f>
        <v>0</v>
      </c>
      <c r="S1098" s="152">
        <f>IF(D1098&lt;1.609,0,IF(B1098="F",VLOOKUP(I1098,Barem!$X$2:$Z$13,2,1),VLOOKUP(I1098,Barem!$X$14:$Z$25,2,1)))</f>
        <v>0</v>
      </c>
      <c r="T1098" s="21">
        <f>VLOOKUP(A1098,Participanti!A:C,3,0)</f>
        <v>0</v>
      </c>
      <c r="U1098" s="18">
        <f t="shared" ref="U1098" si="410">IF(H1098&lt;0,0,J1098*N1098+K1098*O1098+L1098*P1098+Q1098+R1098+S1098+T1098)</f>
        <v>3.8860833333333331</v>
      </c>
      <c r="V1098" s="58" t="s">
        <v>502</v>
      </c>
      <c r="W1098" s="77">
        <f t="shared" si="405"/>
        <v>1</v>
      </c>
      <c r="X1098" s="1" t="str">
        <f>VLOOKUP(A1098,Data_Echipe!A:R,18,0)</f>
        <v>#notSYRious</v>
      </c>
      <c r="Z1098" s="115">
        <f t="shared" ref="Z1098" si="411">IF(K1098&gt;0,1,0)</f>
        <v>1</v>
      </c>
    </row>
    <row r="1099" spans="1:26" x14ac:dyDescent="0.3">
      <c r="A1099" s="49" t="s">
        <v>284</v>
      </c>
      <c r="B1099" s="1" t="str">
        <f>VLOOKUP(A1099,Participanti!A:B,2,0)</f>
        <v>M</v>
      </c>
      <c r="C1099" s="74">
        <v>13</v>
      </c>
      <c r="D1099" s="50">
        <v>2.67</v>
      </c>
      <c r="E1099" s="51">
        <v>9.2708333333333341E-3</v>
      </c>
      <c r="F1099" s="51">
        <v>9.5949074074074079E-3</v>
      </c>
      <c r="G1099" s="69">
        <f t="shared" si="398"/>
        <v>9.432870370370371E-3</v>
      </c>
      <c r="H1099" s="52"/>
      <c r="I1099" s="12">
        <f t="shared" si="399"/>
        <v>3.5329102510750455E-3</v>
      </c>
      <c r="J1099" s="37">
        <f t="shared" si="400"/>
        <v>0</v>
      </c>
      <c r="K1099" s="37">
        <f>IF(J1099=0,0,IF(B1099="F",VLOOKUP(I1099,Barem!$G$2:$H$16,2,1),VLOOKUP(I1099,Barem!$G$17:$H$31,2,1)))</f>
        <v>0</v>
      </c>
      <c r="L1099" s="50">
        <v>1.25</v>
      </c>
      <c r="M1099" s="124" t="s">
        <v>107</v>
      </c>
      <c r="N1099" s="10">
        <f t="shared" si="404"/>
        <v>0.25</v>
      </c>
      <c r="O1099" s="10">
        <f t="shared" si="404"/>
        <v>0.5</v>
      </c>
      <c r="P1099" s="10">
        <f t="shared" si="404"/>
        <v>0.25</v>
      </c>
      <c r="Q1099" s="40">
        <f t="shared" si="401"/>
        <v>0</v>
      </c>
      <c r="R1099" s="21">
        <f>IF(D1099&gt;21,VLOOKUP(D1099,Barem!$T$1:$U$141,2,1),0)</f>
        <v>0</v>
      </c>
      <c r="S1099" s="152">
        <f>IF(D1099&lt;1.609,0,IF(B1099="F",VLOOKUP(I1099,Barem!$X$2:$Z$13,2,1),VLOOKUP(I1099,Barem!$X$14:$Z$25,2,1)))</f>
        <v>0</v>
      </c>
      <c r="T1099" s="21">
        <f>VLOOKUP(A1099,Participanti!A:C,3,0)</f>
        <v>0</v>
      </c>
      <c r="U1099" s="18">
        <f t="shared" si="402"/>
        <v>0.3125</v>
      </c>
      <c r="V1099" s="58" t="s">
        <v>502</v>
      </c>
      <c r="W1099" s="77">
        <f t="shared" si="405"/>
        <v>1</v>
      </c>
      <c r="X1099" s="1" t="str">
        <f>VLOOKUP(A1099,Data_Echipe!A:R,18,0)</f>
        <v>The GOATs</v>
      </c>
      <c r="Z1099" s="115">
        <f t="shared" si="403"/>
        <v>0</v>
      </c>
    </row>
    <row r="1100" spans="1:26" x14ac:dyDescent="0.3">
      <c r="A1100" s="49" t="s">
        <v>356</v>
      </c>
      <c r="B1100" s="1" t="str">
        <f>VLOOKUP(A1100,Participanti!A:B,2,0)</f>
        <v>M</v>
      </c>
      <c r="C1100" s="74">
        <v>13</v>
      </c>
      <c r="D1100" s="50">
        <v>22.61</v>
      </c>
      <c r="E1100" s="51">
        <v>0.11931712962962963</v>
      </c>
      <c r="F1100" s="51">
        <v>0.12295138888888889</v>
      </c>
      <c r="G1100" s="69">
        <f t="shared" si="398"/>
        <v>0.12113425925925926</v>
      </c>
      <c r="H1100" s="52">
        <v>732</v>
      </c>
      <c r="I1100" s="12">
        <f t="shared" si="399"/>
        <v>5.3575523776762165E-3</v>
      </c>
      <c r="J1100" s="37">
        <f t="shared" si="400"/>
        <v>5</v>
      </c>
      <c r="K1100" s="37">
        <f>IF(J1100=0,0,IF(B1100="F",VLOOKUP(I1100,Barem!$G$2:$H$16,2,1),VLOOKUP(I1100,Barem!$G$17:$H$31,2,1)))</f>
        <v>0.25</v>
      </c>
      <c r="L1100" s="50">
        <v>3.5</v>
      </c>
      <c r="M1100" s="124" t="s">
        <v>207</v>
      </c>
      <c r="N1100" s="10">
        <f t="shared" si="404"/>
        <v>0.25</v>
      </c>
      <c r="O1100" s="10">
        <f t="shared" si="404"/>
        <v>0.25</v>
      </c>
      <c r="P1100" s="10">
        <f t="shared" si="404"/>
        <v>0.5</v>
      </c>
      <c r="Q1100" s="40">
        <f t="shared" si="401"/>
        <v>0.48799999999999999</v>
      </c>
      <c r="R1100" s="21">
        <f>IF(D1100&gt;21,VLOOKUP(D1100,Barem!$T$1:$U$141,2,1),0)</f>
        <v>0</v>
      </c>
      <c r="S1100" s="152">
        <f>IF(D1100&lt;1.609,0,IF(B1100="F",VLOOKUP(I1100,Barem!$X$2:$Z$13,2,1),VLOOKUP(I1100,Barem!$X$14:$Z$25,2,1)))</f>
        <v>0</v>
      </c>
      <c r="T1100" s="21">
        <f>VLOOKUP(A1100,Participanti!A:C,3,0)</f>
        <v>0</v>
      </c>
      <c r="U1100" s="18">
        <f t="shared" si="402"/>
        <v>3.5505</v>
      </c>
      <c r="V1100" s="58" t="s">
        <v>502</v>
      </c>
      <c r="W1100" s="77">
        <f t="shared" si="405"/>
        <v>1</v>
      </c>
      <c r="X1100" s="1" t="str">
        <f>VLOOKUP(A1100,Data_Echipe!A:R,18,0)</f>
        <v>MedgidiaRunning</v>
      </c>
      <c r="Z1100" s="115">
        <f t="shared" si="403"/>
        <v>1</v>
      </c>
    </row>
    <row r="1101" spans="1:26" x14ac:dyDescent="0.3">
      <c r="A1101" s="49" t="s">
        <v>114</v>
      </c>
      <c r="B1101" s="1" t="str">
        <f>VLOOKUP(A1101,Participanti!A:B,2,0)</f>
        <v>M</v>
      </c>
      <c r="C1101" s="74">
        <v>13</v>
      </c>
      <c r="D1101" s="50">
        <v>19.78</v>
      </c>
      <c r="E1101" s="51">
        <v>9.9050925925925917E-2</v>
      </c>
      <c r="F1101" s="51">
        <v>9.9189814814814814E-2</v>
      </c>
      <c r="G1101" s="69">
        <f t="shared" ref="G1101:G1108" si="412">AVERAGE(E1101:F1101)</f>
        <v>9.9120370370370359E-2</v>
      </c>
      <c r="H1101" s="52">
        <v>685</v>
      </c>
      <c r="I1101" s="12">
        <f t="shared" ref="I1101:I1108" si="413">G1101/D1101</f>
        <v>5.0111410702917266E-3</v>
      </c>
      <c r="J1101" s="37">
        <f t="shared" ref="J1101:J1108" si="414">IF(B1101="F",IF(D1101&lt;2.5,0,IF(D1101&gt;19.99,5,D1101/4)),IF(D1101&lt;3,0, IF(D1101&gt;20.99,5,D1101/4.2)))</f>
        <v>4.7095238095238097</v>
      </c>
      <c r="K1101" s="37">
        <f>IF(J1101=0,0,IF(B1101="F",VLOOKUP(I1101,Barem!$G$2:$H$16,2,1),VLOOKUP(I1101,Barem!$G$17:$H$31,2,1)))</f>
        <v>0.25</v>
      </c>
      <c r="L1101" s="50">
        <v>3</v>
      </c>
      <c r="M1101" s="124" t="s">
        <v>207</v>
      </c>
      <c r="N1101" s="10">
        <f t="shared" si="404"/>
        <v>0.25</v>
      </c>
      <c r="O1101" s="10">
        <f t="shared" si="404"/>
        <v>0.25</v>
      </c>
      <c r="P1101" s="10">
        <f t="shared" si="404"/>
        <v>0.5</v>
      </c>
      <c r="Q1101" s="40">
        <f t="shared" ref="Q1101:Q1108" si="415">IF(H1101&gt;49,H1101/1500,0)</f>
        <v>0.45666666666666667</v>
      </c>
      <c r="R1101" s="21">
        <f>IF(D1101&gt;21,VLOOKUP(D1101,Barem!$T$1:$U$141,2,1),0)</f>
        <v>0</v>
      </c>
      <c r="S1101" s="152">
        <f>IF(D1101&lt;1.609,0,IF(B1101="F",VLOOKUP(I1101,Barem!$X$2:$Z$13,2,1),VLOOKUP(I1101,Barem!$X$14:$Z$25,2,1)))</f>
        <v>0</v>
      </c>
      <c r="T1101" s="21">
        <f>VLOOKUP(A1101,Participanti!A:C,3,0)</f>
        <v>0</v>
      </c>
      <c r="U1101" s="18">
        <f t="shared" ref="U1101:U1108" si="416">IF(H1101&lt;0,0,J1101*N1101+K1101*O1101+L1101*P1101+Q1101+R1101+S1101+T1101)</f>
        <v>3.1965476190476187</v>
      </c>
      <c r="V1101" s="58" t="s">
        <v>502</v>
      </c>
      <c r="W1101" s="77">
        <f t="shared" si="405"/>
        <v>1</v>
      </c>
      <c r="X1101" s="1" t="str">
        <f>VLOOKUP(A1101,Data_Echipe!A:R,18,0)</f>
        <v>#notSYRious</v>
      </c>
      <c r="Z1101" s="115">
        <f t="shared" ref="Z1101:Z1108" si="417">IF(K1101&gt;0,1,0)</f>
        <v>1</v>
      </c>
    </row>
    <row r="1102" spans="1:26" x14ac:dyDescent="0.3">
      <c r="A1102" s="49" t="s">
        <v>331</v>
      </c>
      <c r="B1102" s="1" t="str">
        <f>VLOOKUP(A1102,Participanti!A:B,2,0)</f>
        <v>F</v>
      </c>
      <c r="C1102" s="74">
        <v>13</v>
      </c>
      <c r="D1102" s="50">
        <v>22.62</v>
      </c>
      <c r="E1102" s="51">
        <v>0.12296296296296295</v>
      </c>
      <c r="F1102" s="51">
        <v>0.12696759259259258</v>
      </c>
      <c r="G1102" s="69">
        <f t="shared" si="412"/>
        <v>0.12496527777777777</v>
      </c>
      <c r="H1102" s="52">
        <v>722</v>
      </c>
      <c r="I1102" s="12">
        <f t="shared" si="413"/>
        <v>5.5245480892032609E-3</v>
      </c>
      <c r="J1102" s="37">
        <f t="shared" si="414"/>
        <v>5</v>
      </c>
      <c r="K1102" s="37">
        <f>IF(J1102=0,0,IF(B1102="F",VLOOKUP(I1102,Barem!$G$2:$H$16,2,1),VLOOKUP(I1102,Barem!$G$17:$H$31,2,1)))</f>
        <v>0.25</v>
      </c>
      <c r="L1102" s="50">
        <v>4.25</v>
      </c>
      <c r="M1102" s="124" t="s">
        <v>207</v>
      </c>
      <c r="N1102" s="10">
        <f t="shared" si="404"/>
        <v>0.25</v>
      </c>
      <c r="O1102" s="10">
        <f t="shared" si="404"/>
        <v>0.25</v>
      </c>
      <c r="P1102" s="10">
        <f t="shared" si="404"/>
        <v>0.5</v>
      </c>
      <c r="Q1102" s="40">
        <f t="shared" si="415"/>
        <v>0.48133333333333334</v>
      </c>
      <c r="R1102" s="21">
        <f>IF(D1102&gt;21,VLOOKUP(D1102,Barem!$T$1:$U$141,2,1),0)</f>
        <v>0</v>
      </c>
      <c r="S1102" s="152">
        <f>IF(D1102&lt;1.609,0,IF(B1102="F",VLOOKUP(I1102,Barem!$X$2:$Z$13,2,1),VLOOKUP(I1102,Barem!$X$14:$Z$25,2,1)))</f>
        <v>0</v>
      </c>
      <c r="T1102" s="21">
        <f>VLOOKUP(A1102,Participanti!A:C,3,0)</f>
        <v>0</v>
      </c>
      <c r="U1102" s="18">
        <f t="shared" si="416"/>
        <v>3.9188333333333332</v>
      </c>
      <c r="V1102" s="58" t="s">
        <v>502</v>
      </c>
      <c r="W1102" s="77">
        <f t="shared" si="405"/>
        <v>1</v>
      </c>
      <c r="X1102" s="1" t="str">
        <f>VLOOKUP(A1102,Data_Echipe!A:R,18,0)</f>
        <v>MedgidiaRunning</v>
      </c>
      <c r="Z1102" s="115">
        <f t="shared" si="417"/>
        <v>1</v>
      </c>
    </row>
    <row r="1103" spans="1:26" x14ac:dyDescent="0.3">
      <c r="A1103" s="49" t="s">
        <v>78</v>
      </c>
      <c r="B1103" s="1" t="str">
        <f>VLOOKUP(A1103,Participanti!A:B,2,0)</f>
        <v>M</v>
      </c>
      <c r="C1103" s="74">
        <v>13</v>
      </c>
      <c r="D1103" s="50">
        <v>34.549999999999997</v>
      </c>
      <c r="E1103" s="51">
        <v>0.31543981481481481</v>
      </c>
      <c r="F1103" s="51">
        <v>0.35289351851851852</v>
      </c>
      <c r="G1103" s="69">
        <f t="shared" si="412"/>
        <v>0.33416666666666667</v>
      </c>
      <c r="H1103" s="52">
        <v>1996</v>
      </c>
      <c r="I1103" s="12">
        <f t="shared" si="413"/>
        <v>9.6719729860106126E-3</v>
      </c>
      <c r="J1103" s="37">
        <f t="shared" si="414"/>
        <v>5</v>
      </c>
      <c r="K1103" s="37">
        <f>IF(J1103=0,0,IF(B1103="F",VLOOKUP(I1103,Barem!$G$2:$H$16,2,1),VLOOKUP(I1103,Barem!$G$17:$H$31,2,1)))</f>
        <v>0</v>
      </c>
      <c r="L1103" s="50">
        <v>3.25</v>
      </c>
      <c r="M1103" s="124" t="s">
        <v>106</v>
      </c>
      <c r="N1103" s="10">
        <f t="shared" si="404"/>
        <v>0.5</v>
      </c>
      <c r="O1103" s="10">
        <f t="shared" si="404"/>
        <v>0.25</v>
      </c>
      <c r="P1103" s="10">
        <f t="shared" si="404"/>
        <v>0.25</v>
      </c>
      <c r="Q1103" s="40">
        <f t="shared" si="415"/>
        <v>1.3306666666666667</v>
      </c>
      <c r="R1103" s="21">
        <f>IF(D1103&gt;21,VLOOKUP(D1103,Barem!$T$1:$U$141,2,1),0)</f>
        <v>0.6</v>
      </c>
      <c r="S1103" s="152">
        <f>IF(D1103&lt;1.609,0,IF(B1103="F",VLOOKUP(I1103,Barem!$X$2:$Z$13,2,1),VLOOKUP(I1103,Barem!$X$14:$Z$25,2,1)))</f>
        <v>0</v>
      </c>
      <c r="T1103" s="21">
        <f>VLOOKUP(A1103,Participanti!A:C,3,0)</f>
        <v>0.4</v>
      </c>
      <c r="U1103" s="18">
        <f t="shared" si="416"/>
        <v>5.6431666666666667</v>
      </c>
      <c r="V1103" s="58" t="s">
        <v>502</v>
      </c>
      <c r="W1103" s="77">
        <f t="shared" si="405"/>
        <v>1</v>
      </c>
      <c r="X1103" s="1" t="str">
        <f>VLOOKUP(A1103,Data_Echipe!A:R,18,0)</f>
        <v>Almost Kenyan Runners</v>
      </c>
      <c r="Z1103" s="115">
        <f t="shared" si="417"/>
        <v>0</v>
      </c>
    </row>
    <row r="1104" spans="1:26" x14ac:dyDescent="0.3">
      <c r="A1104" s="49" t="s">
        <v>366</v>
      </c>
      <c r="B1104" s="1" t="str">
        <f>VLOOKUP(A1104,Participanti!A:B,2,0)</f>
        <v>M</v>
      </c>
      <c r="C1104" s="74">
        <v>13</v>
      </c>
      <c r="D1104" s="50">
        <v>19.89</v>
      </c>
      <c r="E1104" s="51">
        <v>8.443287037037038E-2</v>
      </c>
      <c r="F1104" s="51">
        <v>8.5636574074074087E-2</v>
      </c>
      <c r="G1104" s="69">
        <f t="shared" si="412"/>
        <v>8.5034722222222234E-2</v>
      </c>
      <c r="H1104" s="52">
        <v>713</v>
      </c>
      <c r="I1104" s="12">
        <f t="shared" si="413"/>
        <v>4.2752499860343003E-3</v>
      </c>
      <c r="J1104" s="37">
        <f t="shared" si="414"/>
        <v>4.7357142857142858</v>
      </c>
      <c r="K1104" s="37">
        <f>IF(J1104=0,0,IF(B1104="F",VLOOKUP(I1104,Barem!$G$2:$H$16,2,1),VLOOKUP(I1104,Barem!$G$17:$H$31,2,1)))</f>
        <v>1.25</v>
      </c>
      <c r="L1104" s="50">
        <v>3.75</v>
      </c>
      <c r="M1104" s="124" t="s">
        <v>207</v>
      </c>
      <c r="N1104" s="10">
        <f t="shared" ref="N1104:P1112" si="418">IF($M1104=N$1,50%,25%)</f>
        <v>0.25</v>
      </c>
      <c r="O1104" s="10">
        <f t="shared" si="418"/>
        <v>0.25</v>
      </c>
      <c r="P1104" s="10">
        <f t="shared" si="418"/>
        <v>0.5</v>
      </c>
      <c r="Q1104" s="40">
        <f t="shared" si="415"/>
        <v>0.47533333333333333</v>
      </c>
      <c r="R1104" s="21">
        <f>IF(D1104&gt;21,VLOOKUP(D1104,Barem!$T$1:$U$141,2,1),0)</f>
        <v>0</v>
      </c>
      <c r="S1104" s="152">
        <f>IF(D1104&lt;1.609,0,IF(B1104="F",VLOOKUP(I1104,Barem!$X$2:$Z$13,2,1),VLOOKUP(I1104,Barem!$X$14:$Z$25,2,1)))</f>
        <v>0</v>
      </c>
      <c r="T1104" s="21">
        <f>VLOOKUP(A1104,Participanti!A:C,3,0)</f>
        <v>0</v>
      </c>
      <c r="U1104" s="18">
        <f t="shared" si="416"/>
        <v>3.8467619047619048</v>
      </c>
      <c r="V1104" s="58" t="s">
        <v>502</v>
      </c>
      <c r="W1104" s="77">
        <f t="shared" si="405"/>
        <v>1</v>
      </c>
      <c r="X1104" s="1" t="str">
        <f>VLOOKUP(A1104,Data_Echipe!A:R,18,0)</f>
        <v>The GOATs</v>
      </c>
      <c r="Z1104" s="115">
        <f t="shared" si="417"/>
        <v>1</v>
      </c>
    </row>
    <row r="1105" spans="1:27" x14ac:dyDescent="0.3">
      <c r="A1105" s="49" t="s">
        <v>376</v>
      </c>
      <c r="B1105" s="1" t="str">
        <f>VLOOKUP(A1105,Participanti!A:B,2,0)</f>
        <v>M</v>
      </c>
      <c r="C1105" s="74">
        <v>13</v>
      </c>
      <c r="D1105" s="50">
        <v>19.489999999999998</v>
      </c>
      <c r="E1105" s="51">
        <v>6.1550925925925926E-2</v>
      </c>
      <c r="F1105" s="51">
        <v>6.173611111111111E-2</v>
      </c>
      <c r="G1105" s="69">
        <f t="shared" si="412"/>
        <v>6.1643518518518514E-2</v>
      </c>
      <c r="H1105" s="52">
        <v>720</v>
      </c>
      <c r="I1105" s="12">
        <f t="shared" si="413"/>
        <v>3.1628280409706781E-3</v>
      </c>
      <c r="J1105" s="37">
        <f t="shared" si="414"/>
        <v>4.64047619047619</v>
      </c>
      <c r="K1105" s="37">
        <f>IF(J1105=0,0,IF(B1105="F",VLOOKUP(I1105,Barem!$G$2:$H$16,2,1),VLOOKUP(I1105,Barem!$G$17:$H$31,2,1)))</f>
        <v>3.5</v>
      </c>
      <c r="L1105" s="50">
        <v>1.5</v>
      </c>
      <c r="M1105" s="124" t="s">
        <v>107</v>
      </c>
      <c r="N1105" s="10">
        <f t="shared" si="418"/>
        <v>0.25</v>
      </c>
      <c r="O1105" s="10">
        <f t="shared" si="418"/>
        <v>0.5</v>
      </c>
      <c r="P1105" s="10">
        <f t="shared" si="418"/>
        <v>0.25</v>
      </c>
      <c r="Q1105" s="40">
        <f t="shared" si="415"/>
        <v>0.48</v>
      </c>
      <c r="R1105" s="21">
        <f>IF(D1105&gt;21,VLOOKUP(D1105,Barem!$T$1:$U$141,2,1),0)</f>
        <v>0</v>
      </c>
      <c r="S1105" s="152">
        <f>IF(D1105&lt;1.609,0,IF(B1105="F",VLOOKUP(I1105,Barem!$X$2:$Z$13,2,1),VLOOKUP(I1105,Barem!$X$14:$Z$25,2,1)))</f>
        <v>0</v>
      </c>
      <c r="T1105" s="21">
        <f>VLOOKUP(A1105,Participanti!A:C,3,0)</f>
        <v>0</v>
      </c>
      <c r="U1105" s="18">
        <f t="shared" si="416"/>
        <v>3.7651190476190473</v>
      </c>
      <c r="V1105" s="58" t="s">
        <v>502</v>
      </c>
      <c r="W1105" s="77">
        <f t="shared" si="405"/>
        <v>1</v>
      </c>
      <c r="X1105" s="1" t="e">
        <f>VLOOKUP(A1105,Data_Echipe!A:R,18,0)</f>
        <v>#N/A</v>
      </c>
      <c r="Z1105" s="115">
        <f t="shared" si="417"/>
        <v>1</v>
      </c>
    </row>
    <row r="1106" spans="1:27" x14ac:dyDescent="0.3">
      <c r="A1106" s="49" t="s">
        <v>51</v>
      </c>
      <c r="B1106" s="1" t="str">
        <f>VLOOKUP(A1106,Participanti!A:B,2,0)</f>
        <v>M</v>
      </c>
      <c r="C1106" s="74">
        <v>13</v>
      </c>
      <c r="D1106" s="50">
        <v>25.44</v>
      </c>
      <c r="E1106" s="51">
        <v>9.3831018518518508E-2</v>
      </c>
      <c r="F1106" s="51">
        <v>9.6018518518518517E-2</v>
      </c>
      <c r="G1106" s="69">
        <f t="shared" si="412"/>
        <v>9.4924768518518512E-2</v>
      </c>
      <c r="H1106" s="52">
        <v>636</v>
      </c>
      <c r="I1106" s="12">
        <f t="shared" si="413"/>
        <v>3.7313195172373626E-3</v>
      </c>
      <c r="J1106" s="37">
        <f t="shared" si="414"/>
        <v>5</v>
      </c>
      <c r="K1106" s="37">
        <f>IF(J1106=0,0,IF(B1106="F",VLOOKUP(I1106,Barem!$G$2:$H$16,2,1),VLOOKUP(I1106,Barem!$G$17:$H$31,2,1)))</f>
        <v>2</v>
      </c>
      <c r="L1106" s="50">
        <v>3.25</v>
      </c>
      <c r="M1106" s="124" t="s">
        <v>106</v>
      </c>
      <c r="N1106" s="10">
        <f t="shared" si="418"/>
        <v>0.5</v>
      </c>
      <c r="O1106" s="10">
        <f t="shared" si="418"/>
        <v>0.25</v>
      </c>
      <c r="P1106" s="10">
        <f t="shared" si="418"/>
        <v>0.25</v>
      </c>
      <c r="Q1106" s="40">
        <f t="shared" si="415"/>
        <v>0.42399999999999999</v>
      </c>
      <c r="R1106" s="21">
        <f>IF(D1106&gt;21,VLOOKUP(D1106,Barem!$T$1:$U$141,2,1),0)</f>
        <v>0.2</v>
      </c>
      <c r="S1106" s="152">
        <f>IF(D1106&lt;1.609,0,IF(B1106="F",VLOOKUP(I1106,Barem!$X$2:$Z$13,2,1),VLOOKUP(I1106,Barem!$X$14:$Z$25,2,1)))</f>
        <v>0</v>
      </c>
      <c r="T1106" s="21">
        <f>VLOOKUP(A1106,Participanti!A:C,3,0)</f>
        <v>0</v>
      </c>
      <c r="U1106" s="18">
        <f t="shared" si="416"/>
        <v>4.4365000000000006</v>
      </c>
      <c r="V1106" s="58" t="s">
        <v>502</v>
      </c>
      <c r="W1106" s="77">
        <f t="shared" si="405"/>
        <v>1</v>
      </c>
      <c r="X1106" s="1" t="str">
        <f>VLOOKUP(A1106,Data_Echipe!A:R,18,0)</f>
        <v>The GOATs</v>
      </c>
      <c r="Z1106" s="115">
        <f t="shared" si="417"/>
        <v>1</v>
      </c>
    </row>
    <row r="1107" spans="1:27" x14ac:dyDescent="0.3">
      <c r="A1107" s="49" t="s">
        <v>247</v>
      </c>
      <c r="B1107" s="1" t="str">
        <f>VLOOKUP(A1107,Participanti!A:B,2,0)</f>
        <v>M</v>
      </c>
      <c r="C1107" s="74">
        <v>13</v>
      </c>
      <c r="D1107" s="50">
        <v>41.46</v>
      </c>
      <c r="E1107" s="51">
        <v>0.30097222222222225</v>
      </c>
      <c r="F1107" s="51">
        <v>0.31675925925925924</v>
      </c>
      <c r="G1107" s="69">
        <f t="shared" si="412"/>
        <v>0.30886574074074075</v>
      </c>
      <c r="H1107" s="52">
        <v>1802</v>
      </c>
      <c r="I1107" s="12">
        <f t="shared" si="413"/>
        <v>7.4497284307945182E-3</v>
      </c>
      <c r="J1107" s="37">
        <f t="shared" si="414"/>
        <v>5</v>
      </c>
      <c r="K1107" s="37">
        <f>IF(J1107=0,0,IF(B1107="F",VLOOKUP(I1107,Barem!$G$2:$H$16,2,1),VLOOKUP(I1107,Barem!$G$17:$H$31,2,1)))</f>
        <v>0</v>
      </c>
      <c r="L1107" s="50">
        <v>2.5</v>
      </c>
      <c r="M1107" s="124" t="s">
        <v>207</v>
      </c>
      <c r="N1107" s="10">
        <f t="shared" si="418"/>
        <v>0.25</v>
      </c>
      <c r="O1107" s="10">
        <f t="shared" si="418"/>
        <v>0.25</v>
      </c>
      <c r="P1107" s="10">
        <f t="shared" si="418"/>
        <v>0.5</v>
      </c>
      <c r="Q1107" s="40">
        <f t="shared" si="415"/>
        <v>1.2013333333333334</v>
      </c>
      <c r="R1107" s="21">
        <f>IF(D1107&gt;21,VLOOKUP(D1107,Barem!$T$1:$U$141,2,1),0)</f>
        <v>1</v>
      </c>
      <c r="S1107" s="152">
        <f>IF(D1107&lt;1.609,0,IF(B1107="F",VLOOKUP(I1107,Barem!$X$2:$Z$13,2,1),VLOOKUP(I1107,Barem!$X$14:$Z$25,2,1)))</f>
        <v>0</v>
      </c>
      <c r="T1107" s="21">
        <f>VLOOKUP(A1107,Participanti!A:C,3,0)</f>
        <v>0</v>
      </c>
      <c r="U1107" s="18">
        <f t="shared" si="416"/>
        <v>4.7013333333333334</v>
      </c>
      <c r="V1107" s="58" t="s">
        <v>502</v>
      </c>
      <c r="W1107" s="77">
        <f t="shared" si="405"/>
        <v>1</v>
      </c>
      <c r="X1107" s="1" t="str">
        <f>VLOOKUP(A1107,Data_Echipe!A:R,18,0)</f>
        <v>UltraHaita lu' Borcan</v>
      </c>
      <c r="Z1107" s="115">
        <f t="shared" si="417"/>
        <v>0</v>
      </c>
    </row>
    <row r="1108" spans="1:27" x14ac:dyDescent="0.3">
      <c r="A1108" s="49" t="s">
        <v>448</v>
      </c>
      <c r="B1108" s="1" t="str">
        <f>VLOOKUP(A1108,Participanti!A:B,2,0)</f>
        <v>M</v>
      </c>
      <c r="C1108" s="74">
        <v>13</v>
      </c>
      <c r="D1108" s="50">
        <v>29.98</v>
      </c>
      <c r="E1108" s="51">
        <v>0.13032407407407406</v>
      </c>
      <c r="F1108" s="51">
        <v>0.13291666666666666</v>
      </c>
      <c r="G1108" s="69">
        <f t="shared" si="412"/>
        <v>0.13162037037037036</v>
      </c>
      <c r="H1108" s="52"/>
      <c r="I1108" s="12">
        <f t="shared" si="413"/>
        <v>4.3902725273639214E-3</v>
      </c>
      <c r="J1108" s="37">
        <f t="shared" si="414"/>
        <v>5</v>
      </c>
      <c r="K1108" s="37">
        <f>IF(J1108=0,0,IF(B1108="F",VLOOKUP(I1108,Barem!$G$2:$H$16,2,1),VLOOKUP(I1108,Barem!$G$17:$H$31,2,1)))</f>
        <v>1</v>
      </c>
      <c r="L1108" s="50">
        <v>1</v>
      </c>
      <c r="M1108" s="124" t="s">
        <v>106</v>
      </c>
      <c r="N1108" s="10">
        <f t="shared" si="418"/>
        <v>0.5</v>
      </c>
      <c r="O1108" s="10">
        <f t="shared" si="418"/>
        <v>0.25</v>
      </c>
      <c r="P1108" s="10">
        <f t="shared" si="418"/>
        <v>0.25</v>
      </c>
      <c r="Q1108" s="40">
        <f t="shared" si="415"/>
        <v>0</v>
      </c>
      <c r="R1108" s="21">
        <f>IF(D1108&gt;21,VLOOKUP(D1108,Barem!$T$1:$U$141,2,1),0)</f>
        <v>0.4</v>
      </c>
      <c r="S1108" s="152">
        <f>IF(D1108&lt;1.609,0,IF(B1108="F",VLOOKUP(I1108,Barem!$X$2:$Z$13,2,1),VLOOKUP(I1108,Barem!$X$14:$Z$25,2,1)))</f>
        <v>0</v>
      </c>
      <c r="T1108" s="21">
        <f>VLOOKUP(A1108,Participanti!A:C,3,0)</f>
        <v>0</v>
      </c>
      <c r="U1108" s="18">
        <f t="shared" si="416"/>
        <v>3.4</v>
      </c>
      <c r="V1108" s="58" t="s">
        <v>502</v>
      </c>
      <c r="W1108" s="77">
        <f t="shared" si="405"/>
        <v>1</v>
      </c>
      <c r="X1108" s="1" t="e">
        <f>VLOOKUP(A1108,Data_Echipe!A:R,18,0)</f>
        <v>#N/A</v>
      </c>
      <c r="Z1108" s="115">
        <f t="shared" si="417"/>
        <v>1</v>
      </c>
    </row>
    <row r="1109" spans="1:27" x14ac:dyDescent="0.3">
      <c r="A1109" s="49" t="s">
        <v>493</v>
      </c>
      <c r="B1109" s="1" t="str">
        <f>VLOOKUP(A1109,Participanti!A:B,2,0)</f>
        <v>M</v>
      </c>
      <c r="C1109" s="74">
        <v>13</v>
      </c>
      <c r="D1109" s="50">
        <v>0.83819444444444446</v>
      </c>
      <c r="E1109" s="51">
        <v>0.10587962962962964</v>
      </c>
      <c r="F1109" s="51">
        <v>0.10587962962962964</v>
      </c>
      <c r="G1109" s="69">
        <f t="shared" ref="G1109:G1112" si="419">AVERAGE(E1109:F1109)</f>
        <v>0.10587962962962964</v>
      </c>
      <c r="H1109" s="52">
        <v>686</v>
      </c>
      <c r="I1109" s="12">
        <f t="shared" ref="I1109:I1112" si="420">G1109/D1109</f>
        <v>0.1263186964926816</v>
      </c>
      <c r="J1109" s="37">
        <f t="shared" ref="J1109:J1112" si="421">IF(B1109="F",IF(D1109&lt;2.5,0,IF(D1109&gt;19.99,5,D1109/4)),IF(D1109&lt;3,0, IF(D1109&gt;20.99,5,D1109/4.2)))</f>
        <v>0</v>
      </c>
      <c r="K1109" s="37">
        <f>IF(J1109=0,0,IF(B1109="F",VLOOKUP(I1109,Barem!$G$2:$H$16,2,1),VLOOKUP(I1109,Barem!$G$17:$H$31,2,1)))</f>
        <v>0</v>
      </c>
      <c r="L1109" s="50">
        <v>0.25</v>
      </c>
      <c r="M1109" s="124" t="s">
        <v>106</v>
      </c>
      <c r="N1109" s="10">
        <f t="shared" si="418"/>
        <v>0.5</v>
      </c>
      <c r="O1109" s="10">
        <f t="shared" si="418"/>
        <v>0.25</v>
      </c>
      <c r="P1109" s="10">
        <f t="shared" si="418"/>
        <v>0.25</v>
      </c>
      <c r="Q1109" s="40">
        <f t="shared" ref="Q1109:Q1112" si="422">IF(H1109&gt;49,H1109/1500,0)</f>
        <v>0.45733333333333331</v>
      </c>
      <c r="R1109" s="21">
        <f>IF(D1109&gt;21,VLOOKUP(D1109,Barem!$T$1:$U$141,2,1),0)</f>
        <v>0</v>
      </c>
      <c r="S1109" s="152">
        <f>IF(D1109&lt;1.609,0,IF(B1109="F",VLOOKUP(I1109,Barem!$X$2:$Z$13,2,1),VLOOKUP(I1109,Barem!$X$14:$Z$25,2,1)))</f>
        <v>0</v>
      </c>
      <c r="T1109" s="21">
        <f>VLOOKUP(A1109,Participanti!A:C,3,0)</f>
        <v>0</v>
      </c>
      <c r="U1109" s="18">
        <f t="shared" ref="U1109:U1112" si="423">IF(H1109&lt;0,0,J1109*N1109+K1109*O1109+L1109*P1109+Q1109+R1109+S1109+T1109)</f>
        <v>0.51983333333333337</v>
      </c>
      <c r="V1109" s="58" t="s">
        <v>502</v>
      </c>
      <c r="W1109" s="77">
        <f t="shared" si="405"/>
        <v>1</v>
      </c>
      <c r="X1109" s="1" t="e">
        <f>VLOOKUP(A1109,Data_Echipe!A:R,18,0)</f>
        <v>#N/A</v>
      </c>
      <c r="Y1109" s="1" t="s">
        <v>504</v>
      </c>
      <c r="Z1109" s="115">
        <f t="shared" ref="Z1109:Z1112" si="424">IF(K1109&gt;0,1,0)</f>
        <v>0</v>
      </c>
    </row>
    <row r="1110" spans="1:27" x14ac:dyDescent="0.3">
      <c r="A1110" s="49" t="s">
        <v>63</v>
      </c>
      <c r="B1110" s="1" t="str">
        <f>VLOOKUP(A1110,Participanti!A:B,2,0)</f>
        <v>M</v>
      </c>
      <c r="C1110" s="74">
        <v>13</v>
      </c>
      <c r="D1110" s="50">
        <v>1.778472222222222</v>
      </c>
      <c r="E1110" s="51">
        <v>0.3003587962962963</v>
      </c>
      <c r="F1110" s="51">
        <v>0.32883101851851854</v>
      </c>
      <c r="G1110" s="69">
        <f t="shared" ref="G1110:G1111" si="425">AVERAGE(E1110:F1110)</f>
        <v>0.31459490740740742</v>
      </c>
      <c r="H1110" s="52">
        <v>1557</v>
      </c>
      <c r="I1110" s="12">
        <f t="shared" ref="I1110:I1111" si="426">G1110/D1110</f>
        <v>0.17689053755043604</v>
      </c>
      <c r="J1110" s="37">
        <f t="shared" ref="J1110:J1111" si="427">IF(B1110="F",IF(D1110&lt;2.5,0,IF(D1110&gt;19.99,5,D1110/4)),IF(D1110&lt;3,0, IF(D1110&gt;20.99,5,D1110/4.2)))</f>
        <v>0</v>
      </c>
      <c r="K1110" s="37">
        <f>IF(J1110=0,0,IF(B1110="F",VLOOKUP(I1110,Barem!$G$2:$H$16,2,1),VLOOKUP(I1110,Barem!$G$17:$H$31,2,1)))</f>
        <v>0</v>
      </c>
      <c r="L1110" s="50">
        <v>4.25</v>
      </c>
      <c r="M1110" s="124" t="s">
        <v>207</v>
      </c>
      <c r="N1110" s="10">
        <f t="shared" si="418"/>
        <v>0.25</v>
      </c>
      <c r="O1110" s="10">
        <f t="shared" si="418"/>
        <v>0.25</v>
      </c>
      <c r="P1110" s="10">
        <f t="shared" si="418"/>
        <v>0.5</v>
      </c>
      <c r="Q1110" s="40">
        <f t="shared" ref="Q1110:Q1111" si="428">IF(H1110&gt;49,H1110/1500,0)</f>
        <v>1.038</v>
      </c>
      <c r="R1110" s="21">
        <f>IF(D1110&gt;21,VLOOKUP(D1110,Barem!$T$1:$U$141,2,1),0)</f>
        <v>0</v>
      </c>
      <c r="S1110" s="152">
        <f>IF(D1110&lt;1.609,0,IF(B1110="F",VLOOKUP(I1110,Barem!$X$2:$Z$13,2,1),VLOOKUP(I1110,Barem!$X$14:$Z$25,2,1)))</f>
        <v>0</v>
      </c>
      <c r="T1110" s="21">
        <f>VLOOKUP(A1110,Participanti!A:C,3,0)</f>
        <v>0</v>
      </c>
      <c r="U1110" s="18">
        <f t="shared" ref="U1110:U1111" si="429">IF(H1110&lt;0,0,J1110*N1110+K1110*O1110+L1110*P1110+Q1110+R1110+S1110+T1110)</f>
        <v>3.1630000000000003</v>
      </c>
      <c r="V1110" s="58" t="s">
        <v>502</v>
      </c>
      <c r="W1110" s="77">
        <f t="shared" si="405"/>
        <v>1</v>
      </c>
      <c r="X1110" s="1" t="str">
        <f>VLOOKUP(A1110,Data_Echipe!A:R,18,0)</f>
        <v>#notSYRious</v>
      </c>
      <c r="Y1110" s="1" t="s">
        <v>504</v>
      </c>
      <c r="Z1110" s="115">
        <f t="shared" ref="Z1110:Z1111" si="430">IF(K1110&gt;0,1,0)</f>
        <v>0</v>
      </c>
    </row>
    <row r="1111" spans="1:27" x14ac:dyDescent="0.3">
      <c r="A1111" s="49" t="s">
        <v>122</v>
      </c>
      <c r="B1111" s="1" t="str">
        <f>VLOOKUP(A1111,Participanti!A:B,2,0)</f>
        <v>M</v>
      </c>
      <c r="C1111" s="74">
        <v>13</v>
      </c>
      <c r="D1111" s="50">
        <v>14.12</v>
      </c>
      <c r="E1111" s="51">
        <v>7.0856481481481479E-2</v>
      </c>
      <c r="F1111" s="51">
        <v>7.3842592592592585E-2</v>
      </c>
      <c r="G1111" s="69">
        <f t="shared" si="425"/>
        <v>7.2349537037037032E-2</v>
      </c>
      <c r="H1111" s="52">
        <v>246</v>
      </c>
      <c r="I1111" s="12">
        <f t="shared" si="426"/>
        <v>5.1239048893085715E-3</v>
      </c>
      <c r="J1111" s="37">
        <f t="shared" si="427"/>
        <v>3.3619047619047615</v>
      </c>
      <c r="K1111" s="37">
        <f>IF(J1111=0,0,IF(B1111="F",VLOOKUP(I1111,Barem!$G$2:$H$16,2,1),VLOOKUP(I1111,Barem!$G$17:$H$31,2,1)))</f>
        <v>0.25</v>
      </c>
      <c r="L1111" s="50">
        <v>1</v>
      </c>
      <c r="M1111" s="124" t="s">
        <v>107</v>
      </c>
      <c r="N1111" s="10">
        <f t="shared" si="418"/>
        <v>0.25</v>
      </c>
      <c r="O1111" s="10">
        <f t="shared" si="418"/>
        <v>0.5</v>
      </c>
      <c r="P1111" s="10">
        <f t="shared" si="418"/>
        <v>0.25</v>
      </c>
      <c r="Q1111" s="40">
        <f t="shared" si="428"/>
        <v>0.16400000000000001</v>
      </c>
      <c r="R1111" s="21">
        <f>IF(D1111&gt;21,VLOOKUP(D1111,Barem!$T$1:$U$141,2,1),0)</f>
        <v>0</v>
      </c>
      <c r="S1111" s="152">
        <f>IF(D1111&lt;1.609,0,IF(B1111="F",VLOOKUP(I1111,Barem!$X$2:$Z$13,2,1),VLOOKUP(I1111,Barem!$X$14:$Z$25,2,1)))</f>
        <v>0</v>
      </c>
      <c r="T1111" s="21">
        <f>VLOOKUP(A1111,Participanti!A:C,3,0)</f>
        <v>0</v>
      </c>
      <c r="U1111" s="18">
        <f t="shared" si="429"/>
        <v>1.3794761904761903</v>
      </c>
      <c r="V1111" s="58" t="s">
        <v>502</v>
      </c>
      <c r="W1111" s="77">
        <f t="shared" si="405"/>
        <v>1</v>
      </c>
      <c r="X1111" s="1" t="str">
        <f>VLOOKUP(A1111,Data_Echipe!A:R,18,0)</f>
        <v>#notSYRious</v>
      </c>
      <c r="Y1111" s="1" t="s">
        <v>504</v>
      </c>
      <c r="Z1111" s="115">
        <f t="shared" si="430"/>
        <v>1</v>
      </c>
    </row>
    <row r="1112" spans="1:27" x14ac:dyDescent="0.3">
      <c r="A1112" s="49" t="s">
        <v>120</v>
      </c>
      <c r="B1112" s="1" t="str">
        <f>VLOOKUP(A1112,Participanti!A:B,2,0)</f>
        <v>M</v>
      </c>
      <c r="C1112" s="74">
        <v>13</v>
      </c>
      <c r="D1112" s="50">
        <v>8.7100000000000009</v>
      </c>
      <c r="E1112" s="51">
        <v>2.7384259259259257E-2</v>
      </c>
      <c r="F1112" s="51">
        <v>2.7592592592592596E-2</v>
      </c>
      <c r="G1112" s="69">
        <f t="shared" si="419"/>
        <v>2.7488425925925927E-2</v>
      </c>
      <c r="H1112" s="52"/>
      <c r="I1112" s="12">
        <f t="shared" si="420"/>
        <v>3.1559616447676148E-3</v>
      </c>
      <c r="J1112" s="37">
        <f t="shared" si="421"/>
        <v>2.073809523809524</v>
      </c>
      <c r="K1112" s="37">
        <f>IF(J1112=0,0,IF(B1112="F",VLOOKUP(I1112,Barem!$G$2:$H$16,2,1),VLOOKUP(I1112,Barem!$G$17:$H$31,2,1)))</f>
        <v>3.5</v>
      </c>
      <c r="L1112" s="50">
        <v>0.75</v>
      </c>
      <c r="M1112" s="124" t="s">
        <v>107</v>
      </c>
      <c r="N1112" s="10">
        <f t="shared" si="418"/>
        <v>0.25</v>
      </c>
      <c r="O1112" s="10">
        <f t="shared" si="418"/>
        <v>0.5</v>
      </c>
      <c r="P1112" s="10">
        <f t="shared" si="418"/>
        <v>0.25</v>
      </c>
      <c r="Q1112" s="40">
        <f t="shared" si="422"/>
        <v>0</v>
      </c>
      <c r="R1112" s="21">
        <f>IF(D1112&gt;21,VLOOKUP(D1112,Barem!$T$1:$U$141,2,1),0)</f>
        <v>0</v>
      </c>
      <c r="S1112" s="152">
        <f>IF(D1112&lt;1.609,0,IF(B1112="F",VLOOKUP(I1112,Barem!$X$2:$Z$13,2,1),VLOOKUP(I1112,Barem!$X$14:$Z$25,2,1)))</f>
        <v>0</v>
      </c>
      <c r="T1112" s="21">
        <f>VLOOKUP(A1112,Participanti!A:C,3,0)</f>
        <v>0</v>
      </c>
      <c r="U1112" s="18">
        <f t="shared" si="423"/>
        <v>2.4559523809523811</v>
      </c>
      <c r="V1112" s="58" t="s">
        <v>502</v>
      </c>
      <c r="W1112" s="77">
        <f t="shared" si="405"/>
        <v>1</v>
      </c>
      <c r="X1112" s="1" t="str">
        <f>VLOOKUP(A1112,Data_Echipe!A:R,18,0)</f>
        <v>Almost Kenyan Runners</v>
      </c>
      <c r="Y1112" s="1" t="s">
        <v>504</v>
      </c>
      <c r="Z1112" s="115">
        <f t="shared" si="424"/>
        <v>1</v>
      </c>
    </row>
    <row r="1113" spans="1:27" x14ac:dyDescent="0.3">
      <c r="A1113" s="49" t="s">
        <v>227</v>
      </c>
      <c r="B1113" s="1" t="str">
        <f>VLOOKUP(A1113,Participanti!A:B,2,0)</f>
        <v>M</v>
      </c>
      <c r="C1113" s="74">
        <v>14</v>
      </c>
      <c r="D1113" s="50">
        <v>50.05</v>
      </c>
      <c r="E1113" s="51">
        <v>0.18113425925925927</v>
      </c>
      <c r="F1113" s="51">
        <v>0.20343750000000002</v>
      </c>
      <c r="G1113" s="69">
        <f t="shared" ref="G1113:G1144" si="431">AVERAGE(E1113:F1113)</f>
        <v>0.19228587962962965</v>
      </c>
      <c r="H1113" s="52">
        <v>317</v>
      </c>
      <c r="I1113" s="12">
        <f t="shared" ref="I1113:I1145" si="432">G1113/D1113</f>
        <v>3.8418757168757174E-3</v>
      </c>
      <c r="J1113" s="37">
        <f t="shared" ref="J1113:J1144" si="433">IF(B1113="F",IF(D1113&lt;2.5,0,IF(D1113&gt;19.99,5,D1113/4)),IF(D1113&lt;3,0, IF(D1113&gt;20.99,5,D1113/4.2)))</f>
        <v>5</v>
      </c>
      <c r="K1113" s="37">
        <f>IF(J1113=0,0,IF(B1113="F",VLOOKUP(I1113,Barem!$G$2:$H$16,2,1),VLOOKUP(I1113,Barem!$G$17:$H$31,2,1)))</f>
        <v>1.75</v>
      </c>
      <c r="L1113" s="50">
        <v>3</v>
      </c>
      <c r="M1113" s="124" t="s">
        <v>107</v>
      </c>
      <c r="N1113" s="10">
        <f t="shared" ref="N1113:P1132" si="434">IF($M1113=N$1,50%,25%)</f>
        <v>0.25</v>
      </c>
      <c r="O1113" s="10">
        <f t="shared" si="434"/>
        <v>0.5</v>
      </c>
      <c r="P1113" s="10">
        <f t="shared" si="434"/>
        <v>0.25</v>
      </c>
      <c r="Q1113" s="40">
        <f t="shared" ref="Q1113:Q1144" si="435">IF(H1113&gt;49,H1113/1500,0)</f>
        <v>0.21133333333333335</v>
      </c>
      <c r="R1113" s="21">
        <f>IF(D1113&gt;21,VLOOKUP(D1113,Barem!$T$1:$U$141,2,1),0)</f>
        <v>1.4</v>
      </c>
      <c r="S1113" s="152">
        <f>IF(D1113&lt;1.609,0,IF(B1113="F",VLOOKUP(I1113,Barem!$X$2:$Z$13,2,1),VLOOKUP(I1113,Barem!$X$14:$Z$25,2,1)))</f>
        <v>0</v>
      </c>
      <c r="T1113" s="21">
        <f>VLOOKUP(A1113,Participanti!A:C,3,0)</f>
        <v>0</v>
      </c>
      <c r="U1113" s="18">
        <f t="shared" ref="U1113:U1145" si="436">IF(H1113&lt;0,0,J1113*N1113+K1113*O1113+L1113*P1113+Q1113+R1113+S1113+T1113)</f>
        <v>4.4863333333333326</v>
      </c>
      <c r="V1113" s="58" t="s">
        <v>508</v>
      </c>
      <c r="W1113" s="77">
        <f t="shared" si="405"/>
        <v>1</v>
      </c>
      <c r="X1113" s="1" t="str">
        <f>VLOOKUP(A1113,Data_Echipe!A:R,18,0)</f>
        <v>UltraHaita lu' Borcan</v>
      </c>
      <c r="Z1113" s="115">
        <f t="shared" ref="Z1113:Z1144" si="437">IF(K1113&gt;0,1,0)</f>
        <v>1</v>
      </c>
    </row>
    <row r="1114" spans="1:27" x14ac:dyDescent="0.3">
      <c r="A1114" s="49" t="s">
        <v>208</v>
      </c>
      <c r="B1114" s="1" t="str">
        <f>VLOOKUP(A1114,Participanti!A:B,2,0)</f>
        <v>M</v>
      </c>
      <c r="C1114" s="74">
        <v>14</v>
      </c>
      <c r="D1114" s="50">
        <v>14.7</v>
      </c>
      <c r="E1114" s="51">
        <v>5.0358796296296297E-2</v>
      </c>
      <c r="F1114" s="51">
        <v>5.7604166666666672E-2</v>
      </c>
      <c r="G1114" s="69">
        <f t="shared" si="431"/>
        <v>5.3981481481481484E-2</v>
      </c>
      <c r="H1114" s="52">
        <v>161</v>
      </c>
      <c r="I1114" s="12">
        <f t="shared" si="432"/>
        <v>3.6722096245905772E-3</v>
      </c>
      <c r="J1114" s="37">
        <f t="shared" si="433"/>
        <v>3.4999999999999996</v>
      </c>
      <c r="K1114" s="37">
        <f>IF(J1114=0,0,IF(B1114="F",VLOOKUP(I1114,Barem!$G$2:$H$16,2,1),VLOOKUP(I1114,Barem!$G$17:$H$31,2,1)))</f>
        <v>2</v>
      </c>
      <c r="L1114" s="50">
        <v>2</v>
      </c>
      <c r="M1114" s="124" t="s">
        <v>106</v>
      </c>
      <c r="N1114" s="10">
        <f t="shared" si="434"/>
        <v>0.5</v>
      </c>
      <c r="O1114" s="10">
        <f t="shared" si="434"/>
        <v>0.25</v>
      </c>
      <c r="P1114" s="10">
        <f t="shared" si="434"/>
        <v>0.25</v>
      </c>
      <c r="Q1114" s="40">
        <f t="shared" si="435"/>
        <v>0.10733333333333334</v>
      </c>
      <c r="R1114" s="21">
        <f>IF(D1114&gt;21,VLOOKUP(D1114,Barem!$T$1:$U$141,2,1),0)</f>
        <v>0</v>
      </c>
      <c r="S1114" s="152">
        <f>IF(D1114&lt;1.609,0,IF(B1114="F",VLOOKUP(I1114,Barem!$X$2:$Z$13,2,1),VLOOKUP(I1114,Barem!$X$14:$Z$25,2,1)))</f>
        <v>0</v>
      </c>
      <c r="T1114" s="21">
        <f>VLOOKUP(A1114,Participanti!A:C,3,0)</f>
        <v>0</v>
      </c>
      <c r="U1114" s="18">
        <f t="shared" si="436"/>
        <v>2.8573333333333335</v>
      </c>
      <c r="V1114" s="58" t="s">
        <v>505</v>
      </c>
      <c r="W1114" s="77">
        <f t="shared" si="405"/>
        <v>1</v>
      </c>
      <c r="X1114" s="1" t="e">
        <f>VLOOKUP(A1114,Data_Echipe!A:R,18,0)</f>
        <v>#N/A</v>
      </c>
      <c r="Z1114" s="115">
        <f t="shared" si="437"/>
        <v>1</v>
      </c>
    </row>
    <row r="1115" spans="1:27" x14ac:dyDescent="0.3">
      <c r="A1115" s="49" t="s">
        <v>132</v>
      </c>
      <c r="B1115" s="1" t="str">
        <f>VLOOKUP(A1115,Participanti!A:B,2,0)</f>
        <v>F</v>
      </c>
      <c r="C1115" s="74">
        <v>14</v>
      </c>
      <c r="D1115" s="50">
        <v>5.08</v>
      </c>
      <c r="E1115" s="51">
        <v>2.193287037037037E-2</v>
      </c>
      <c r="F1115" s="51">
        <v>2.1944444444444447E-2</v>
      </c>
      <c r="G1115" s="69">
        <f t="shared" si="431"/>
        <v>2.1938657407407407E-2</v>
      </c>
      <c r="H1115" s="52"/>
      <c r="I1115" s="12">
        <f t="shared" si="432"/>
        <v>4.3186333479148442E-3</v>
      </c>
      <c r="J1115" s="37">
        <f t="shared" si="433"/>
        <v>1.27</v>
      </c>
      <c r="K1115" s="37">
        <f>IF(J1115=0,0,IF(B1115="F",VLOOKUP(I1115,Barem!$G$2:$H$16,2,1),VLOOKUP(I1115,Barem!$G$17:$H$31,2,1)))</f>
        <v>1.75</v>
      </c>
      <c r="L1115" s="50">
        <v>4</v>
      </c>
      <c r="M1115" s="124" t="s">
        <v>107</v>
      </c>
      <c r="N1115" s="10">
        <f t="shared" si="434"/>
        <v>0.25</v>
      </c>
      <c r="O1115" s="10">
        <f t="shared" si="434"/>
        <v>0.5</v>
      </c>
      <c r="P1115" s="10">
        <f t="shared" si="434"/>
        <v>0.25</v>
      </c>
      <c r="Q1115" s="40">
        <f t="shared" si="435"/>
        <v>0</v>
      </c>
      <c r="R1115" s="21">
        <f>IF(D1115&gt;21,VLOOKUP(D1115,Barem!$T$1:$U$141,2,1),0)</f>
        <v>0</v>
      </c>
      <c r="S1115" s="152">
        <f>IF(D1115&lt;1.609,0,IF(B1115="F",VLOOKUP(I1115,Barem!$X$2:$Z$13,2,1),VLOOKUP(I1115,Barem!$X$14:$Z$25,2,1)))</f>
        <v>0</v>
      </c>
      <c r="T1115" s="21">
        <f>VLOOKUP(A1115,Participanti!A:C,3,0)</f>
        <v>0</v>
      </c>
      <c r="U1115" s="18">
        <f t="shared" si="436"/>
        <v>2.1924999999999999</v>
      </c>
      <c r="V1115" s="58" t="s">
        <v>507</v>
      </c>
      <c r="W1115" s="77">
        <f t="shared" si="405"/>
        <v>1</v>
      </c>
      <c r="X1115" s="1" t="str">
        <f>VLOOKUP(A1115,Data_Echipe!A:R,18,0)</f>
        <v>MedgidiaRunning</v>
      </c>
      <c r="Z1115" s="115">
        <f t="shared" si="437"/>
        <v>1</v>
      </c>
    </row>
    <row r="1116" spans="1:27" ht="14.5" x14ac:dyDescent="0.35">
      <c r="A1116" s="49" t="s">
        <v>368</v>
      </c>
      <c r="B1116" s="1" t="str">
        <f>VLOOKUP(A1116,Participanti!A:B,2,0)</f>
        <v>M</v>
      </c>
      <c r="C1116" s="74">
        <v>14</v>
      </c>
      <c r="D1116" s="50">
        <v>3</v>
      </c>
      <c r="E1116" s="51">
        <v>8.8310185185185176E-3</v>
      </c>
      <c r="F1116" s="51">
        <v>8.8310185185185176E-3</v>
      </c>
      <c r="G1116" s="69">
        <f t="shared" si="431"/>
        <v>8.8310185185185176E-3</v>
      </c>
      <c r="H1116" s="52">
        <v>20</v>
      </c>
      <c r="I1116" s="12">
        <f t="shared" si="432"/>
        <v>2.9436728395061725E-3</v>
      </c>
      <c r="J1116" s="37">
        <f t="shared" si="433"/>
        <v>0.7142857142857143</v>
      </c>
      <c r="K1116" s="37">
        <f>IF(J1116=0,0,IF(B1116="F",VLOOKUP(I1116,Barem!$G$2:$H$16,2,1),VLOOKUP(I1116,Barem!$G$17:$H$31,2,1)))</f>
        <v>4.5</v>
      </c>
      <c r="L1116" s="50">
        <v>0.25</v>
      </c>
      <c r="M1116" s="124" t="s">
        <v>107</v>
      </c>
      <c r="N1116" s="10">
        <f t="shared" si="434"/>
        <v>0.25</v>
      </c>
      <c r="O1116" s="10">
        <f t="shared" si="434"/>
        <v>0.5</v>
      </c>
      <c r="P1116" s="10">
        <f t="shared" si="434"/>
        <v>0.25</v>
      </c>
      <c r="Q1116" s="40">
        <f t="shared" si="435"/>
        <v>0</v>
      </c>
      <c r="R1116" s="21">
        <f>IF(D1116&gt;21,VLOOKUP(D1116,Barem!$T$1:$U$141,2,1),0)</f>
        <v>0</v>
      </c>
      <c r="S1116" s="152">
        <f>IF(D1116&lt;1.609,0,IF(B1116="F",VLOOKUP(I1116,Barem!$X$2:$Z$13,2,1),VLOOKUP(I1116,Barem!$X$14:$Z$25,2,1)))</f>
        <v>0</v>
      </c>
      <c r="T1116" s="21">
        <f>VLOOKUP(A1116,Participanti!A:C,3,0)</f>
        <v>0</v>
      </c>
      <c r="U1116" s="18">
        <f t="shared" si="436"/>
        <v>2.4910714285714284</v>
      </c>
      <c r="V1116" s="58" t="s">
        <v>506</v>
      </c>
      <c r="W1116" s="77">
        <f t="shared" si="405"/>
        <v>1</v>
      </c>
      <c r="X1116" s="1" t="str">
        <f>VLOOKUP(A1116,Data_Echipe!A:R,18,0)</f>
        <v>Almost Kenyan Runners</v>
      </c>
      <c r="Z1116" s="115">
        <f t="shared" si="437"/>
        <v>1</v>
      </c>
      <c r="AA1116" s="159"/>
    </row>
    <row r="1117" spans="1:27" ht="14.5" x14ac:dyDescent="0.35">
      <c r="A1117" s="49" t="s">
        <v>390</v>
      </c>
      <c r="B1117" s="1" t="str">
        <f>VLOOKUP(A1117,Participanti!A:B,2,0)</f>
        <v>F</v>
      </c>
      <c r="C1117" s="74">
        <v>14</v>
      </c>
      <c r="D1117" s="50">
        <v>10.02</v>
      </c>
      <c r="E1117" s="51">
        <v>6.1273148148148153E-2</v>
      </c>
      <c r="F1117" s="51">
        <v>9.0752314814814813E-2</v>
      </c>
      <c r="G1117" s="69">
        <f t="shared" si="431"/>
        <v>7.601273148148148E-2</v>
      </c>
      <c r="H1117" s="52">
        <v>394</v>
      </c>
      <c r="I1117" s="12">
        <f t="shared" si="432"/>
        <v>7.5861009462556373E-3</v>
      </c>
      <c r="J1117" s="37">
        <f t="shared" si="433"/>
        <v>2.5049999999999999</v>
      </c>
      <c r="K1117" s="37">
        <f>IF(J1117=0,0,IF(B1117="F",VLOOKUP(I1117,Barem!$G$2:$H$16,2,1),VLOOKUP(I1117,Barem!$G$17:$H$31,2,1)))</f>
        <v>0</v>
      </c>
      <c r="L1117" s="50">
        <v>4.5</v>
      </c>
      <c r="M1117" s="124" t="s">
        <v>207</v>
      </c>
      <c r="N1117" s="10">
        <f t="shared" si="434"/>
        <v>0.25</v>
      </c>
      <c r="O1117" s="10">
        <f t="shared" si="434"/>
        <v>0.25</v>
      </c>
      <c r="P1117" s="10">
        <f t="shared" si="434"/>
        <v>0.5</v>
      </c>
      <c r="Q1117" s="40">
        <f t="shared" si="435"/>
        <v>0.26266666666666666</v>
      </c>
      <c r="R1117" s="21">
        <f>IF(D1117&gt;21,VLOOKUP(D1117,Barem!$T$1:$U$141,2,1),0)</f>
        <v>0</v>
      </c>
      <c r="S1117" s="152">
        <f>IF(D1117&lt;1.609,0,IF(B1117="F",VLOOKUP(I1117,Barem!$X$2:$Z$13,2,1),VLOOKUP(I1117,Barem!$X$14:$Z$25,2,1)))</f>
        <v>0</v>
      </c>
      <c r="T1117" s="21">
        <f>VLOOKUP(A1117,Participanti!A:C,3,0)</f>
        <v>0</v>
      </c>
      <c r="U1117" s="18">
        <f t="shared" si="436"/>
        <v>3.1389166666666664</v>
      </c>
      <c r="V1117" s="58" t="s">
        <v>506</v>
      </c>
      <c r="W1117" s="77">
        <f t="shared" si="405"/>
        <v>1</v>
      </c>
      <c r="X1117" s="1" t="str">
        <f>VLOOKUP(A1117,Data_Echipe!A:R,18,0)</f>
        <v>#notSYRious</v>
      </c>
      <c r="Z1117" s="115">
        <f t="shared" si="437"/>
        <v>0</v>
      </c>
      <c r="AA1117" s="159"/>
    </row>
    <row r="1118" spans="1:27" x14ac:dyDescent="0.3">
      <c r="A1118" s="49" t="s">
        <v>375</v>
      </c>
      <c r="B1118" s="1" t="str">
        <f>VLOOKUP(A1118,Participanti!A:B,2,0)</f>
        <v>M</v>
      </c>
      <c r="C1118" s="74">
        <v>14</v>
      </c>
      <c r="D1118" s="50">
        <v>24.13</v>
      </c>
      <c r="E1118" s="51">
        <v>0.12152777777777778</v>
      </c>
      <c r="F1118" s="51">
        <v>0.12396990740740742</v>
      </c>
      <c r="G1118" s="69">
        <f t="shared" si="431"/>
        <v>0.1227488425925926</v>
      </c>
      <c r="H1118" s="52">
        <v>1016</v>
      </c>
      <c r="I1118" s="12">
        <f t="shared" si="432"/>
        <v>5.0869806296142813E-3</v>
      </c>
      <c r="J1118" s="37">
        <f t="shared" si="433"/>
        <v>5</v>
      </c>
      <c r="K1118" s="37">
        <f>IF(J1118=0,0,IF(B1118="F",VLOOKUP(I1118,Barem!$G$2:$H$16,2,1),VLOOKUP(I1118,Barem!$G$17:$H$31,2,1)))</f>
        <v>0.25</v>
      </c>
      <c r="L1118" s="50">
        <v>0</v>
      </c>
      <c r="M1118" s="124" t="s">
        <v>107</v>
      </c>
      <c r="N1118" s="10">
        <f t="shared" si="434"/>
        <v>0.25</v>
      </c>
      <c r="O1118" s="10">
        <f t="shared" si="434"/>
        <v>0.5</v>
      </c>
      <c r="P1118" s="10">
        <f t="shared" si="434"/>
        <v>0.25</v>
      </c>
      <c r="Q1118" s="40">
        <f t="shared" si="435"/>
        <v>0.67733333333333334</v>
      </c>
      <c r="R1118" s="21">
        <f>IF(D1118&gt;21,VLOOKUP(D1118,Barem!$T$1:$U$141,2,1),0)</f>
        <v>0.1</v>
      </c>
      <c r="S1118" s="152">
        <f>IF(D1118&lt;1.609,0,IF(B1118="F",VLOOKUP(I1118,Barem!$X$2:$Z$13,2,1),VLOOKUP(I1118,Barem!$X$14:$Z$25,2,1)))</f>
        <v>0</v>
      </c>
      <c r="T1118" s="21">
        <f>VLOOKUP(A1118,Participanti!A:C,3,0)</f>
        <v>0</v>
      </c>
      <c r="U1118" s="18">
        <f t="shared" si="436"/>
        <v>2.1523333333333334</v>
      </c>
      <c r="V1118" s="58" t="s">
        <v>505</v>
      </c>
      <c r="W1118" s="77">
        <f t="shared" si="405"/>
        <v>1</v>
      </c>
      <c r="X1118" s="1" t="e">
        <f>VLOOKUP(A1118,Data_Echipe!A:R,18,0)</f>
        <v>#N/A</v>
      </c>
      <c r="Z1118" s="115">
        <f t="shared" si="437"/>
        <v>1</v>
      </c>
    </row>
    <row r="1119" spans="1:27" x14ac:dyDescent="0.3">
      <c r="A1119" s="49" t="s">
        <v>396</v>
      </c>
      <c r="B1119" s="1" t="str">
        <f>VLOOKUP(A1119,Participanti!A:B,2,0)</f>
        <v>F</v>
      </c>
      <c r="C1119" s="74">
        <v>14</v>
      </c>
      <c r="D1119" s="50">
        <v>7.46</v>
      </c>
      <c r="E1119" s="51">
        <v>3.8252314814814815E-2</v>
      </c>
      <c r="F1119" s="51">
        <v>3.8252314814814815E-2</v>
      </c>
      <c r="G1119" s="69">
        <f t="shared" si="431"/>
        <v>3.8252314814814815E-2</v>
      </c>
      <c r="H1119" s="52"/>
      <c r="I1119" s="12">
        <f t="shared" si="432"/>
        <v>5.1276561413960879E-3</v>
      </c>
      <c r="J1119" s="37">
        <f t="shared" si="433"/>
        <v>1.865</v>
      </c>
      <c r="K1119" s="37">
        <f>IF(J1119=0,0,IF(B1119="F",VLOOKUP(I1119,Barem!$G$2:$H$16,2,1),VLOOKUP(I1119,Barem!$G$17:$H$31,2,1)))</f>
        <v>0.5</v>
      </c>
      <c r="L1119" s="50">
        <v>3</v>
      </c>
      <c r="M1119" s="124" t="s">
        <v>207</v>
      </c>
      <c r="N1119" s="10">
        <f t="shared" si="434"/>
        <v>0.25</v>
      </c>
      <c r="O1119" s="10">
        <f t="shared" si="434"/>
        <v>0.25</v>
      </c>
      <c r="P1119" s="10">
        <f t="shared" si="434"/>
        <v>0.5</v>
      </c>
      <c r="Q1119" s="40">
        <f t="shared" si="435"/>
        <v>0</v>
      </c>
      <c r="R1119" s="21">
        <f>IF(D1119&gt;21,VLOOKUP(D1119,Barem!$T$1:$U$141,2,1),0)</f>
        <v>0</v>
      </c>
      <c r="S1119" s="152">
        <f>IF(D1119&lt;1.609,0,IF(B1119="F",VLOOKUP(I1119,Barem!$X$2:$Z$13,2,1),VLOOKUP(I1119,Barem!$X$14:$Z$25,2,1)))</f>
        <v>0</v>
      </c>
      <c r="T1119" s="21">
        <f>VLOOKUP(A1119,Participanti!A:C,3,0)</f>
        <v>0</v>
      </c>
      <c r="U1119" s="18">
        <f t="shared" si="436"/>
        <v>2.0912500000000001</v>
      </c>
      <c r="V1119" s="58" t="s">
        <v>502</v>
      </c>
      <c r="W1119" s="77">
        <f t="shared" si="405"/>
        <v>1</v>
      </c>
      <c r="X1119" s="1" t="str">
        <f>VLOOKUP(A1119,Data_Echipe!A:R,18,0)</f>
        <v>MedgidiaRunning</v>
      </c>
      <c r="Z1119" s="115">
        <f t="shared" si="437"/>
        <v>1</v>
      </c>
    </row>
    <row r="1120" spans="1:27" x14ac:dyDescent="0.3">
      <c r="A1120" s="49" t="s">
        <v>225</v>
      </c>
      <c r="B1120" s="1" t="str">
        <f>VLOOKUP(A1120,Participanti!A:B,2,0)</f>
        <v>F</v>
      </c>
      <c r="C1120" s="74">
        <v>14</v>
      </c>
      <c r="D1120" s="50">
        <v>10.34</v>
      </c>
      <c r="E1120" s="51">
        <v>4.1319444444444443E-2</v>
      </c>
      <c r="F1120" s="51">
        <v>4.1400462962962965E-2</v>
      </c>
      <c r="G1120" s="69">
        <f t="shared" si="431"/>
        <v>4.1359953703703704E-2</v>
      </c>
      <c r="H1120" s="52"/>
      <c r="I1120" s="12">
        <f t="shared" si="432"/>
        <v>3.9999955226019054E-3</v>
      </c>
      <c r="J1120" s="37">
        <f t="shared" si="433"/>
        <v>2.585</v>
      </c>
      <c r="K1120" s="37">
        <f>IF(J1120=0,0,IF(B1120="F",VLOOKUP(I1120,Barem!$G$2:$H$16,2,1),VLOOKUP(I1120,Barem!$G$17:$H$31,2,1)))</f>
        <v>2.5</v>
      </c>
      <c r="L1120" s="50">
        <v>4</v>
      </c>
      <c r="M1120" s="124" t="s">
        <v>207</v>
      </c>
      <c r="N1120" s="10">
        <f t="shared" si="434"/>
        <v>0.25</v>
      </c>
      <c r="O1120" s="10">
        <f t="shared" si="434"/>
        <v>0.25</v>
      </c>
      <c r="P1120" s="10">
        <f t="shared" si="434"/>
        <v>0.5</v>
      </c>
      <c r="Q1120" s="40">
        <f t="shared" si="435"/>
        <v>0</v>
      </c>
      <c r="R1120" s="21">
        <f>IF(D1120&gt;21,VLOOKUP(D1120,Barem!$T$1:$U$141,2,1),0)</f>
        <v>0</v>
      </c>
      <c r="S1120" s="152">
        <f>IF(D1120&lt;1.609,0,IF(B1120="F",VLOOKUP(I1120,Barem!$X$2:$Z$13,2,1),VLOOKUP(I1120,Barem!$X$14:$Z$25,2,1)))</f>
        <v>0</v>
      </c>
      <c r="T1120" s="21">
        <f>VLOOKUP(A1120,Participanti!A:C,3,0)</f>
        <v>0</v>
      </c>
      <c r="U1120" s="18">
        <f t="shared" si="436"/>
        <v>3.2712500000000002</v>
      </c>
      <c r="V1120" s="58" t="s">
        <v>507</v>
      </c>
      <c r="W1120" s="77">
        <f t="shared" si="405"/>
        <v>1</v>
      </c>
      <c r="X1120" s="1" t="str">
        <f>VLOOKUP(A1120,Data_Echipe!A:R,18,0)</f>
        <v>The GOATs</v>
      </c>
      <c r="Z1120" s="115">
        <f t="shared" si="437"/>
        <v>1</v>
      </c>
    </row>
    <row r="1121" spans="1:27" x14ac:dyDescent="0.3">
      <c r="A1121" s="49" t="s">
        <v>387</v>
      </c>
      <c r="B1121" s="1" t="str">
        <f>VLOOKUP(A1121,Participanti!A:B,2,0)</f>
        <v>F</v>
      </c>
      <c r="C1121" s="74">
        <v>14</v>
      </c>
      <c r="D1121" s="50">
        <v>10</v>
      </c>
      <c r="E1121" s="51">
        <v>3.667824074074074E-2</v>
      </c>
      <c r="F1121" s="51">
        <v>3.7418981481481477E-2</v>
      </c>
      <c r="G1121" s="69">
        <f t="shared" si="431"/>
        <v>3.7048611111111109E-2</v>
      </c>
      <c r="H1121" s="52"/>
      <c r="I1121" s="12">
        <f t="shared" si="432"/>
        <v>3.704861111111111E-3</v>
      </c>
      <c r="J1121" s="37">
        <f t="shared" si="433"/>
        <v>2.5</v>
      </c>
      <c r="K1121" s="37">
        <f>IF(J1121=0,0,IF(B1121="F",VLOOKUP(I1121,Barem!$G$2:$H$16,2,1),VLOOKUP(I1121,Barem!$G$17:$H$31,2,1)))</f>
        <v>3</v>
      </c>
      <c r="L1121" s="50">
        <v>0</v>
      </c>
      <c r="M1121" s="124" t="s">
        <v>107</v>
      </c>
      <c r="N1121" s="10">
        <f t="shared" si="434"/>
        <v>0.25</v>
      </c>
      <c r="O1121" s="10">
        <f t="shared" si="434"/>
        <v>0.5</v>
      </c>
      <c r="P1121" s="10">
        <f t="shared" si="434"/>
        <v>0.25</v>
      </c>
      <c r="Q1121" s="40">
        <f t="shared" si="435"/>
        <v>0</v>
      </c>
      <c r="R1121" s="21">
        <f>IF(D1121&gt;21,VLOOKUP(D1121,Barem!$T$1:$U$141,2,1),0)</f>
        <v>0</v>
      </c>
      <c r="S1121" s="152">
        <f>IF(D1121&lt;1.609,0,IF(B1121="F",VLOOKUP(I1121,Barem!$X$2:$Z$13,2,1),VLOOKUP(I1121,Barem!$X$14:$Z$25,2,1)))</f>
        <v>0</v>
      </c>
      <c r="T1121" s="21">
        <f>VLOOKUP(A1121,Participanti!A:C,3,0)</f>
        <v>0</v>
      </c>
      <c r="U1121" s="18">
        <f t="shared" si="436"/>
        <v>2.125</v>
      </c>
      <c r="V1121" s="58" t="s">
        <v>502</v>
      </c>
      <c r="W1121" s="77">
        <f t="shared" si="405"/>
        <v>1</v>
      </c>
      <c r="X1121" s="1" t="str">
        <f>VLOOKUP(A1121,Data_Echipe!A:R,18,0)</f>
        <v>#notSYRious</v>
      </c>
      <c r="Z1121" s="115">
        <f t="shared" si="437"/>
        <v>1</v>
      </c>
    </row>
    <row r="1122" spans="1:27" x14ac:dyDescent="0.3">
      <c r="A1122" s="49" t="s">
        <v>345</v>
      </c>
      <c r="B1122" s="1" t="str">
        <f>VLOOKUP(A1122,Participanti!A:B,2,0)</f>
        <v>F</v>
      </c>
      <c r="C1122" s="74">
        <v>14</v>
      </c>
      <c r="D1122" s="50">
        <v>10.02</v>
      </c>
      <c r="E1122" s="51">
        <v>3.6932870370370366E-2</v>
      </c>
      <c r="F1122" s="51">
        <v>3.6932870370370366E-2</v>
      </c>
      <c r="G1122" s="69">
        <f t="shared" si="431"/>
        <v>3.6932870370370366E-2</v>
      </c>
      <c r="H1122" s="52"/>
      <c r="I1122" s="12">
        <f t="shared" si="432"/>
        <v>3.6859152066237894E-3</v>
      </c>
      <c r="J1122" s="37">
        <f t="shared" si="433"/>
        <v>2.5049999999999999</v>
      </c>
      <c r="K1122" s="37">
        <f>IF(J1122=0,0,IF(B1122="F",VLOOKUP(I1122,Barem!$G$2:$H$16,2,1),VLOOKUP(I1122,Barem!$G$17:$H$31,2,1)))</f>
        <v>3</v>
      </c>
      <c r="L1122" s="50">
        <v>0.25</v>
      </c>
      <c r="M1122" s="124" t="s">
        <v>106</v>
      </c>
      <c r="N1122" s="10">
        <f t="shared" si="434"/>
        <v>0.5</v>
      </c>
      <c r="O1122" s="10">
        <f t="shared" si="434"/>
        <v>0.25</v>
      </c>
      <c r="P1122" s="10">
        <f t="shared" si="434"/>
        <v>0.25</v>
      </c>
      <c r="Q1122" s="40">
        <f t="shared" si="435"/>
        <v>0</v>
      </c>
      <c r="R1122" s="21">
        <f>IF(D1122&gt;21,VLOOKUP(D1122,Barem!$T$1:$U$141,2,1),0)</f>
        <v>0</v>
      </c>
      <c r="S1122" s="152">
        <f>IF(D1122&lt;1.609,0,IF(B1122="F",VLOOKUP(I1122,Barem!$X$2:$Z$13,2,1),VLOOKUP(I1122,Barem!$X$14:$Z$25,2,1)))</f>
        <v>0</v>
      </c>
      <c r="T1122" s="21">
        <f>VLOOKUP(A1122,Participanti!A:C,3,0)</f>
        <v>0</v>
      </c>
      <c r="U1122" s="18">
        <f t="shared" si="436"/>
        <v>2.0649999999999999</v>
      </c>
      <c r="V1122" s="58" t="s">
        <v>511</v>
      </c>
      <c r="W1122" s="77">
        <f t="shared" si="405"/>
        <v>1</v>
      </c>
      <c r="X1122" s="1" t="str">
        <f>VLOOKUP(A1122,Data_Echipe!A:R,18,0)</f>
        <v>MedgidiaRunning</v>
      </c>
      <c r="Z1122" s="115">
        <f t="shared" si="437"/>
        <v>1</v>
      </c>
    </row>
    <row r="1123" spans="1:27" x14ac:dyDescent="0.3">
      <c r="A1123" s="49" t="s">
        <v>357</v>
      </c>
      <c r="B1123" s="1" t="str">
        <f>VLOOKUP(A1123,Participanti!A:B,2,0)</f>
        <v>M</v>
      </c>
      <c r="C1123" s="74">
        <v>14</v>
      </c>
      <c r="D1123" s="50">
        <v>7.77</v>
      </c>
      <c r="E1123" s="51">
        <v>3.3275462962962958E-2</v>
      </c>
      <c r="F1123" s="51">
        <v>3.3275462962962958E-2</v>
      </c>
      <c r="G1123" s="69">
        <f t="shared" si="431"/>
        <v>3.3275462962962958E-2</v>
      </c>
      <c r="H1123" s="52">
        <v>294</v>
      </c>
      <c r="I1123" s="12">
        <f t="shared" si="432"/>
        <v>4.2825563658896986E-3</v>
      </c>
      <c r="J1123" s="37">
        <f t="shared" si="433"/>
        <v>1.8499999999999999</v>
      </c>
      <c r="K1123" s="37">
        <f>IF(J1123=0,0,IF(B1123="F",VLOOKUP(I1123,Barem!$G$2:$H$16,2,1),VLOOKUP(I1123,Barem!$G$17:$H$31,2,1)))</f>
        <v>1.25</v>
      </c>
      <c r="L1123" s="50">
        <v>3</v>
      </c>
      <c r="M1123" s="124" t="s">
        <v>207</v>
      </c>
      <c r="N1123" s="10">
        <f t="shared" si="434"/>
        <v>0.25</v>
      </c>
      <c r="O1123" s="10">
        <f t="shared" si="434"/>
        <v>0.25</v>
      </c>
      <c r="P1123" s="10">
        <f t="shared" si="434"/>
        <v>0.5</v>
      </c>
      <c r="Q1123" s="40">
        <f t="shared" si="435"/>
        <v>0.19600000000000001</v>
      </c>
      <c r="R1123" s="21">
        <f>IF(D1123&gt;21,VLOOKUP(D1123,Barem!$T$1:$U$141,2,1),0)</f>
        <v>0</v>
      </c>
      <c r="S1123" s="152">
        <f>IF(D1123&lt;1.609,0,IF(B1123="F",VLOOKUP(I1123,Barem!$X$2:$Z$13,2,1),VLOOKUP(I1123,Barem!$X$14:$Z$25,2,1)))</f>
        <v>0</v>
      </c>
      <c r="T1123" s="21">
        <f>VLOOKUP(A1123,Participanti!A:C,3,0)</f>
        <v>0</v>
      </c>
      <c r="U1123" s="18">
        <f t="shared" si="436"/>
        <v>2.4710000000000001</v>
      </c>
      <c r="V1123" s="58" t="s">
        <v>507</v>
      </c>
      <c r="W1123" s="77">
        <f t="shared" si="405"/>
        <v>1</v>
      </c>
      <c r="X1123" s="1" t="e">
        <f>VLOOKUP(A1123,Data_Echipe!A:R,18,0)</f>
        <v>#N/A</v>
      </c>
      <c r="Z1123" s="115">
        <f t="shared" si="437"/>
        <v>1</v>
      </c>
    </row>
    <row r="1124" spans="1:27" x14ac:dyDescent="0.3">
      <c r="A1124" s="49" t="s">
        <v>353</v>
      </c>
      <c r="B1124" s="1" t="str">
        <f>VLOOKUP(A1124,Participanti!A:B,2,0)</f>
        <v>M</v>
      </c>
      <c r="C1124" s="74">
        <v>14</v>
      </c>
      <c r="D1124" s="50">
        <v>21.51</v>
      </c>
      <c r="E1124" s="51">
        <v>7.3541666666666672E-2</v>
      </c>
      <c r="F1124" s="51">
        <v>7.3541666666666672E-2</v>
      </c>
      <c r="G1124" s="69">
        <f t="shared" si="431"/>
        <v>7.3541666666666672E-2</v>
      </c>
      <c r="H1124" s="52">
        <v>21</v>
      </c>
      <c r="I1124" s="12">
        <f t="shared" si="432"/>
        <v>3.4189524252285757E-3</v>
      </c>
      <c r="J1124" s="37">
        <f t="shared" si="433"/>
        <v>5</v>
      </c>
      <c r="K1124" s="37">
        <f>IF(J1124=0,0,IF(B1124="F",VLOOKUP(I1124,Barem!$G$2:$H$16,2,1),VLOOKUP(I1124,Barem!$G$17:$H$31,2,1)))</f>
        <v>3</v>
      </c>
      <c r="L1124" s="50">
        <v>0.5</v>
      </c>
      <c r="M1124" s="124" t="s">
        <v>107</v>
      </c>
      <c r="N1124" s="10">
        <f t="shared" si="434"/>
        <v>0.25</v>
      </c>
      <c r="O1124" s="10">
        <f t="shared" si="434"/>
        <v>0.5</v>
      </c>
      <c r="P1124" s="10">
        <f t="shared" si="434"/>
        <v>0.25</v>
      </c>
      <c r="Q1124" s="40">
        <f t="shared" si="435"/>
        <v>0</v>
      </c>
      <c r="R1124" s="21">
        <f>IF(D1124&gt;21,VLOOKUP(D1124,Barem!$T$1:$U$141,2,1),0)</f>
        <v>0</v>
      </c>
      <c r="S1124" s="152">
        <f>IF(D1124&lt;1.609,0,IF(B1124="F",VLOOKUP(I1124,Barem!$X$2:$Z$13,2,1),VLOOKUP(I1124,Barem!$X$14:$Z$25,2,1)))</f>
        <v>0</v>
      </c>
      <c r="T1124" s="21">
        <f>VLOOKUP(A1124,Participanti!A:C,3,0)</f>
        <v>0</v>
      </c>
      <c r="U1124" s="18">
        <f t="shared" si="436"/>
        <v>2.875</v>
      </c>
      <c r="V1124" s="58" t="s">
        <v>509</v>
      </c>
      <c r="W1124" s="77">
        <f t="shared" si="405"/>
        <v>1</v>
      </c>
      <c r="X1124" s="1" t="e">
        <f>VLOOKUP(A1124,Data_Echipe!A:R,18,0)</f>
        <v>#N/A</v>
      </c>
      <c r="Z1124" s="115">
        <f t="shared" si="437"/>
        <v>1</v>
      </c>
    </row>
    <row r="1125" spans="1:27" x14ac:dyDescent="0.3">
      <c r="A1125" s="49" t="s">
        <v>125</v>
      </c>
      <c r="B1125" s="1" t="str">
        <f>VLOOKUP(A1125,Participanti!A:B,2,0)</f>
        <v>M</v>
      </c>
      <c r="C1125" s="74">
        <v>14</v>
      </c>
      <c r="D1125" s="50">
        <v>12.95</v>
      </c>
      <c r="E1125" s="51">
        <v>4.3078703703703702E-2</v>
      </c>
      <c r="F1125" s="51">
        <v>4.3078703703703702E-2</v>
      </c>
      <c r="G1125" s="69">
        <f t="shared" si="431"/>
        <v>4.3078703703703702E-2</v>
      </c>
      <c r="H1125" s="52"/>
      <c r="I1125" s="12">
        <f t="shared" si="432"/>
        <v>3.3265408265408265E-3</v>
      </c>
      <c r="J1125" s="37">
        <f t="shared" si="433"/>
        <v>3.083333333333333</v>
      </c>
      <c r="K1125" s="37">
        <f>IF(J1125=0,0,IF(B1125="F",VLOOKUP(I1125,Barem!$G$2:$H$16,2,1),VLOOKUP(I1125,Barem!$G$17:$H$31,2,1)))</f>
        <v>3</v>
      </c>
      <c r="L1125" s="50">
        <v>0</v>
      </c>
      <c r="M1125" s="124" t="s">
        <v>107</v>
      </c>
      <c r="N1125" s="10">
        <f t="shared" si="434"/>
        <v>0.25</v>
      </c>
      <c r="O1125" s="10">
        <f t="shared" si="434"/>
        <v>0.5</v>
      </c>
      <c r="P1125" s="10">
        <f t="shared" si="434"/>
        <v>0.25</v>
      </c>
      <c r="Q1125" s="40">
        <f t="shared" si="435"/>
        <v>0</v>
      </c>
      <c r="R1125" s="21">
        <f>IF(D1125&gt;21,VLOOKUP(D1125,Barem!$T$1:$U$141,2,1),0)</f>
        <v>0</v>
      </c>
      <c r="S1125" s="152">
        <f>IF(D1125&lt;1.609,0,IF(B1125="F",VLOOKUP(I1125,Barem!$X$2:$Z$13,2,1),VLOOKUP(I1125,Barem!$X$14:$Z$25,2,1)))</f>
        <v>0</v>
      </c>
      <c r="T1125" s="21">
        <f>VLOOKUP(A1125,Participanti!A:C,3,0)</f>
        <v>0</v>
      </c>
      <c r="U1125" s="18">
        <f t="shared" si="436"/>
        <v>2.270833333333333</v>
      </c>
      <c r="V1125" s="58" t="s">
        <v>506</v>
      </c>
      <c r="W1125" s="77">
        <f t="shared" si="405"/>
        <v>1</v>
      </c>
      <c r="X1125" s="1" t="str">
        <f>VLOOKUP(A1125,Data_Echipe!A:R,18,0)</f>
        <v>The GOATs</v>
      </c>
      <c r="Z1125" s="115">
        <f t="shared" si="437"/>
        <v>1</v>
      </c>
    </row>
    <row r="1126" spans="1:27" x14ac:dyDescent="0.3">
      <c r="A1126" s="49" t="s">
        <v>248</v>
      </c>
      <c r="B1126" s="1" t="str">
        <f>VLOOKUP(A1126,Participanti!A:B,2,0)</f>
        <v>M</v>
      </c>
      <c r="C1126" s="74">
        <v>14</v>
      </c>
      <c r="D1126" s="50">
        <v>3</v>
      </c>
      <c r="E1126" s="51">
        <v>8.7615740740740744E-3</v>
      </c>
      <c r="F1126" s="51">
        <v>8.7615740740740744E-3</v>
      </c>
      <c r="G1126" s="69">
        <f t="shared" si="431"/>
        <v>8.7615740740740744E-3</v>
      </c>
      <c r="H1126" s="52"/>
      <c r="I1126" s="12">
        <f t="shared" si="432"/>
        <v>2.9205246913580249E-3</v>
      </c>
      <c r="J1126" s="37">
        <f t="shared" si="433"/>
        <v>0.7142857142857143</v>
      </c>
      <c r="K1126" s="37">
        <f>IF(J1126=0,0,IF(B1126="F",VLOOKUP(I1126,Barem!$G$2:$H$16,2,1),VLOOKUP(I1126,Barem!$G$17:$H$31,2,1)))</f>
        <v>4.5</v>
      </c>
      <c r="L1126" s="50">
        <v>0.25</v>
      </c>
      <c r="M1126" s="124" t="s">
        <v>207</v>
      </c>
      <c r="N1126" s="10">
        <f t="shared" si="434"/>
        <v>0.25</v>
      </c>
      <c r="O1126" s="10">
        <f t="shared" si="434"/>
        <v>0.25</v>
      </c>
      <c r="P1126" s="10">
        <f t="shared" si="434"/>
        <v>0.5</v>
      </c>
      <c r="Q1126" s="40">
        <f t="shared" si="435"/>
        <v>0</v>
      </c>
      <c r="R1126" s="21">
        <f>IF(D1126&gt;21,VLOOKUP(D1126,Barem!$T$1:$U$141,2,1),0)</f>
        <v>0</v>
      </c>
      <c r="S1126" s="152">
        <f>IF(D1126&lt;1.609,0,IF(B1126="F",VLOOKUP(I1126,Barem!$X$2:$Z$13,2,1),VLOOKUP(I1126,Barem!$X$14:$Z$25,2,1)))</f>
        <v>0</v>
      </c>
      <c r="T1126" s="21">
        <f>VLOOKUP(A1126,Participanti!A:C,3,0)</f>
        <v>0</v>
      </c>
      <c r="U1126" s="18">
        <f t="shared" si="436"/>
        <v>1.4285714285714286</v>
      </c>
      <c r="V1126" s="58" t="s">
        <v>507</v>
      </c>
      <c r="W1126" s="77">
        <f t="shared" si="405"/>
        <v>1</v>
      </c>
      <c r="X1126" s="1" t="str">
        <f>VLOOKUP(A1126,Data_Echipe!A:R,18,0)</f>
        <v>Almost Kenyan Runners</v>
      </c>
      <c r="Z1126" s="115">
        <f t="shared" si="437"/>
        <v>1</v>
      </c>
    </row>
    <row r="1127" spans="1:27" x14ac:dyDescent="0.3">
      <c r="A1127" s="49" t="s">
        <v>275</v>
      </c>
      <c r="B1127" s="1" t="str">
        <f>VLOOKUP(A1127,Participanti!A:B,2,0)</f>
        <v>M</v>
      </c>
      <c r="C1127" s="74">
        <v>14</v>
      </c>
      <c r="D1127" s="50">
        <v>9.02</v>
      </c>
      <c r="E1127" s="51">
        <v>2.9247685185185186E-2</v>
      </c>
      <c r="F1127" s="51">
        <v>3.5613425925925923E-2</v>
      </c>
      <c r="G1127" s="69">
        <f t="shared" si="431"/>
        <v>3.2430555555555553E-2</v>
      </c>
      <c r="H1127" s="52">
        <v>15</v>
      </c>
      <c r="I1127" s="12">
        <f t="shared" si="432"/>
        <v>3.5954052722345403E-3</v>
      </c>
      <c r="J1127" s="37">
        <f t="shared" si="433"/>
        <v>2.1476190476190475</v>
      </c>
      <c r="K1127" s="37">
        <f>IF(J1127=0,0,IF(B1127="F",VLOOKUP(I1127,Barem!$G$2:$H$16,2,1),VLOOKUP(I1127,Barem!$G$17:$H$31,2,1)))</f>
        <v>2.5</v>
      </c>
      <c r="L1127" s="50">
        <v>0.25</v>
      </c>
      <c r="M1127" s="124" t="s">
        <v>207</v>
      </c>
      <c r="N1127" s="10">
        <f t="shared" si="434"/>
        <v>0.25</v>
      </c>
      <c r="O1127" s="10">
        <f t="shared" si="434"/>
        <v>0.25</v>
      </c>
      <c r="P1127" s="10">
        <f t="shared" si="434"/>
        <v>0.5</v>
      </c>
      <c r="Q1127" s="40">
        <f t="shared" si="435"/>
        <v>0</v>
      </c>
      <c r="R1127" s="21">
        <f>IF(D1127&gt;21,VLOOKUP(D1127,Barem!$T$1:$U$141,2,1),0)</f>
        <v>0</v>
      </c>
      <c r="S1127" s="152">
        <f>IF(D1127&lt;1.609,0,IF(B1127="F",VLOOKUP(I1127,Barem!$X$2:$Z$13,2,1),VLOOKUP(I1127,Barem!$X$14:$Z$25,2,1)))</f>
        <v>0</v>
      </c>
      <c r="T1127" s="21">
        <f>VLOOKUP(A1127,Participanti!A:C,3,0)</f>
        <v>0</v>
      </c>
      <c r="U1127" s="18">
        <f t="shared" si="436"/>
        <v>1.2869047619047618</v>
      </c>
      <c r="V1127" s="58" t="s">
        <v>502</v>
      </c>
      <c r="W1127" s="77">
        <f t="shared" si="405"/>
        <v>1</v>
      </c>
      <c r="X1127" s="1" t="e">
        <f>VLOOKUP(A1127,Data_Echipe!A:R,18,0)</f>
        <v>#N/A</v>
      </c>
      <c r="Z1127" s="115">
        <f t="shared" si="437"/>
        <v>1</v>
      </c>
    </row>
    <row r="1128" spans="1:27" x14ac:dyDescent="0.3">
      <c r="A1128" s="49" t="s">
        <v>279</v>
      </c>
      <c r="B1128" s="1" t="str">
        <f>VLOOKUP(A1128,Participanti!A:B,2,0)</f>
        <v>M</v>
      </c>
      <c r="C1128" s="74">
        <v>14</v>
      </c>
      <c r="D1128" s="50">
        <v>27.02</v>
      </c>
      <c r="E1128" s="51">
        <v>8.0798611111111113E-2</v>
      </c>
      <c r="F1128" s="51">
        <v>8.4479166666666661E-2</v>
      </c>
      <c r="G1128" s="69">
        <f t="shared" si="431"/>
        <v>8.2638888888888887E-2</v>
      </c>
      <c r="H1128" s="52">
        <v>179</v>
      </c>
      <c r="I1128" s="12">
        <f t="shared" si="432"/>
        <v>3.058434081750144E-3</v>
      </c>
      <c r="J1128" s="37">
        <f t="shared" si="433"/>
        <v>5</v>
      </c>
      <c r="K1128" s="37">
        <f>IF(J1128=0,0,IF(B1128="F",VLOOKUP(I1128,Barem!$G$2:$H$16,2,1),VLOOKUP(I1128,Barem!$G$17:$H$31,2,1)))</f>
        <v>4</v>
      </c>
      <c r="L1128" s="50">
        <v>1</v>
      </c>
      <c r="M1128" s="124" t="s">
        <v>207</v>
      </c>
      <c r="N1128" s="10">
        <f t="shared" si="434"/>
        <v>0.25</v>
      </c>
      <c r="O1128" s="10">
        <f t="shared" si="434"/>
        <v>0.25</v>
      </c>
      <c r="P1128" s="10">
        <f t="shared" si="434"/>
        <v>0.5</v>
      </c>
      <c r="Q1128" s="40">
        <f t="shared" si="435"/>
        <v>0.11933333333333333</v>
      </c>
      <c r="R1128" s="21">
        <f>IF(D1128&gt;21,VLOOKUP(D1128,Barem!$T$1:$U$141,2,1),0)</f>
        <v>0.3</v>
      </c>
      <c r="S1128" s="152">
        <f>IF(D1128&lt;1.609,0,IF(B1128="F",VLOOKUP(I1128,Barem!$X$2:$Z$13,2,1),VLOOKUP(I1128,Barem!$X$14:$Z$25,2,1)))</f>
        <v>0</v>
      </c>
      <c r="T1128" s="21">
        <f>VLOOKUP(A1128,Participanti!A:C,3,0)</f>
        <v>0</v>
      </c>
      <c r="U1128" s="18">
        <f t="shared" si="436"/>
        <v>3.1693333333333333</v>
      </c>
      <c r="V1128" s="58" t="s">
        <v>505</v>
      </c>
      <c r="W1128" s="77">
        <f t="shared" si="405"/>
        <v>1</v>
      </c>
      <c r="X1128" s="1" t="str">
        <f>VLOOKUP(A1128,Data_Echipe!A:R,18,0)</f>
        <v>Almost Kenyan Runners</v>
      </c>
      <c r="Z1128" s="115">
        <f t="shared" si="437"/>
        <v>1</v>
      </c>
    </row>
    <row r="1129" spans="1:27" x14ac:dyDescent="0.3">
      <c r="A1129" s="49" t="s">
        <v>341</v>
      </c>
      <c r="B1129" s="1" t="str">
        <f>VLOOKUP(A1129,Participanti!A:B,2,0)</f>
        <v>M</v>
      </c>
      <c r="C1129" s="74">
        <v>14</v>
      </c>
      <c r="D1129" s="50">
        <v>42.49</v>
      </c>
      <c r="E1129" s="51">
        <v>0.24026620370370369</v>
      </c>
      <c r="F1129" s="51">
        <v>0.25693287037037038</v>
      </c>
      <c r="G1129" s="69">
        <f t="shared" si="431"/>
        <v>0.24859953703703702</v>
      </c>
      <c r="H1129" s="52">
        <v>1927</v>
      </c>
      <c r="I1129" s="12">
        <f t="shared" si="432"/>
        <v>5.8507775249949873E-3</v>
      </c>
      <c r="J1129" s="37">
        <f t="shared" si="433"/>
        <v>5</v>
      </c>
      <c r="K1129" s="37">
        <f>IF(J1129=0,0,IF(B1129="F",VLOOKUP(I1129,Barem!$G$2:$H$16,2,1),VLOOKUP(I1129,Barem!$G$17:$H$31,2,1)))</f>
        <v>0</v>
      </c>
      <c r="L1129" s="50">
        <v>0.5</v>
      </c>
      <c r="M1129" s="124" t="s">
        <v>106</v>
      </c>
      <c r="N1129" s="10">
        <f t="shared" si="434"/>
        <v>0.5</v>
      </c>
      <c r="O1129" s="10">
        <f t="shared" si="434"/>
        <v>0.25</v>
      </c>
      <c r="P1129" s="10">
        <f t="shared" si="434"/>
        <v>0.25</v>
      </c>
      <c r="Q1129" s="40">
        <f t="shared" si="435"/>
        <v>1.2846666666666666</v>
      </c>
      <c r="R1129" s="21">
        <f>IF(D1129&gt;21,VLOOKUP(D1129,Barem!$T$1:$U$141,2,1),0)</f>
        <v>1</v>
      </c>
      <c r="S1129" s="152">
        <f>IF(D1129&lt;1.609,0,IF(B1129="F",VLOOKUP(I1129,Barem!$X$2:$Z$13,2,1),VLOOKUP(I1129,Barem!$X$14:$Z$25,2,1)))</f>
        <v>0</v>
      </c>
      <c r="T1129" s="21">
        <f>VLOOKUP(A1129,Participanti!A:C,3,0)</f>
        <v>0</v>
      </c>
      <c r="U1129" s="18">
        <f t="shared" si="436"/>
        <v>4.9096666666666664</v>
      </c>
      <c r="V1129" s="58" t="s">
        <v>509</v>
      </c>
      <c r="W1129" s="77">
        <f t="shared" si="405"/>
        <v>1</v>
      </c>
      <c r="X1129" s="1" t="str">
        <f>VLOOKUP(A1129,Data_Echipe!A:R,18,0)</f>
        <v>The GOATs</v>
      </c>
      <c r="Z1129" s="115">
        <f t="shared" si="437"/>
        <v>0</v>
      </c>
    </row>
    <row r="1130" spans="1:27" x14ac:dyDescent="0.3">
      <c r="A1130" s="49" t="s">
        <v>51</v>
      </c>
      <c r="B1130" s="1" t="str">
        <f>VLOOKUP(A1130,Participanti!A:B,2,0)</f>
        <v>M</v>
      </c>
      <c r="C1130" s="74">
        <v>14</v>
      </c>
      <c r="D1130" s="50">
        <v>26.43</v>
      </c>
      <c r="E1130" s="51">
        <v>0.10559027777777778</v>
      </c>
      <c r="F1130" s="51">
        <v>0.1059837962962963</v>
      </c>
      <c r="G1130" s="69">
        <f t="shared" si="431"/>
        <v>0.10578703703703704</v>
      </c>
      <c r="H1130" s="52">
        <v>954</v>
      </c>
      <c r="I1130" s="12">
        <f t="shared" si="432"/>
        <v>4.0025363994338646E-3</v>
      </c>
      <c r="J1130" s="37">
        <f t="shared" si="433"/>
        <v>5</v>
      </c>
      <c r="K1130" s="37">
        <f>IF(J1130=0,0,IF(B1130="F",VLOOKUP(I1130,Barem!$G$2:$H$16,2,1),VLOOKUP(I1130,Barem!$G$17:$H$31,2,1)))</f>
        <v>1.75</v>
      </c>
      <c r="L1130" s="50">
        <v>2.5</v>
      </c>
      <c r="M1130" s="124" t="s">
        <v>107</v>
      </c>
      <c r="N1130" s="10">
        <f t="shared" si="434"/>
        <v>0.25</v>
      </c>
      <c r="O1130" s="10">
        <f t="shared" si="434"/>
        <v>0.5</v>
      </c>
      <c r="P1130" s="10">
        <f t="shared" si="434"/>
        <v>0.25</v>
      </c>
      <c r="Q1130" s="40">
        <f t="shared" si="435"/>
        <v>0.63600000000000001</v>
      </c>
      <c r="R1130" s="21">
        <f>IF(D1130&gt;21,VLOOKUP(D1130,Barem!$T$1:$U$141,2,1),0)</f>
        <v>0.2</v>
      </c>
      <c r="S1130" s="152">
        <f>IF(D1130&lt;1.609,0,IF(B1130="F",VLOOKUP(I1130,Barem!$X$2:$Z$13,2,1),VLOOKUP(I1130,Barem!$X$14:$Z$25,2,1)))</f>
        <v>0</v>
      </c>
      <c r="T1130" s="21">
        <f>VLOOKUP(A1130,Participanti!A:C,3,0)</f>
        <v>0</v>
      </c>
      <c r="U1130" s="18">
        <f t="shared" si="436"/>
        <v>3.5860000000000003</v>
      </c>
      <c r="V1130" s="58" t="s">
        <v>505</v>
      </c>
      <c r="W1130" s="77">
        <f t="shared" si="405"/>
        <v>1</v>
      </c>
      <c r="X1130" s="1" t="str">
        <f>VLOOKUP(A1130,Data_Echipe!A:R,18,0)</f>
        <v>The GOATs</v>
      </c>
      <c r="Z1130" s="115">
        <f t="shared" si="437"/>
        <v>1</v>
      </c>
    </row>
    <row r="1131" spans="1:27" x14ac:dyDescent="0.3">
      <c r="A1131" s="49" t="s">
        <v>41</v>
      </c>
      <c r="B1131" s="1" t="str">
        <f>VLOOKUP(A1131,Participanti!A:B,2,0)</f>
        <v>M</v>
      </c>
      <c r="C1131" s="74">
        <v>14</v>
      </c>
      <c r="D1131" s="50">
        <v>10.39</v>
      </c>
      <c r="E1131" s="51">
        <v>3.4768518518518525E-2</v>
      </c>
      <c r="F1131" s="51">
        <v>3.4861111111111114E-2</v>
      </c>
      <c r="G1131" s="69">
        <f t="shared" si="431"/>
        <v>3.4814814814814819E-2</v>
      </c>
      <c r="H1131" s="52"/>
      <c r="I1131" s="12">
        <f t="shared" si="432"/>
        <v>3.3508002709157669E-3</v>
      </c>
      <c r="J1131" s="37">
        <f t="shared" si="433"/>
        <v>2.4738095238095239</v>
      </c>
      <c r="K1131" s="37">
        <f>IF(J1131=0,0,IF(B1131="F",VLOOKUP(I1131,Barem!$G$2:$H$16,2,1),VLOOKUP(I1131,Barem!$G$17:$H$31,2,1)))</f>
        <v>3</v>
      </c>
      <c r="L1131" s="50">
        <v>1</v>
      </c>
      <c r="M1131" s="124" t="s">
        <v>106</v>
      </c>
      <c r="N1131" s="10">
        <f t="shared" si="434"/>
        <v>0.5</v>
      </c>
      <c r="O1131" s="10">
        <f t="shared" si="434"/>
        <v>0.25</v>
      </c>
      <c r="P1131" s="10">
        <f t="shared" si="434"/>
        <v>0.25</v>
      </c>
      <c r="Q1131" s="40">
        <f t="shared" si="435"/>
        <v>0</v>
      </c>
      <c r="R1131" s="21">
        <f>IF(D1131&gt;21,VLOOKUP(D1131,Barem!$T$1:$U$141,2,1),0)</f>
        <v>0</v>
      </c>
      <c r="S1131" s="152">
        <f>IF(D1131&lt;1.609,0,IF(B1131="F",VLOOKUP(I1131,Barem!$X$2:$Z$13,2,1),VLOOKUP(I1131,Barem!$X$14:$Z$25,2,1)))</f>
        <v>0</v>
      </c>
      <c r="T1131" s="21">
        <f>VLOOKUP(A1131,Participanti!A:C,3,0)</f>
        <v>0</v>
      </c>
      <c r="U1131" s="18">
        <f t="shared" si="436"/>
        <v>2.236904761904762</v>
      </c>
      <c r="V1131" s="58" t="s">
        <v>511</v>
      </c>
      <c r="W1131" s="77">
        <f t="shared" si="405"/>
        <v>1</v>
      </c>
      <c r="X1131" s="1" t="str">
        <f>VLOOKUP(A1131,Data_Echipe!A:R,18,0)</f>
        <v>Almost Kenyan Runners</v>
      </c>
      <c r="Z1131" s="115">
        <f t="shared" si="437"/>
        <v>1</v>
      </c>
    </row>
    <row r="1132" spans="1:27" ht="14.5" x14ac:dyDescent="0.35">
      <c r="A1132" s="49" t="s">
        <v>300</v>
      </c>
      <c r="B1132" s="1" t="str">
        <f>VLOOKUP(A1132,Participanti!A:B,2,0)</f>
        <v>M</v>
      </c>
      <c r="C1132" s="74">
        <v>14</v>
      </c>
      <c r="D1132" s="50">
        <v>3.02</v>
      </c>
      <c r="E1132" s="51">
        <v>8.2754629629629619E-3</v>
      </c>
      <c r="F1132" s="51">
        <v>8.2754629629629619E-3</v>
      </c>
      <c r="G1132" s="69">
        <f t="shared" si="431"/>
        <v>8.2754629629629619E-3</v>
      </c>
      <c r="H1132" s="52">
        <v>5</v>
      </c>
      <c r="I1132" s="12">
        <f t="shared" si="432"/>
        <v>2.7402195241599211E-3</v>
      </c>
      <c r="J1132" s="37">
        <f t="shared" si="433"/>
        <v>0.71904761904761905</v>
      </c>
      <c r="K1132" s="37">
        <f>IF(J1132=0,0,IF(B1132="F",VLOOKUP(I1132,Barem!$G$2:$H$16,2,1),VLOOKUP(I1132,Barem!$G$17:$H$31,2,1)))</f>
        <v>5</v>
      </c>
      <c r="L1132" s="50">
        <v>2.5</v>
      </c>
      <c r="M1132" s="124" t="s">
        <v>107</v>
      </c>
      <c r="N1132" s="10">
        <f t="shared" si="434"/>
        <v>0.25</v>
      </c>
      <c r="O1132" s="10">
        <f t="shared" si="434"/>
        <v>0.5</v>
      </c>
      <c r="P1132" s="10">
        <f t="shared" si="434"/>
        <v>0.25</v>
      </c>
      <c r="Q1132" s="40">
        <f t="shared" si="435"/>
        <v>0</v>
      </c>
      <c r="R1132" s="21">
        <f>IF(D1132&gt;21,VLOOKUP(D1132,Barem!$T$1:$U$141,2,1),0)</f>
        <v>0</v>
      </c>
      <c r="S1132" s="152">
        <f>IF(D1132&lt;1.609,0,IF(B1132="F",VLOOKUP(I1132,Barem!$X$2:$Z$13,2,1),VLOOKUP(I1132,Barem!$X$14:$Z$25,2,1)))</f>
        <v>0.15000000000000002</v>
      </c>
      <c r="T1132" s="21">
        <f>VLOOKUP(A1132,Participanti!A:C,3,0)</f>
        <v>0</v>
      </c>
      <c r="U1132" s="18">
        <f t="shared" si="436"/>
        <v>3.4547619047619045</v>
      </c>
      <c r="V1132" s="58" t="s">
        <v>505</v>
      </c>
      <c r="W1132" s="77">
        <f t="shared" si="405"/>
        <v>1</v>
      </c>
      <c r="X1132" s="1" t="str">
        <f>VLOOKUP(A1132,Data_Echipe!A:R,18,0)</f>
        <v>#notSYRious</v>
      </c>
      <c r="Z1132" s="115">
        <f t="shared" si="437"/>
        <v>1</v>
      </c>
      <c r="AA1132" s="159"/>
    </row>
    <row r="1133" spans="1:27" x14ac:dyDescent="0.3">
      <c r="A1133" s="49" t="s">
        <v>430</v>
      </c>
      <c r="B1133" s="1" t="str">
        <f>VLOOKUP(A1133,Participanti!A:B,2,0)</f>
        <v>M</v>
      </c>
      <c r="C1133" s="74">
        <v>14</v>
      </c>
      <c r="D1133" s="50">
        <v>10</v>
      </c>
      <c r="E1133" s="51">
        <v>3.3402777777777774E-2</v>
      </c>
      <c r="F1133" s="51">
        <v>3.3402777777777774E-2</v>
      </c>
      <c r="G1133" s="69">
        <f t="shared" si="431"/>
        <v>3.3402777777777774E-2</v>
      </c>
      <c r="H1133" s="52">
        <v>82</v>
      </c>
      <c r="I1133" s="12">
        <f t="shared" si="432"/>
        <v>3.3402777777777775E-3</v>
      </c>
      <c r="J1133" s="37">
        <f t="shared" si="433"/>
        <v>2.3809523809523809</v>
      </c>
      <c r="K1133" s="37">
        <f>IF(J1133=0,0,IF(B1133="F",VLOOKUP(I1133,Barem!$G$2:$H$16,2,1),VLOOKUP(I1133,Barem!$G$17:$H$31,2,1)))</f>
        <v>3</v>
      </c>
      <c r="L1133" s="50">
        <v>0.25</v>
      </c>
      <c r="M1133" s="124" t="s">
        <v>106</v>
      </c>
      <c r="N1133" s="10">
        <f t="shared" ref="N1133:P1152" si="438">IF($M1133=N$1,50%,25%)</f>
        <v>0.5</v>
      </c>
      <c r="O1133" s="10">
        <f t="shared" si="438"/>
        <v>0.25</v>
      </c>
      <c r="P1133" s="10">
        <f t="shared" si="438"/>
        <v>0.25</v>
      </c>
      <c r="Q1133" s="40">
        <f t="shared" si="435"/>
        <v>5.4666666666666669E-2</v>
      </c>
      <c r="R1133" s="21">
        <f>IF(D1133&gt;21,VLOOKUP(D1133,Barem!$T$1:$U$141,2,1),0)</f>
        <v>0</v>
      </c>
      <c r="S1133" s="152">
        <f>IF(D1133&lt;1.609,0,IF(B1133="F",VLOOKUP(I1133,Barem!$X$2:$Z$13,2,1),VLOOKUP(I1133,Barem!$X$14:$Z$25,2,1)))</f>
        <v>0</v>
      </c>
      <c r="T1133" s="21">
        <f>VLOOKUP(A1133,Participanti!A:C,3,0)</f>
        <v>0</v>
      </c>
      <c r="U1133" s="18">
        <f t="shared" si="436"/>
        <v>2.0576428571428576</v>
      </c>
      <c r="V1133" s="58" t="s">
        <v>505</v>
      </c>
      <c r="W1133" s="77">
        <f t="shared" si="405"/>
        <v>1</v>
      </c>
      <c r="X1133" s="1" t="e">
        <f>VLOOKUP(A1133,Data_Echipe!A:R,18,0)</f>
        <v>#N/A</v>
      </c>
      <c r="Z1133" s="115">
        <f t="shared" si="437"/>
        <v>1</v>
      </c>
    </row>
    <row r="1134" spans="1:27" x14ac:dyDescent="0.3">
      <c r="A1134" s="49" t="s">
        <v>78</v>
      </c>
      <c r="B1134" s="1" t="str">
        <f>VLOOKUP(A1134,Participanti!A:B,2,0)</f>
        <v>M</v>
      </c>
      <c r="C1134" s="74">
        <v>14</v>
      </c>
      <c r="D1134" s="50">
        <v>27.55</v>
      </c>
      <c r="E1134" s="51">
        <v>0.26222222222222219</v>
      </c>
      <c r="F1134" s="51">
        <v>0.30572916666666666</v>
      </c>
      <c r="G1134" s="69">
        <f t="shared" si="431"/>
        <v>0.28397569444444443</v>
      </c>
      <c r="H1134" s="52">
        <v>2081</v>
      </c>
      <c r="I1134" s="12">
        <f t="shared" si="432"/>
        <v>1.0307647711232102E-2</v>
      </c>
      <c r="J1134" s="37">
        <f t="shared" si="433"/>
        <v>5</v>
      </c>
      <c r="K1134" s="37">
        <f>IF(J1134=0,0,IF(B1134="F",VLOOKUP(I1134,Barem!$G$2:$H$16,2,1),VLOOKUP(I1134,Barem!$G$17:$H$31,2,1)))</f>
        <v>0</v>
      </c>
      <c r="L1134" s="50">
        <v>4</v>
      </c>
      <c r="M1134" s="124" t="s">
        <v>106</v>
      </c>
      <c r="N1134" s="10">
        <f t="shared" si="438"/>
        <v>0.5</v>
      </c>
      <c r="O1134" s="10">
        <f t="shared" si="438"/>
        <v>0.25</v>
      </c>
      <c r="P1134" s="10">
        <f t="shared" si="438"/>
        <v>0.25</v>
      </c>
      <c r="Q1134" s="40">
        <f t="shared" si="435"/>
        <v>1.3873333333333333</v>
      </c>
      <c r="R1134" s="21">
        <f>IF(D1134&gt;21,VLOOKUP(D1134,Barem!$T$1:$U$141,2,1),0)</f>
        <v>0.3</v>
      </c>
      <c r="S1134" s="152">
        <f>IF(D1134&lt;1.609,0,IF(B1134="F",VLOOKUP(I1134,Barem!$X$2:$Z$13,2,1),VLOOKUP(I1134,Barem!$X$14:$Z$25,2,1)))</f>
        <v>0</v>
      </c>
      <c r="T1134" s="21">
        <f>VLOOKUP(A1134,Participanti!A:C,3,0)</f>
        <v>0.4</v>
      </c>
      <c r="U1134" s="18">
        <f t="shared" si="436"/>
        <v>5.5873333333333335</v>
      </c>
      <c r="V1134" s="58" t="s">
        <v>505</v>
      </c>
      <c r="W1134" s="77">
        <f t="shared" si="405"/>
        <v>1</v>
      </c>
      <c r="X1134" s="1" t="str">
        <f>VLOOKUP(A1134,Data_Echipe!A:R,18,0)</f>
        <v>Almost Kenyan Runners</v>
      </c>
      <c r="Z1134" s="115">
        <f t="shared" si="437"/>
        <v>0</v>
      </c>
    </row>
    <row r="1135" spans="1:27" x14ac:dyDescent="0.3">
      <c r="A1135" s="49" t="s">
        <v>116</v>
      </c>
      <c r="B1135" s="1" t="str">
        <f>VLOOKUP(A1135,Participanti!A:B,2,0)</f>
        <v>F</v>
      </c>
      <c r="C1135" s="74">
        <v>14</v>
      </c>
      <c r="D1135" s="50">
        <v>4.09</v>
      </c>
      <c r="E1135" s="51">
        <v>1.6921296296296299E-2</v>
      </c>
      <c r="F1135" s="51">
        <v>1.7337962962962961E-2</v>
      </c>
      <c r="G1135" s="69">
        <f t="shared" si="431"/>
        <v>1.712962962962963E-2</v>
      </c>
      <c r="H1135" s="52">
        <v>35</v>
      </c>
      <c r="I1135" s="12">
        <f t="shared" si="432"/>
        <v>4.1881735035769266E-3</v>
      </c>
      <c r="J1135" s="37">
        <f t="shared" si="433"/>
        <v>1.0225</v>
      </c>
      <c r="K1135" s="37">
        <f>IF(J1135=0,0,IF(B1135="F",VLOOKUP(I1135,Barem!$G$2:$H$16,2,1),VLOOKUP(I1135,Barem!$G$17:$H$31,2,1)))</f>
        <v>1.75</v>
      </c>
      <c r="L1135" s="50">
        <v>4</v>
      </c>
      <c r="M1135" s="124" t="s">
        <v>107</v>
      </c>
      <c r="N1135" s="10">
        <f t="shared" si="438"/>
        <v>0.25</v>
      </c>
      <c r="O1135" s="10">
        <f t="shared" si="438"/>
        <v>0.5</v>
      </c>
      <c r="P1135" s="10">
        <f t="shared" si="438"/>
        <v>0.25</v>
      </c>
      <c r="Q1135" s="40">
        <f t="shared" si="435"/>
        <v>0</v>
      </c>
      <c r="R1135" s="21">
        <f>IF(D1135&gt;21,VLOOKUP(D1135,Barem!$T$1:$U$141,2,1),0)</f>
        <v>0</v>
      </c>
      <c r="S1135" s="152">
        <f>IF(D1135&lt;1.609,0,IF(B1135="F",VLOOKUP(I1135,Barem!$X$2:$Z$13,2,1),VLOOKUP(I1135,Barem!$X$14:$Z$25,2,1)))</f>
        <v>0</v>
      </c>
      <c r="T1135" s="21">
        <f>VLOOKUP(A1135,Participanti!A:C,3,0)</f>
        <v>0</v>
      </c>
      <c r="U1135" s="18">
        <f t="shared" si="436"/>
        <v>2.1306250000000002</v>
      </c>
      <c r="V1135" s="58" t="s">
        <v>511</v>
      </c>
      <c r="W1135" s="77">
        <f t="shared" si="405"/>
        <v>1</v>
      </c>
      <c r="X1135" s="1" t="str">
        <f>VLOOKUP(A1135,Data_Echipe!A:R,18,0)</f>
        <v>#notSYRious</v>
      </c>
      <c r="Z1135" s="115">
        <f t="shared" si="437"/>
        <v>1</v>
      </c>
    </row>
    <row r="1136" spans="1:27" x14ac:dyDescent="0.3">
      <c r="A1136" s="49" t="s">
        <v>331</v>
      </c>
      <c r="B1136" s="1" t="str">
        <f>VLOOKUP(A1136,Participanti!A:B,2,0)</f>
        <v>F</v>
      </c>
      <c r="C1136" s="74">
        <v>14</v>
      </c>
      <c r="D1136" s="50">
        <v>2.5</v>
      </c>
      <c r="E1136" s="51">
        <v>8.1365740740740738E-3</v>
      </c>
      <c r="F1136" s="51">
        <v>8.3912037037037045E-3</v>
      </c>
      <c r="G1136" s="69">
        <f t="shared" si="431"/>
        <v>8.2638888888888901E-3</v>
      </c>
      <c r="H1136" s="52"/>
      <c r="I1136" s="12">
        <f t="shared" si="432"/>
        <v>3.3055555555555559E-3</v>
      </c>
      <c r="J1136" s="37">
        <f t="shared" si="433"/>
        <v>0.625</v>
      </c>
      <c r="K1136" s="37">
        <f>IF(J1136=0,0,IF(B1136="F",VLOOKUP(I1136,Barem!$G$2:$H$16,2,1),VLOOKUP(I1136,Barem!$G$17:$H$31,2,1)))</f>
        <v>4.5</v>
      </c>
      <c r="L1136" s="50">
        <v>3</v>
      </c>
      <c r="M1136" s="124" t="s">
        <v>107</v>
      </c>
      <c r="N1136" s="10">
        <f t="shared" si="438"/>
        <v>0.25</v>
      </c>
      <c r="O1136" s="10">
        <f t="shared" si="438"/>
        <v>0.5</v>
      </c>
      <c r="P1136" s="10">
        <f t="shared" si="438"/>
        <v>0.25</v>
      </c>
      <c r="Q1136" s="40">
        <f t="shared" si="435"/>
        <v>0</v>
      </c>
      <c r="R1136" s="21">
        <f>IF(D1136&gt;21,VLOOKUP(D1136,Barem!$T$1:$U$141,2,1),0)</f>
        <v>0</v>
      </c>
      <c r="S1136" s="152">
        <f>IF(D1136&lt;1.609,0,IF(B1136="F",VLOOKUP(I1136,Barem!$X$2:$Z$13,2,1),VLOOKUP(I1136,Barem!$X$14:$Z$25,2,1)))</f>
        <v>0</v>
      </c>
      <c r="T1136" s="21">
        <f>VLOOKUP(A1136,Participanti!A:C,3,0)</f>
        <v>0</v>
      </c>
      <c r="U1136" s="18">
        <f t="shared" si="436"/>
        <v>3.15625</v>
      </c>
      <c r="V1136" s="58" t="s">
        <v>511</v>
      </c>
      <c r="W1136" s="77">
        <f t="shared" si="405"/>
        <v>1</v>
      </c>
      <c r="X1136" s="1" t="str">
        <f>VLOOKUP(A1136,Data_Echipe!A:R,18,0)</f>
        <v>MedgidiaRunning</v>
      </c>
      <c r="Z1136" s="115">
        <f t="shared" si="437"/>
        <v>1</v>
      </c>
    </row>
    <row r="1137" spans="1:27" ht="14.5" x14ac:dyDescent="0.35">
      <c r="A1137" s="49" t="s">
        <v>339</v>
      </c>
      <c r="B1137" s="1" t="str">
        <f>VLOOKUP(A1137,Participanti!A:B,2,0)</f>
        <v>M</v>
      </c>
      <c r="C1137" s="74">
        <v>14</v>
      </c>
      <c r="D1137" s="50">
        <v>21</v>
      </c>
      <c r="E1137" s="51">
        <v>7.1643518518518523E-2</v>
      </c>
      <c r="F1137" s="51">
        <v>7.7696759259259257E-2</v>
      </c>
      <c r="G1137" s="69">
        <f t="shared" si="431"/>
        <v>7.467013888888889E-2</v>
      </c>
      <c r="H1137" s="52">
        <v>142</v>
      </c>
      <c r="I1137" s="12">
        <f t="shared" si="432"/>
        <v>3.5557208994708997E-3</v>
      </c>
      <c r="J1137" s="37">
        <f t="shared" si="433"/>
        <v>5</v>
      </c>
      <c r="K1137" s="37">
        <f>IF(J1137=0,0,IF(B1137="F",VLOOKUP(I1137,Barem!$G$2:$H$16,2,1),VLOOKUP(I1137,Barem!$G$17:$H$31,2,1)))</f>
        <v>2.5</v>
      </c>
      <c r="L1137" s="50">
        <v>2.5</v>
      </c>
      <c r="M1137" s="124" t="s">
        <v>207</v>
      </c>
      <c r="N1137" s="10">
        <f t="shared" si="438"/>
        <v>0.25</v>
      </c>
      <c r="O1137" s="10">
        <f t="shared" si="438"/>
        <v>0.25</v>
      </c>
      <c r="P1137" s="10">
        <f t="shared" si="438"/>
        <v>0.5</v>
      </c>
      <c r="Q1137" s="40">
        <f t="shared" si="435"/>
        <v>9.4666666666666663E-2</v>
      </c>
      <c r="R1137" s="21">
        <f>IF(D1137&gt;21,VLOOKUP(D1137,Barem!$T$1:$U$141,2,1),0)</f>
        <v>0</v>
      </c>
      <c r="S1137" s="152">
        <f>IF(D1137&lt;1.609,0,IF(B1137="F",VLOOKUP(I1137,Barem!$X$2:$Z$13,2,1),VLOOKUP(I1137,Barem!$X$14:$Z$25,2,1)))</f>
        <v>0</v>
      </c>
      <c r="T1137" s="21">
        <f>VLOOKUP(A1137,Participanti!A:C,3,0)</f>
        <v>0</v>
      </c>
      <c r="U1137" s="18">
        <f t="shared" si="436"/>
        <v>3.2196666666666665</v>
      </c>
      <c r="V1137" s="58" t="s">
        <v>508</v>
      </c>
      <c r="W1137" s="77">
        <f t="shared" si="405"/>
        <v>1</v>
      </c>
      <c r="X1137" s="1" t="str">
        <f>VLOOKUP(A1137,Data_Echipe!A:R,18,0)</f>
        <v>MedgidiaRunning</v>
      </c>
      <c r="Z1137" s="115">
        <f t="shared" si="437"/>
        <v>1</v>
      </c>
      <c r="AA1137" s="159"/>
    </row>
    <row r="1138" spans="1:27" x14ac:dyDescent="0.3">
      <c r="A1138" s="49" t="s">
        <v>120</v>
      </c>
      <c r="B1138" s="1" t="str">
        <f>VLOOKUP(A1138,Participanti!A:B,2,0)</f>
        <v>M</v>
      </c>
      <c r="C1138" s="74">
        <v>14</v>
      </c>
      <c r="D1138" s="50">
        <v>20.010000000000002</v>
      </c>
      <c r="E1138" s="51">
        <v>6.7349537037037041E-2</v>
      </c>
      <c r="F1138" s="51">
        <v>7.363425925925926E-2</v>
      </c>
      <c r="G1138" s="69">
        <f t="shared" si="431"/>
        <v>7.0491898148148158E-2</v>
      </c>
      <c r="H1138" s="52"/>
      <c r="I1138" s="12">
        <f t="shared" si="432"/>
        <v>3.5228334906620765E-3</v>
      </c>
      <c r="J1138" s="37">
        <f t="shared" si="433"/>
        <v>4.7642857142857142</v>
      </c>
      <c r="K1138" s="37">
        <f>IF(J1138=0,0,IF(B1138="F",VLOOKUP(I1138,Barem!$G$2:$H$16,2,1),VLOOKUP(I1138,Barem!$G$17:$H$31,2,1)))</f>
        <v>2.5</v>
      </c>
      <c r="L1138" s="50">
        <v>2</v>
      </c>
      <c r="M1138" s="124" t="s">
        <v>207</v>
      </c>
      <c r="N1138" s="10">
        <f t="shared" si="438"/>
        <v>0.25</v>
      </c>
      <c r="O1138" s="10">
        <f t="shared" si="438"/>
        <v>0.25</v>
      </c>
      <c r="P1138" s="10">
        <f t="shared" si="438"/>
        <v>0.5</v>
      </c>
      <c r="Q1138" s="40">
        <f t="shared" si="435"/>
        <v>0</v>
      </c>
      <c r="R1138" s="21">
        <f>IF(D1138&gt;21,VLOOKUP(D1138,Barem!$T$1:$U$141,2,1),0)</f>
        <v>0</v>
      </c>
      <c r="S1138" s="152">
        <f>IF(D1138&lt;1.609,0,IF(B1138="F",VLOOKUP(I1138,Barem!$X$2:$Z$13,2,1),VLOOKUP(I1138,Barem!$X$14:$Z$25,2,1)))</f>
        <v>0</v>
      </c>
      <c r="T1138" s="21">
        <f>VLOOKUP(A1138,Participanti!A:C,3,0)</f>
        <v>0</v>
      </c>
      <c r="U1138" s="18">
        <f t="shared" si="436"/>
        <v>2.8160714285714286</v>
      </c>
      <c r="V1138" s="58" t="s">
        <v>502</v>
      </c>
      <c r="W1138" s="77">
        <f t="shared" si="405"/>
        <v>1</v>
      </c>
      <c r="X1138" s="1" t="str">
        <f>VLOOKUP(A1138,Data_Echipe!A:R,18,0)</f>
        <v>Almost Kenyan Runners</v>
      </c>
      <c r="Z1138" s="115">
        <f t="shared" si="437"/>
        <v>1</v>
      </c>
    </row>
    <row r="1139" spans="1:27" x14ac:dyDescent="0.3">
      <c r="A1139" s="49" t="s">
        <v>47</v>
      </c>
      <c r="B1139" s="1" t="str">
        <f>VLOOKUP(A1139,Participanti!A:B,2,0)</f>
        <v>M</v>
      </c>
      <c r="C1139" s="74">
        <v>14</v>
      </c>
      <c r="D1139" s="50">
        <v>15.27</v>
      </c>
      <c r="E1139" s="51">
        <v>5.212962962962963E-2</v>
      </c>
      <c r="F1139" s="51">
        <v>5.2824074074074079E-2</v>
      </c>
      <c r="G1139" s="69">
        <f t="shared" si="431"/>
        <v>5.2476851851851858E-2</v>
      </c>
      <c r="H1139" s="52">
        <v>17</v>
      </c>
      <c r="I1139" s="12">
        <f t="shared" si="432"/>
        <v>3.4365980256615492E-3</v>
      </c>
      <c r="J1139" s="37">
        <f t="shared" si="433"/>
        <v>3.6357142857142857</v>
      </c>
      <c r="K1139" s="37">
        <f>IF(J1139=0,0,IF(B1139="F",VLOOKUP(I1139,Barem!$G$2:$H$16,2,1),VLOOKUP(I1139,Barem!$G$17:$H$31,2,1)))</f>
        <v>3</v>
      </c>
      <c r="L1139" s="50">
        <v>0.5</v>
      </c>
      <c r="M1139" s="124" t="s">
        <v>107</v>
      </c>
      <c r="N1139" s="10">
        <f t="shared" si="438"/>
        <v>0.25</v>
      </c>
      <c r="O1139" s="10">
        <f t="shared" si="438"/>
        <v>0.5</v>
      </c>
      <c r="P1139" s="10">
        <f t="shared" si="438"/>
        <v>0.25</v>
      </c>
      <c r="Q1139" s="40">
        <f t="shared" si="435"/>
        <v>0</v>
      </c>
      <c r="R1139" s="21">
        <f>IF(D1139&gt;21,VLOOKUP(D1139,Barem!$T$1:$U$141,2,1),0)</f>
        <v>0</v>
      </c>
      <c r="S1139" s="152">
        <f>IF(D1139&lt;1.609,0,IF(B1139="F",VLOOKUP(I1139,Barem!$X$2:$Z$13,2,1),VLOOKUP(I1139,Barem!$X$14:$Z$25,2,1)))</f>
        <v>0</v>
      </c>
      <c r="T1139" s="21">
        <f>VLOOKUP(A1139,Participanti!A:C,3,0)</f>
        <v>0</v>
      </c>
      <c r="U1139" s="18">
        <f t="shared" si="436"/>
        <v>2.5339285714285715</v>
      </c>
      <c r="V1139" s="58" t="s">
        <v>502</v>
      </c>
      <c r="W1139" s="77">
        <f t="shared" si="405"/>
        <v>1</v>
      </c>
      <c r="X1139" s="1" t="str">
        <f>VLOOKUP(A1139,Data_Echipe!A:R,18,0)</f>
        <v>The GOATs</v>
      </c>
      <c r="Z1139" s="115">
        <f t="shared" si="437"/>
        <v>1</v>
      </c>
    </row>
    <row r="1140" spans="1:27" ht="14.5" x14ac:dyDescent="0.35">
      <c r="A1140" s="49" t="s">
        <v>124</v>
      </c>
      <c r="B1140" s="1" t="str">
        <f>VLOOKUP(A1140,Participanti!A:B,2,0)</f>
        <v>M</v>
      </c>
      <c r="C1140" s="74">
        <v>14</v>
      </c>
      <c r="D1140" s="50">
        <v>15.01</v>
      </c>
      <c r="E1140" s="51">
        <v>3.5740740740740747E-2</v>
      </c>
      <c r="F1140" s="51">
        <v>3.5740740740740747E-2</v>
      </c>
      <c r="G1140" s="69">
        <f t="shared" si="431"/>
        <v>3.5740740740740747E-2</v>
      </c>
      <c r="H1140" s="52">
        <v>70</v>
      </c>
      <c r="I1140" s="12">
        <f t="shared" si="432"/>
        <v>2.3811286302958526E-3</v>
      </c>
      <c r="J1140" s="37">
        <f t="shared" si="433"/>
        <v>3.5738095238095235</v>
      </c>
      <c r="K1140" s="37">
        <f>IF(J1140=0,0,IF(B1140="F",VLOOKUP(I1140,Barem!$G$2:$H$16,2,1),VLOOKUP(I1140,Barem!$G$17:$H$31,2,1)))</f>
        <v>5</v>
      </c>
      <c r="L1140" s="50">
        <v>4.5</v>
      </c>
      <c r="M1140" s="124" t="s">
        <v>107</v>
      </c>
      <c r="N1140" s="10">
        <f t="shared" si="438"/>
        <v>0.25</v>
      </c>
      <c r="O1140" s="10">
        <f t="shared" si="438"/>
        <v>0.5</v>
      </c>
      <c r="P1140" s="10">
        <f t="shared" si="438"/>
        <v>0.25</v>
      </c>
      <c r="Q1140" s="40">
        <f t="shared" si="435"/>
        <v>4.6666666666666669E-2</v>
      </c>
      <c r="R1140" s="21">
        <f>IF(D1140&gt;21,VLOOKUP(D1140,Barem!$T$1:$U$141,2,1),0)</f>
        <v>0</v>
      </c>
      <c r="S1140" s="152">
        <f>IF(D1140&lt;1.609,0,IF(B1140="F",VLOOKUP(I1140,Barem!$X$2:$Z$13,2,1),VLOOKUP(I1140,Barem!$X$14:$Z$25,2,1)))</f>
        <v>5.4</v>
      </c>
      <c r="T1140" s="21">
        <f>VLOOKUP(A1140,Participanti!A:C,3,0)</f>
        <v>0</v>
      </c>
      <c r="U1140" s="18">
        <f t="shared" si="436"/>
        <v>9.9651190476190479</v>
      </c>
      <c r="V1140" s="58" t="s">
        <v>507</v>
      </c>
      <c r="W1140" s="77">
        <f t="shared" si="405"/>
        <v>1</v>
      </c>
      <c r="X1140" s="1" t="str">
        <f>VLOOKUP(A1140,Data_Echipe!A:R,18,0)</f>
        <v>#notSYRious</v>
      </c>
      <c r="Z1140" s="115">
        <f t="shared" si="437"/>
        <v>1</v>
      </c>
      <c r="AA1140" s="159"/>
    </row>
    <row r="1141" spans="1:27" x14ac:dyDescent="0.3">
      <c r="A1141" s="49" t="s">
        <v>296</v>
      </c>
      <c r="B1141" s="1" t="str">
        <f>VLOOKUP(A1141,Participanti!A:B,2,0)</f>
        <v>M</v>
      </c>
      <c r="C1141" s="74">
        <v>14</v>
      </c>
      <c r="D1141" s="50">
        <f>6.17+6.19</f>
        <v>12.36</v>
      </c>
      <c r="E1141" s="51">
        <v>7.2303240740740737E-2</v>
      </c>
      <c r="F1141" s="51">
        <v>8.3472222222222225E-2</v>
      </c>
      <c r="G1141" s="69">
        <f t="shared" si="431"/>
        <v>7.7887731481481481E-2</v>
      </c>
      <c r="H1141" s="52">
        <f>92+92</f>
        <v>184</v>
      </c>
      <c r="I1141" s="12">
        <f t="shared" si="432"/>
        <v>6.3015963981781133E-3</v>
      </c>
      <c r="J1141" s="37">
        <f t="shared" si="433"/>
        <v>2.9428571428571426</v>
      </c>
      <c r="K1141" s="37">
        <f>IF(J1141=0,0,IF(B1141="F",VLOOKUP(I1141,Barem!$G$2:$H$16,2,1),VLOOKUP(I1141,Barem!$G$17:$H$31,2,1)))</f>
        <v>0</v>
      </c>
      <c r="L1141" s="50">
        <v>3</v>
      </c>
      <c r="M1141" s="124" t="s">
        <v>107</v>
      </c>
      <c r="N1141" s="10">
        <f t="shared" si="438"/>
        <v>0.25</v>
      </c>
      <c r="O1141" s="10">
        <f t="shared" si="438"/>
        <v>0.5</v>
      </c>
      <c r="P1141" s="10">
        <f t="shared" si="438"/>
        <v>0.25</v>
      </c>
      <c r="Q1141" s="40">
        <f t="shared" si="435"/>
        <v>0.12266666666666666</v>
      </c>
      <c r="R1141" s="21">
        <f>IF(D1141&gt;21,VLOOKUP(D1141,Barem!$T$1:$U$141,2,1),0)</f>
        <v>0</v>
      </c>
      <c r="S1141" s="152">
        <f>IF(D1141&lt;1.609,0,IF(B1141="F",VLOOKUP(I1141,Barem!$X$2:$Z$13,2,1),VLOOKUP(I1141,Barem!$X$14:$Z$25,2,1)))</f>
        <v>0</v>
      </c>
      <c r="T1141" s="21">
        <f>VLOOKUP(A1141,Participanti!A:C,3,0)</f>
        <v>0</v>
      </c>
      <c r="U1141" s="18">
        <f t="shared" si="436"/>
        <v>1.6083809523809525</v>
      </c>
      <c r="V1141" s="58" t="s">
        <v>502</v>
      </c>
      <c r="W1141" s="77">
        <f t="shared" si="405"/>
        <v>1</v>
      </c>
      <c r="X1141" s="1" t="str">
        <f>VLOOKUP(A1141,Data_Echipe!A:R,18,0)</f>
        <v>MedgidiaRunning</v>
      </c>
      <c r="Z1141" s="115">
        <f t="shared" si="437"/>
        <v>0</v>
      </c>
    </row>
    <row r="1142" spans="1:27" ht="14.5" x14ac:dyDescent="0.35">
      <c r="A1142" s="49" t="s">
        <v>355</v>
      </c>
      <c r="B1142" s="1" t="str">
        <f>VLOOKUP(A1142,Participanti!A:B,2,0)</f>
        <v>F</v>
      </c>
      <c r="C1142" s="74">
        <v>14</v>
      </c>
      <c r="D1142" s="50">
        <v>4.82</v>
      </c>
      <c r="E1142" s="51">
        <v>2.0104166666666666E-2</v>
      </c>
      <c r="F1142" s="51">
        <v>2.0104166666666666E-2</v>
      </c>
      <c r="G1142" s="69">
        <f t="shared" si="431"/>
        <v>2.0104166666666666E-2</v>
      </c>
      <c r="H1142" s="52">
        <v>13</v>
      </c>
      <c r="I1142" s="12">
        <f t="shared" si="432"/>
        <v>4.1709889349930843E-3</v>
      </c>
      <c r="J1142" s="37">
        <f t="shared" si="433"/>
        <v>1.2050000000000001</v>
      </c>
      <c r="K1142" s="37">
        <f>IF(J1142=0,0,IF(B1142="F",VLOOKUP(I1142,Barem!$G$2:$H$16,2,1),VLOOKUP(I1142,Barem!$G$17:$H$31,2,1)))</f>
        <v>2</v>
      </c>
      <c r="L1142" s="50">
        <v>4.5</v>
      </c>
      <c r="M1142" s="124" t="s">
        <v>107</v>
      </c>
      <c r="N1142" s="10">
        <f t="shared" si="438"/>
        <v>0.25</v>
      </c>
      <c r="O1142" s="10">
        <f t="shared" si="438"/>
        <v>0.5</v>
      </c>
      <c r="P1142" s="10">
        <f t="shared" si="438"/>
        <v>0.25</v>
      </c>
      <c r="Q1142" s="40">
        <f t="shared" si="435"/>
        <v>0</v>
      </c>
      <c r="R1142" s="21">
        <f>IF(D1142&gt;21,VLOOKUP(D1142,Barem!$T$1:$U$141,2,1),0)</f>
        <v>0</v>
      </c>
      <c r="S1142" s="152">
        <f>IF(D1142&lt;1.609,0,IF(B1142="F",VLOOKUP(I1142,Barem!$X$2:$Z$13,2,1),VLOOKUP(I1142,Barem!$X$14:$Z$25,2,1)))</f>
        <v>0</v>
      </c>
      <c r="T1142" s="21">
        <f>VLOOKUP(A1142,Participanti!A:C,3,0)</f>
        <v>0</v>
      </c>
      <c r="U1142" s="18">
        <f t="shared" si="436"/>
        <v>2.42625</v>
      </c>
      <c r="V1142" s="58" t="s">
        <v>505</v>
      </c>
      <c r="W1142" s="77">
        <f t="shared" si="405"/>
        <v>1</v>
      </c>
      <c r="X1142" s="1" t="str">
        <f>VLOOKUP(A1142,Data_Echipe!A:R,18,0)</f>
        <v>#notSYRious</v>
      </c>
      <c r="Z1142" s="115">
        <f t="shared" si="437"/>
        <v>1</v>
      </c>
      <c r="AA1142" s="159"/>
    </row>
    <row r="1143" spans="1:27" x14ac:dyDescent="0.3">
      <c r="A1143" s="49" t="s">
        <v>344</v>
      </c>
      <c r="B1143" s="1" t="str">
        <f>VLOOKUP(A1143,Participanti!A:B,2,0)</f>
        <v>F</v>
      </c>
      <c r="C1143" s="74">
        <v>14</v>
      </c>
      <c r="D1143" s="50">
        <v>20.03</v>
      </c>
      <c r="E1143" s="51">
        <v>8.0393518518518517E-2</v>
      </c>
      <c r="F1143" s="51">
        <v>8.0659722222222216E-2</v>
      </c>
      <c r="G1143" s="69">
        <f t="shared" si="431"/>
        <v>8.0526620370370366E-2</v>
      </c>
      <c r="H1143" s="52">
        <v>52</v>
      </c>
      <c r="I1143" s="12">
        <f t="shared" si="432"/>
        <v>4.0203005676670176E-3</v>
      </c>
      <c r="J1143" s="37">
        <f t="shared" si="433"/>
        <v>5</v>
      </c>
      <c r="K1143" s="37">
        <f>IF(J1143=0,0,IF(B1143="F",VLOOKUP(I1143,Barem!$G$2:$H$16,2,1),VLOOKUP(I1143,Barem!$G$17:$H$31,2,1)))</f>
        <v>2</v>
      </c>
      <c r="L1143" s="50">
        <v>4</v>
      </c>
      <c r="M1143" s="124" t="s">
        <v>107</v>
      </c>
      <c r="N1143" s="10">
        <f t="shared" si="438"/>
        <v>0.25</v>
      </c>
      <c r="O1143" s="10">
        <f t="shared" si="438"/>
        <v>0.5</v>
      </c>
      <c r="P1143" s="10">
        <f t="shared" si="438"/>
        <v>0.25</v>
      </c>
      <c r="Q1143" s="40">
        <f t="shared" si="435"/>
        <v>3.4666666666666665E-2</v>
      </c>
      <c r="R1143" s="21">
        <f>IF(D1143&gt;21,VLOOKUP(D1143,Barem!$T$1:$U$141,2,1),0)</f>
        <v>0</v>
      </c>
      <c r="S1143" s="152">
        <f>IF(D1143&lt;1.609,0,IF(B1143="F",VLOOKUP(I1143,Barem!$X$2:$Z$13,2,1),VLOOKUP(I1143,Barem!$X$14:$Z$25,2,1)))</f>
        <v>0</v>
      </c>
      <c r="T1143" s="21">
        <f>VLOOKUP(A1143,Participanti!A:C,3,0)</f>
        <v>0</v>
      </c>
      <c r="U1143" s="18">
        <f t="shared" si="436"/>
        <v>3.2846666666666668</v>
      </c>
      <c r="V1143" s="58" t="s">
        <v>502</v>
      </c>
      <c r="W1143" s="77">
        <f t="shared" si="405"/>
        <v>1</v>
      </c>
      <c r="X1143" s="1" t="e">
        <f>VLOOKUP(A1143,Data_Echipe!A:R,18,0)</f>
        <v>#N/A</v>
      </c>
      <c r="Z1143" s="115">
        <f t="shared" si="437"/>
        <v>1</v>
      </c>
    </row>
    <row r="1144" spans="1:27" x14ac:dyDescent="0.3">
      <c r="A1144" s="49" t="s">
        <v>58</v>
      </c>
      <c r="B1144" s="1" t="str">
        <f>VLOOKUP(A1144,Participanti!A:B,2,0)</f>
        <v>M</v>
      </c>
      <c r="C1144" s="74">
        <v>14</v>
      </c>
      <c r="D1144" s="50">
        <v>10.02</v>
      </c>
      <c r="E1144" s="51">
        <v>4.5717592592592594E-2</v>
      </c>
      <c r="F1144" s="51">
        <v>4.5717592592592594E-2</v>
      </c>
      <c r="G1144" s="69">
        <f t="shared" si="431"/>
        <v>4.5717592592592594E-2</v>
      </c>
      <c r="H1144" s="52"/>
      <c r="I1144" s="12">
        <f t="shared" si="432"/>
        <v>4.5626339912767065E-3</v>
      </c>
      <c r="J1144" s="37">
        <f t="shared" si="433"/>
        <v>2.3857142857142857</v>
      </c>
      <c r="K1144" s="37">
        <f>IF(J1144=0,0,IF(B1144="F",VLOOKUP(I1144,Barem!$G$2:$H$16,2,1),VLOOKUP(I1144,Barem!$G$17:$H$31,2,1)))</f>
        <v>0.75</v>
      </c>
      <c r="L1144" s="50">
        <v>0</v>
      </c>
      <c r="M1144" s="124" t="s">
        <v>106</v>
      </c>
      <c r="N1144" s="10">
        <f t="shared" si="438"/>
        <v>0.5</v>
      </c>
      <c r="O1144" s="10">
        <f t="shared" si="438"/>
        <v>0.25</v>
      </c>
      <c r="P1144" s="10">
        <f t="shared" si="438"/>
        <v>0.25</v>
      </c>
      <c r="Q1144" s="40">
        <f t="shared" si="435"/>
        <v>0</v>
      </c>
      <c r="R1144" s="21">
        <f>IF(D1144&gt;21,VLOOKUP(D1144,Barem!$T$1:$U$141,2,1),0)</f>
        <v>0</v>
      </c>
      <c r="S1144" s="152">
        <f>IF(D1144&lt;1.609,0,IF(B1144="F",VLOOKUP(I1144,Barem!$X$2:$Z$13,2,1),VLOOKUP(I1144,Barem!$X$14:$Z$25,2,1)))</f>
        <v>0</v>
      </c>
      <c r="T1144" s="21">
        <f>VLOOKUP(A1144,Participanti!A:C,3,0)</f>
        <v>0</v>
      </c>
      <c r="U1144" s="18">
        <f t="shared" si="436"/>
        <v>1.3803571428571428</v>
      </c>
      <c r="V1144" s="58" t="s">
        <v>508</v>
      </c>
      <c r="W1144" s="77">
        <f t="shared" si="405"/>
        <v>1</v>
      </c>
      <c r="X1144" s="1" t="e">
        <f>VLOOKUP(A1144,Data_Echipe!A:R,18,0)</f>
        <v>#N/A</v>
      </c>
      <c r="Z1144" s="115">
        <f t="shared" si="437"/>
        <v>1</v>
      </c>
    </row>
    <row r="1145" spans="1:27" x14ac:dyDescent="0.3">
      <c r="A1145" s="49" t="s">
        <v>333</v>
      </c>
      <c r="B1145" s="1" t="str">
        <f>VLOOKUP(A1145,Participanti!A:B,2,0)</f>
        <v>M</v>
      </c>
      <c r="C1145" s="74">
        <v>14</v>
      </c>
      <c r="D1145" s="50">
        <v>3.02</v>
      </c>
      <c r="E1145" s="51">
        <v>1.037037037037037E-2</v>
      </c>
      <c r="F1145" s="51">
        <v>1.0405092592592593E-2</v>
      </c>
      <c r="G1145" s="69">
        <f t="shared" ref="G1145:G1176" si="439">AVERAGE(E1145:F1145)</f>
        <v>1.038773148148148E-2</v>
      </c>
      <c r="H1145" s="52">
        <v>0</v>
      </c>
      <c r="I1145" s="12">
        <f t="shared" si="432"/>
        <v>3.4396461859210201E-3</v>
      </c>
      <c r="J1145" s="37">
        <f t="shared" ref="J1145:J1176" si="440">IF(B1145="F",IF(D1145&lt;2.5,0,IF(D1145&gt;19.99,5,D1145/4)),IF(D1145&lt;3,0, IF(D1145&gt;20.99,5,D1145/4.2)))</f>
        <v>0.71904761904761905</v>
      </c>
      <c r="K1145" s="37">
        <f>IF(J1145=0,0,IF(B1145="F",VLOOKUP(I1145,Barem!$G$2:$H$16,2,1),VLOOKUP(I1145,Barem!$G$17:$H$31,2,1)))</f>
        <v>3</v>
      </c>
      <c r="L1145" s="50">
        <v>0</v>
      </c>
      <c r="M1145" s="124" t="s">
        <v>107</v>
      </c>
      <c r="N1145" s="10">
        <f t="shared" si="438"/>
        <v>0.25</v>
      </c>
      <c r="O1145" s="10">
        <f t="shared" si="438"/>
        <v>0.5</v>
      </c>
      <c r="P1145" s="10">
        <f t="shared" si="438"/>
        <v>0.25</v>
      </c>
      <c r="Q1145" s="40">
        <f t="shared" ref="Q1145:Q1176" si="441">IF(H1145&gt;49,H1145/1500,0)</f>
        <v>0</v>
      </c>
      <c r="R1145" s="21">
        <f>IF(D1145&gt;21,VLOOKUP(D1145,Barem!$T$1:$U$141,2,1),0)</f>
        <v>0</v>
      </c>
      <c r="S1145" s="152">
        <f>IF(D1145&lt;1.609,0,IF(B1145="F",VLOOKUP(I1145,Barem!$X$2:$Z$13,2,1),VLOOKUP(I1145,Barem!$X$14:$Z$25,2,1)))</f>
        <v>0</v>
      </c>
      <c r="T1145" s="21">
        <f>VLOOKUP(A1145,Participanti!A:C,3,0)</f>
        <v>0</v>
      </c>
      <c r="U1145" s="18">
        <f t="shared" si="436"/>
        <v>1.6797619047619048</v>
      </c>
      <c r="V1145" s="58" t="s">
        <v>506</v>
      </c>
      <c r="W1145" s="77">
        <f t="shared" si="405"/>
        <v>1</v>
      </c>
      <c r="X1145" s="1" t="str">
        <f>VLOOKUP(A1145,Data_Echipe!A:R,18,0)</f>
        <v>UltraHaita lu' Borcan</v>
      </c>
      <c r="Z1145" s="115">
        <f t="shared" ref="Z1145:Z1176" si="442">IF(K1145&gt;0,1,0)</f>
        <v>1</v>
      </c>
    </row>
    <row r="1146" spans="1:27" x14ac:dyDescent="0.3">
      <c r="A1146" s="132" t="s">
        <v>288</v>
      </c>
      <c r="B1146" s="133" t="str">
        <f>VLOOKUP(A1146,Participanti!A:B,2,0)</f>
        <v>M</v>
      </c>
      <c r="C1146" s="134">
        <v>14</v>
      </c>
      <c r="D1146" s="135">
        <v>0</v>
      </c>
      <c r="E1146" s="136">
        <v>0</v>
      </c>
      <c r="F1146" s="136">
        <v>0</v>
      </c>
      <c r="G1146" s="137">
        <f t="shared" si="439"/>
        <v>0</v>
      </c>
      <c r="H1146" s="138"/>
      <c r="I1146" s="139">
        <v>0</v>
      </c>
      <c r="J1146" s="140">
        <f t="shared" si="440"/>
        <v>0</v>
      </c>
      <c r="K1146" s="140">
        <f>IF(J1146=0,0,IF(B1146="F",VLOOKUP(I1146,Barem!$G$2:$H$16,2,1),VLOOKUP(I1146,Barem!$G$17:$H$31,2,1)))</f>
        <v>0</v>
      </c>
      <c r="L1146" s="135">
        <v>0</v>
      </c>
      <c r="M1146" s="141" t="s">
        <v>459</v>
      </c>
      <c r="N1146" s="142">
        <f t="shared" si="438"/>
        <v>0.25</v>
      </c>
      <c r="O1146" s="142">
        <f t="shared" si="438"/>
        <v>0.25</v>
      </c>
      <c r="P1146" s="142">
        <f t="shared" si="438"/>
        <v>0.25</v>
      </c>
      <c r="Q1146" s="143">
        <f t="shared" si="441"/>
        <v>0</v>
      </c>
      <c r="R1146" s="144">
        <f>IF(D1146&gt;21,VLOOKUP(D1146,Barem!$T$1:$U$141,2,1),0)</f>
        <v>0</v>
      </c>
      <c r="S1146" s="156">
        <f>IF(D1146&lt;1.609,0,IF(B1146="F",VLOOKUP(I1146,Barem!$X$2:$Z$13,2,1),VLOOKUP(I1146,Barem!$X$14:$Z$25,2,1)))</f>
        <v>0</v>
      </c>
      <c r="T1146" s="144">
        <f>VLOOKUP(A1146,Participanti!A:C,3,0)</f>
        <v>0</v>
      </c>
      <c r="U1146" s="143">
        <v>1.5</v>
      </c>
      <c r="V1146" s="145" t="s">
        <v>502</v>
      </c>
      <c r="W1146" s="146">
        <f t="shared" si="405"/>
        <v>1</v>
      </c>
      <c r="X1146" s="133" t="e">
        <f>VLOOKUP(A1146,Data_Echipe!A:R,18,0)</f>
        <v>#N/A</v>
      </c>
      <c r="Y1146" s="133"/>
      <c r="Z1146" s="147">
        <f t="shared" si="442"/>
        <v>0</v>
      </c>
      <c r="AA1146" s="133"/>
    </row>
    <row r="1147" spans="1:27" ht="14.5" x14ac:dyDescent="0.35">
      <c r="A1147" s="49" t="s">
        <v>332</v>
      </c>
      <c r="B1147" s="1" t="str">
        <f>VLOOKUP(A1147,Participanti!A:B,2,0)</f>
        <v>M</v>
      </c>
      <c r="C1147" s="74">
        <v>14</v>
      </c>
      <c r="D1147" s="50">
        <v>10.01</v>
      </c>
      <c r="E1147" s="51">
        <v>3.3622685185185179E-2</v>
      </c>
      <c r="F1147" s="51">
        <v>3.650462962962963E-2</v>
      </c>
      <c r="G1147" s="69">
        <f t="shared" si="439"/>
        <v>3.5063657407407404E-2</v>
      </c>
      <c r="H1147" s="52">
        <v>10</v>
      </c>
      <c r="I1147" s="12">
        <f>G1147/D1147</f>
        <v>3.5028628778628777E-3</v>
      </c>
      <c r="J1147" s="37">
        <f t="shared" si="440"/>
        <v>2.3833333333333333</v>
      </c>
      <c r="K1147" s="37">
        <f>IF(J1147=0,0,IF(B1147="F",VLOOKUP(I1147,Barem!$G$2:$H$16,2,1),VLOOKUP(I1147,Barem!$G$17:$H$31,2,1)))</f>
        <v>2.5</v>
      </c>
      <c r="L1147" s="50">
        <v>3</v>
      </c>
      <c r="M1147" s="124" t="s">
        <v>107</v>
      </c>
      <c r="N1147" s="10">
        <f t="shared" si="438"/>
        <v>0.25</v>
      </c>
      <c r="O1147" s="10">
        <f t="shared" si="438"/>
        <v>0.5</v>
      </c>
      <c r="P1147" s="10">
        <f t="shared" si="438"/>
        <v>0.25</v>
      </c>
      <c r="Q1147" s="40">
        <f t="shared" si="441"/>
        <v>0</v>
      </c>
      <c r="R1147" s="21">
        <f>IF(D1147&gt;21,VLOOKUP(D1147,Barem!$T$1:$U$141,2,1),0)</f>
        <v>0</v>
      </c>
      <c r="S1147" s="152">
        <f>IF(D1147&lt;1.609,0,IF(B1147="F",VLOOKUP(I1147,Barem!$X$2:$Z$13,2,1),VLOOKUP(I1147,Barem!$X$14:$Z$25,2,1)))</f>
        <v>0</v>
      </c>
      <c r="T1147" s="21">
        <f>VLOOKUP(A1147,Participanti!A:C,3,0)</f>
        <v>0.4</v>
      </c>
      <c r="U1147" s="18">
        <f>IF(H1147&lt;0,0,J1147*N1147+K1147*O1147+L1147*P1147+Q1147+R1147+S1147+T1147)</f>
        <v>2.9958333333333331</v>
      </c>
      <c r="V1147" s="58" t="s">
        <v>505</v>
      </c>
      <c r="W1147" s="77">
        <f t="shared" si="405"/>
        <v>1</v>
      </c>
      <c r="X1147" s="1" t="str">
        <f>VLOOKUP(A1147,Data_Echipe!A:R,18,0)</f>
        <v>MedgidiaRunning</v>
      </c>
      <c r="Z1147" s="115">
        <f t="shared" si="442"/>
        <v>1</v>
      </c>
      <c r="AA1147" s="159"/>
    </row>
    <row r="1148" spans="1:27" x14ac:dyDescent="0.3">
      <c r="A1148" s="49" t="s">
        <v>128</v>
      </c>
      <c r="B1148" s="1" t="str">
        <f>VLOOKUP(A1148,Participanti!A:B,2,0)</f>
        <v>M</v>
      </c>
      <c r="C1148" s="74">
        <v>14</v>
      </c>
      <c r="D1148" s="50">
        <v>42.69</v>
      </c>
      <c r="E1148" s="51">
        <v>0.14255787037037038</v>
      </c>
      <c r="F1148" s="51">
        <v>0.14261574074074074</v>
      </c>
      <c r="G1148" s="69">
        <f t="shared" si="439"/>
        <v>0.14258680555555556</v>
      </c>
      <c r="H1148" s="52"/>
      <c r="I1148" s="12">
        <f>G1148/D1148</f>
        <v>3.340051664454335E-3</v>
      </c>
      <c r="J1148" s="37">
        <f t="shared" si="440"/>
        <v>5</v>
      </c>
      <c r="K1148" s="37">
        <f>IF(J1148=0,0,IF(B1148="F",VLOOKUP(I1148,Barem!$G$2:$H$16,2,1),VLOOKUP(I1148,Barem!$G$17:$H$31,2,1)))</f>
        <v>3</v>
      </c>
      <c r="L1148" s="50">
        <v>1</v>
      </c>
      <c r="M1148" s="124" t="s">
        <v>107</v>
      </c>
      <c r="N1148" s="10">
        <f t="shared" si="438"/>
        <v>0.25</v>
      </c>
      <c r="O1148" s="10">
        <f t="shared" si="438"/>
        <v>0.5</v>
      </c>
      <c r="P1148" s="10">
        <f t="shared" si="438"/>
        <v>0.25</v>
      </c>
      <c r="Q1148" s="40">
        <f t="shared" si="441"/>
        <v>0</v>
      </c>
      <c r="R1148" s="21">
        <f>IF(D1148&gt;21,VLOOKUP(D1148,Barem!$T$1:$U$141,2,1),0)</f>
        <v>1</v>
      </c>
      <c r="S1148" s="152">
        <f>IF(D1148&lt;1.609,0,IF(B1148="F",VLOOKUP(I1148,Barem!$X$2:$Z$13,2,1),VLOOKUP(I1148,Barem!$X$14:$Z$25,2,1)))</f>
        <v>0</v>
      </c>
      <c r="T1148" s="21">
        <f>VLOOKUP(A1148,Participanti!A:C,3,0)</f>
        <v>0</v>
      </c>
      <c r="U1148" s="18">
        <f>IF(H1148&lt;0,0,J1148*N1148+K1148*O1148+L1148*P1148+Q1148+R1148+S1148+T1148)</f>
        <v>4</v>
      </c>
      <c r="V1148" s="58" t="s">
        <v>502</v>
      </c>
      <c r="W1148" s="77">
        <f t="shared" si="405"/>
        <v>1</v>
      </c>
      <c r="X1148" s="1" t="str">
        <f>VLOOKUP(A1148,Data_Echipe!A:R,18,0)</f>
        <v>Almost Kenyan Runners</v>
      </c>
      <c r="Z1148" s="115">
        <f t="shared" si="442"/>
        <v>1</v>
      </c>
    </row>
    <row r="1149" spans="1:27" x14ac:dyDescent="0.3">
      <c r="A1149" s="132" t="s">
        <v>136</v>
      </c>
      <c r="B1149" s="133" t="str">
        <f>VLOOKUP(A1149,Participanti!A:B,2,0)</f>
        <v>F</v>
      </c>
      <c r="C1149" s="134">
        <v>14</v>
      </c>
      <c r="D1149" s="135">
        <v>0</v>
      </c>
      <c r="E1149" s="136">
        <v>0</v>
      </c>
      <c r="F1149" s="136">
        <v>0</v>
      </c>
      <c r="G1149" s="136">
        <f t="shared" si="439"/>
        <v>0</v>
      </c>
      <c r="H1149" s="138">
        <v>0</v>
      </c>
      <c r="I1149" s="139">
        <v>0</v>
      </c>
      <c r="J1149" s="140">
        <f t="shared" si="440"/>
        <v>0</v>
      </c>
      <c r="K1149" s="140">
        <f>IF(J1149=0,0,IF(B1149="F",VLOOKUP(I1149,Barem!$G$2:$H$16,2,1),VLOOKUP(I1149,Barem!$G$17:$H$31,2,1)))</f>
        <v>0</v>
      </c>
      <c r="L1149" s="135">
        <v>0</v>
      </c>
      <c r="M1149" s="141" t="s">
        <v>459</v>
      </c>
      <c r="N1149" s="142">
        <f t="shared" si="438"/>
        <v>0.25</v>
      </c>
      <c r="O1149" s="142">
        <f t="shared" si="438"/>
        <v>0.25</v>
      </c>
      <c r="P1149" s="142">
        <f t="shared" si="438"/>
        <v>0.25</v>
      </c>
      <c r="Q1149" s="143">
        <f t="shared" si="441"/>
        <v>0</v>
      </c>
      <c r="R1149" s="144">
        <f>IF(D1149&gt;21,VLOOKUP(D1149,Barem!$T$1:$U$141,2,1),0)</f>
        <v>0</v>
      </c>
      <c r="S1149" s="156">
        <f>IF(D1149&lt;1.609,0,IF(B1149="F",VLOOKUP(I1149,Barem!$X$2:$Z$13,2,1),VLOOKUP(I1149,Barem!$X$14:$Z$25,2,1)))</f>
        <v>0</v>
      </c>
      <c r="T1149" s="144">
        <f>VLOOKUP(A1149,Participanti!A:C,3,0)</f>
        <v>0</v>
      </c>
      <c r="U1149" s="143">
        <v>1.5</v>
      </c>
      <c r="V1149" s="145" t="s">
        <v>502</v>
      </c>
      <c r="W1149" s="146">
        <f t="shared" si="405"/>
        <v>1</v>
      </c>
      <c r="X1149" s="133" t="e">
        <f>VLOOKUP(A1149,Data_Echipe!A:R,18,0)</f>
        <v>#N/A</v>
      </c>
      <c r="Y1149" s="133"/>
      <c r="Z1149" s="147">
        <f t="shared" si="442"/>
        <v>0</v>
      </c>
      <c r="AA1149" s="133"/>
    </row>
    <row r="1150" spans="1:27" x14ac:dyDescent="0.3">
      <c r="A1150" s="49" t="s">
        <v>252</v>
      </c>
      <c r="B1150" s="1" t="str">
        <f>VLOOKUP(A1150,Participanti!A:B,2,0)</f>
        <v>M</v>
      </c>
      <c r="C1150" s="74">
        <v>14</v>
      </c>
      <c r="D1150" s="50">
        <v>12.11</v>
      </c>
      <c r="E1150" s="51">
        <v>4.5324074074074072E-2</v>
      </c>
      <c r="F1150" s="51">
        <v>4.5324074074074072E-2</v>
      </c>
      <c r="G1150" s="69">
        <f t="shared" si="439"/>
        <v>4.5324074074074072E-2</v>
      </c>
      <c r="H1150" s="52">
        <v>147</v>
      </c>
      <c r="I1150" s="12">
        <f t="shared" ref="I1150:I1183" si="443">G1150/D1150</f>
        <v>3.7426981068599567E-3</v>
      </c>
      <c r="J1150" s="37">
        <f t="shared" si="440"/>
        <v>2.8833333333333329</v>
      </c>
      <c r="K1150" s="37">
        <f>IF(J1150=0,0,IF(B1150="F",VLOOKUP(I1150,Barem!$G$2:$H$16,2,1),VLOOKUP(I1150,Barem!$G$17:$H$31,2,1)))</f>
        <v>2</v>
      </c>
      <c r="L1150" s="50">
        <v>0.5</v>
      </c>
      <c r="M1150" s="124" t="s">
        <v>207</v>
      </c>
      <c r="N1150" s="10">
        <f t="shared" si="438"/>
        <v>0.25</v>
      </c>
      <c r="O1150" s="10">
        <f t="shared" si="438"/>
        <v>0.25</v>
      </c>
      <c r="P1150" s="10">
        <f t="shared" si="438"/>
        <v>0.5</v>
      </c>
      <c r="Q1150" s="40">
        <f t="shared" si="441"/>
        <v>9.8000000000000004E-2</v>
      </c>
      <c r="R1150" s="21">
        <f>IF(D1150&gt;21,VLOOKUP(D1150,Barem!$T$1:$U$141,2,1),0)</f>
        <v>0</v>
      </c>
      <c r="S1150" s="152">
        <f>IF(D1150&lt;1.609,0,IF(B1150="F",VLOOKUP(I1150,Barem!$X$2:$Z$13,2,1),VLOOKUP(I1150,Barem!$X$14:$Z$25,2,1)))</f>
        <v>0</v>
      </c>
      <c r="T1150" s="21">
        <f>VLOOKUP(A1150,Participanti!A:C,3,0)</f>
        <v>0</v>
      </c>
      <c r="U1150" s="18">
        <f t="shared" ref="U1150:U1183" si="444">IF(H1150&lt;0,0,J1150*N1150+K1150*O1150+L1150*P1150+Q1150+R1150+S1150+T1150)</f>
        <v>1.5688333333333333</v>
      </c>
      <c r="V1150" s="58" t="s">
        <v>502</v>
      </c>
      <c r="W1150" s="77">
        <f t="shared" si="405"/>
        <v>1</v>
      </c>
      <c r="X1150" s="1" t="str">
        <f>VLOOKUP(A1150,Data_Echipe!A:R,18,0)</f>
        <v>UltraHaita lu' Borcan</v>
      </c>
      <c r="Z1150" s="115">
        <f t="shared" si="442"/>
        <v>1</v>
      </c>
    </row>
    <row r="1151" spans="1:27" ht="14.5" x14ac:dyDescent="0.35">
      <c r="A1151" s="49" t="s">
        <v>356</v>
      </c>
      <c r="B1151" s="1" t="str">
        <f>VLOOKUP(A1151,Participanti!A:B,2,0)</f>
        <v>M</v>
      </c>
      <c r="C1151" s="74">
        <v>14</v>
      </c>
      <c r="D1151" s="50">
        <v>3.58</v>
      </c>
      <c r="E1151" s="51">
        <v>1.2164351851851852E-2</v>
      </c>
      <c r="F1151" s="51">
        <v>1.2164351851851852E-2</v>
      </c>
      <c r="G1151" s="69">
        <f t="shared" si="439"/>
        <v>1.2164351851851852E-2</v>
      </c>
      <c r="H1151" s="52">
        <v>1</v>
      </c>
      <c r="I1151" s="12">
        <f t="shared" si="443"/>
        <v>3.3978636457686734E-3</v>
      </c>
      <c r="J1151" s="37">
        <f t="shared" si="440"/>
        <v>0.85238095238095235</v>
      </c>
      <c r="K1151" s="37">
        <f>IF(J1151=0,0,IF(B1151="F",VLOOKUP(I1151,Barem!$G$2:$H$16,2,1),VLOOKUP(I1151,Barem!$G$17:$H$31,2,1)))</f>
        <v>3</v>
      </c>
      <c r="L1151" s="50">
        <v>4.5</v>
      </c>
      <c r="M1151" s="124" t="s">
        <v>107</v>
      </c>
      <c r="N1151" s="10">
        <f t="shared" si="438"/>
        <v>0.25</v>
      </c>
      <c r="O1151" s="10">
        <f t="shared" si="438"/>
        <v>0.5</v>
      </c>
      <c r="P1151" s="10">
        <f t="shared" si="438"/>
        <v>0.25</v>
      </c>
      <c r="Q1151" s="40">
        <f t="shared" si="441"/>
        <v>0</v>
      </c>
      <c r="R1151" s="21">
        <f>IF(D1151&gt;21,VLOOKUP(D1151,Barem!$T$1:$U$141,2,1),0)</f>
        <v>0</v>
      </c>
      <c r="S1151" s="152">
        <f>IF(D1151&lt;1.609,0,IF(B1151="F",VLOOKUP(I1151,Barem!$X$2:$Z$13,2,1),VLOOKUP(I1151,Barem!$X$14:$Z$25,2,1)))</f>
        <v>0</v>
      </c>
      <c r="T1151" s="21">
        <f>VLOOKUP(A1151,Participanti!A:C,3,0)</f>
        <v>0</v>
      </c>
      <c r="U1151" s="18">
        <f t="shared" si="444"/>
        <v>2.8380952380952378</v>
      </c>
      <c r="V1151" s="58" t="s">
        <v>509</v>
      </c>
      <c r="W1151" s="77">
        <f t="shared" si="405"/>
        <v>1</v>
      </c>
      <c r="X1151" s="1" t="str">
        <f>VLOOKUP(A1151,Data_Echipe!A:R,18,0)</f>
        <v>MedgidiaRunning</v>
      </c>
      <c r="Z1151" s="115">
        <f t="shared" si="442"/>
        <v>1</v>
      </c>
      <c r="AA1151" s="159"/>
    </row>
    <row r="1152" spans="1:27" x14ac:dyDescent="0.3">
      <c r="A1152" s="49" t="s">
        <v>137</v>
      </c>
      <c r="B1152" s="1" t="str">
        <f>VLOOKUP(A1152,Participanti!A:B,2,0)</f>
        <v>M</v>
      </c>
      <c r="C1152" s="74">
        <v>14</v>
      </c>
      <c r="D1152" s="50">
        <v>15.23</v>
      </c>
      <c r="E1152" s="51">
        <v>5.9537037037037034E-2</v>
      </c>
      <c r="F1152" s="51">
        <v>5.9571759259259262E-2</v>
      </c>
      <c r="G1152" s="69">
        <f t="shared" si="439"/>
        <v>5.9554398148148148E-2</v>
      </c>
      <c r="H1152" s="52">
        <v>224</v>
      </c>
      <c r="I1152" s="12">
        <f t="shared" si="443"/>
        <v>3.9103347438048681E-3</v>
      </c>
      <c r="J1152" s="37">
        <f t="shared" si="440"/>
        <v>3.6261904761904762</v>
      </c>
      <c r="K1152" s="37">
        <f>IF(J1152=0,0,IF(B1152="F",VLOOKUP(I1152,Barem!$G$2:$H$16,2,1),VLOOKUP(I1152,Barem!$G$17:$H$31,2,1)))</f>
        <v>1.75</v>
      </c>
      <c r="L1152" s="50">
        <v>1</v>
      </c>
      <c r="M1152" s="124" t="s">
        <v>106</v>
      </c>
      <c r="N1152" s="10">
        <f t="shared" si="438"/>
        <v>0.5</v>
      </c>
      <c r="O1152" s="10">
        <f t="shared" si="438"/>
        <v>0.25</v>
      </c>
      <c r="P1152" s="10">
        <f t="shared" si="438"/>
        <v>0.25</v>
      </c>
      <c r="Q1152" s="40">
        <f t="shared" si="441"/>
        <v>0.14933333333333335</v>
      </c>
      <c r="R1152" s="21">
        <f>IF(D1152&gt;21,VLOOKUP(D1152,Barem!$T$1:$U$141,2,1),0)</f>
        <v>0</v>
      </c>
      <c r="S1152" s="152">
        <f>IF(D1152&lt;1.609,0,IF(B1152="F",VLOOKUP(I1152,Barem!$X$2:$Z$13,2,1),VLOOKUP(I1152,Barem!$X$14:$Z$25,2,1)))</f>
        <v>0</v>
      </c>
      <c r="T1152" s="21">
        <f>VLOOKUP(A1152,Participanti!A:C,3,0)</f>
        <v>0</v>
      </c>
      <c r="U1152" s="18">
        <f t="shared" si="444"/>
        <v>2.6499285714285716</v>
      </c>
      <c r="V1152" s="58" t="s">
        <v>505</v>
      </c>
      <c r="W1152" s="77">
        <f t="shared" si="405"/>
        <v>1</v>
      </c>
      <c r="X1152" s="1" t="str">
        <f>VLOOKUP(A1152,Data_Echipe!A:R,18,0)</f>
        <v>The GOATs</v>
      </c>
      <c r="Z1152" s="115">
        <f t="shared" si="442"/>
        <v>1</v>
      </c>
    </row>
    <row r="1153" spans="1:27" x14ac:dyDescent="0.3">
      <c r="A1153" s="49" t="s">
        <v>335</v>
      </c>
      <c r="B1153" s="1" t="str">
        <f>VLOOKUP(A1153,Participanti!A:B,2,0)</f>
        <v>M</v>
      </c>
      <c r="C1153" s="74">
        <v>14</v>
      </c>
      <c r="D1153" s="50">
        <v>3</v>
      </c>
      <c r="E1153" s="51">
        <v>8.5532407407407415E-3</v>
      </c>
      <c r="F1153" s="51">
        <v>9.1319444444444443E-3</v>
      </c>
      <c r="G1153" s="69">
        <f t="shared" si="439"/>
        <v>8.8425925925925929E-3</v>
      </c>
      <c r="H1153" s="52"/>
      <c r="I1153" s="12">
        <f t="shared" si="443"/>
        <v>2.9475308641975311E-3</v>
      </c>
      <c r="J1153" s="37">
        <f t="shared" si="440"/>
        <v>0.7142857142857143</v>
      </c>
      <c r="K1153" s="37">
        <f>IF(J1153=0,0,IF(B1153="F",VLOOKUP(I1153,Barem!$G$2:$H$16,2,1),VLOOKUP(I1153,Barem!$G$17:$H$31,2,1)))</f>
        <v>4.5</v>
      </c>
      <c r="L1153" s="50">
        <v>0</v>
      </c>
      <c r="M1153" s="124" t="s">
        <v>106</v>
      </c>
      <c r="N1153" s="10">
        <f t="shared" ref="N1153:P1172" si="445">IF($M1153=N$1,50%,25%)</f>
        <v>0.5</v>
      </c>
      <c r="O1153" s="10">
        <f t="shared" si="445"/>
        <v>0.25</v>
      </c>
      <c r="P1153" s="10">
        <f t="shared" si="445"/>
        <v>0.25</v>
      </c>
      <c r="Q1153" s="40">
        <f t="shared" si="441"/>
        <v>0</v>
      </c>
      <c r="R1153" s="21">
        <f>IF(D1153&gt;21,VLOOKUP(D1153,Barem!$T$1:$U$141,2,1),0)</f>
        <v>0</v>
      </c>
      <c r="S1153" s="152">
        <f>IF(D1153&lt;1.609,0,IF(B1153="F",VLOOKUP(I1153,Barem!$X$2:$Z$13,2,1),VLOOKUP(I1153,Barem!$X$14:$Z$25,2,1)))</f>
        <v>0</v>
      </c>
      <c r="T1153" s="21">
        <f>VLOOKUP(A1153,Participanti!A:C,3,0)</f>
        <v>0.4</v>
      </c>
      <c r="U1153" s="18">
        <f t="shared" si="444"/>
        <v>1.8821428571428571</v>
      </c>
      <c r="V1153" s="58" t="s">
        <v>505</v>
      </c>
      <c r="W1153" s="77">
        <f t="shared" si="405"/>
        <v>1</v>
      </c>
      <c r="X1153" s="1" t="e">
        <f>VLOOKUP(A1153,Data_Echipe!A:R,18,0)</f>
        <v>#N/A</v>
      </c>
      <c r="Z1153" s="115">
        <f t="shared" si="442"/>
        <v>1</v>
      </c>
    </row>
    <row r="1154" spans="1:27" ht="14.5" x14ac:dyDescent="0.35">
      <c r="A1154" s="49" t="s">
        <v>366</v>
      </c>
      <c r="B1154" s="1" t="str">
        <f>VLOOKUP(A1154,Participanti!A:B,2,0)</f>
        <v>M</v>
      </c>
      <c r="C1154" s="74">
        <v>14</v>
      </c>
      <c r="D1154" s="50">
        <v>3.03</v>
      </c>
      <c r="E1154" s="51">
        <v>7.9398148148148145E-3</v>
      </c>
      <c r="F1154" s="51">
        <v>8.0324074074074065E-3</v>
      </c>
      <c r="G1154" s="69">
        <f t="shared" si="439"/>
        <v>7.9861111111111105E-3</v>
      </c>
      <c r="H1154" s="52">
        <v>9</v>
      </c>
      <c r="I1154" s="12">
        <f t="shared" si="443"/>
        <v>2.6356802346901354E-3</v>
      </c>
      <c r="J1154" s="37">
        <f t="shared" si="440"/>
        <v>0.72142857142857131</v>
      </c>
      <c r="K1154" s="37">
        <f>IF(J1154=0,0,IF(B1154="F",VLOOKUP(I1154,Barem!$G$2:$H$16,2,1),VLOOKUP(I1154,Barem!$G$17:$H$31,2,1)))</f>
        <v>5</v>
      </c>
      <c r="L1154" s="50">
        <v>4</v>
      </c>
      <c r="M1154" s="124" t="s">
        <v>107</v>
      </c>
      <c r="N1154" s="10">
        <f t="shared" si="445"/>
        <v>0.25</v>
      </c>
      <c r="O1154" s="10">
        <f t="shared" si="445"/>
        <v>0.5</v>
      </c>
      <c r="P1154" s="10">
        <f t="shared" si="445"/>
        <v>0.25</v>
      </c>
      <c r="Q1154" s="40">
        <f t="shared" si="441"/>
        <v>0</v>
      </c>
      <c r="R1154" s="21">
        <f>IF(D1154&gt;21,VLOOKUP(D1154,Barem!$T$1:$U$141,2,1),0)</f>
        <v>0</v>
      </c>
      <c r="S1154" s="152">
        <f>IF(D1154&lt;1.609,0,IF(B1154="F",VLOOKUP(I1154,Barem!$X$2:$Z$13,2,1),VLOOKUP(I1154,Barem!$X$14:$Z$25,2,1)))</f>
        <v>0.89999999999999991</v>
      </c>
      <c r="T1154" s="21">
        <f>VLOOKUP(A1154,Participanti!A:C,3,0)</f>
        <v>0</v>
      </c>
      <c r="U1154" s="18">
        <f t="shared" si="444"/>
        <v>4.5803571428571423</v>
      </c>
      <c r="V1154" s="58" t="s">
        <v>509</v>
      </c>
      <c r="W1154" s="77">
        <f t="shared" ref="W1154:W1217" si="446">COUNTIFS(A:A,A1154,C:C,C1154)</f>
        <v>1</v>
      </c>
      <c r="X1154" s="1" t="str">
        <f>VLOOKUP(A1154,Data_Echipe!A:R,18,0)</f>
        <v>The GOATs</v>
      </c>
      <c r="Z1154" s="115">
        <f t="shared" si="442"/>
        <v>1</v>
      </c>
      <c r="AA1154" s="159"/>
    </row>
    <row r="1155" spans="1:27" x14ac:dyDescent="0.3">
      <c r="A1155" s="49" t="s">
        <v>359</v>
      </c>
      <c r="B1155" s="1" t="str">
        <f>VLOOKUP(A1155,Participanti!A:B,2,0)</f>
        <v>M</v>
      </c>
      <c r="C1155" s="74">
        <v>14</v>
      </c>
      <c r="D1155" s="50">
        <v>15.61</v>
      </c>
      <c r="E1155" s="51">
        <v>6.0925925925925932E-2</v>
      </c>
      <c r="F1155" s="51">
        <v>6.0972222222222226E-2</v>
      </c>
      <c r="G1155" s="69">
        <f t="shared" si="439"/>
        <v>6.0949074074074079E-2</v>
      </c>
      <c r="H1155" s="52"/>
      <c r="I1155" s="12">
        <f t="shared" si="443"/>
        <v>3.9044890502289609E-3</v>
      </c>
      <c r="J1155" s="37">
        <f t="shared" si="440"/>
        <v>3.7166666666666663</v>
      </c>
      <c r="K1155" s="37">
        <f>IF(J1155=0,0,IF(B1155="F",VLOOKUP(I1155,Barem!$G$2:$H$16,2,1),VLOOKUP(I1155,Barem!$G$17:$H$31,2,1)))</f>
        <v>1.75</v>
      </c>
      <c r="L1155" s="50">
        <v>0.25</v>
      </c>
      <c r="M1155" s="124" t="s">
        <v>107</v>
      </c>
      <c r="N1155" s="10">
        <f t="shared" si="445"/>
        <v>0.25</v>
      </c>
      <c r="O1155" s="10">
        <f t="shared" si="445"/>
        <v>0.5</v>
      </c>
      <c r="P1155" s="10">
        <f t="shared" si="445"/>
        <v>0.25</v>
      </c>
      <c r="Q1155" s="40">
        <f t="shared" si="441"/>
        <v>0</v>
      </c>
      <c r="R1155" s="21">
        <f>IF(D1155&gt;21,VLOOKUP(D1155,Barem!$T$1:$U$141,2,1),0)</f>
        <v>0</v>
      </c>
      <c r="S1155" s="152">
        <f>IF(D1155&lt;1.609,0,IF(B1155="F",VLOOKUP(I1155,Barem!$X$2:$Z$13,2,1),VLOOKUP(I1155,Barem!$X$14:$Z$25,2,1)))</f>
        <v>0</v>
      </c>
      <c r="T1155" s="21">
        <f>VLOOKUP(A1155,Participanti!A:C,3,0)</f>
        <v>0</v>
      </c>
      <c r="U1155" s="18">
        <f t="shared" si="444"/>
        <v>1.8666666666666667</v>
      </c>
      <c r="V1155" s="58" t="s">
        <v>509</v>
      </c>
      <c r="W1155" s="77">
        <f t="shared" si="446"/>
        <v>1</v>
      </c>
      <c r="X1155" s="1" t="str">
        <f>VLOOKUP(A1155,Data_Echipe!A:R,18,0)</f>
        <v>Almost Kenyan Runners</v>
      </c>
      <c r="Z1155" s="115">
        <f t="shared" si="442"/>
        <v>1</v>
      </c>
    </row>
    <row r="1156" spans="1:27" x14ac:dyDescent="0.3">
      <c r="A1156" s="49" t="s">
        <v>510</v>
      </c>
      <c r="B1156" s="1" t="str">
        <f>VLOOKUP(A1156,Participanti!A:B,2,0)</f>
        <v>M</v>
      </c>
      <c r="C1156" s="74">
        <v>14</v>
      </c>
      <c r="D1156" s="50">
        <v>16</v>
      </c>
      <c r="E1156" s="51">
        <v>7.7777777777777779E-2</v>
      </c>
      <c r="F1156" s="51">
        <v>7.7812499999999993E-2</v>
      </c>
      <c r="G1156" s="69">
        <f t="shared" si="439"/>
        <v>7.7795138888888893E-2</v>
      </c>
      <c r="H1156" s="52">
        <v>24</v>
      </c>
      <c r="I1156" s="12">
        <f t="shared" si="443"/>
        <v>4.8621961805555558E-3</v>
      </c>
      <c r="J1156" s="37">
        <f t="shared" si="440"/>
        <v>3.8095238095238093</v>
      </c>
      <c r="K1156" s="37">
        <f>IF(J1156=0,0,IF(B1156="F",VLOOKUP(I1156,Barem!$G$2:$H$16,2,1),VLOOKUP(I1156,Barem!$G$17:$H$31,2,1)))</f>
        <v>0.5</v>
      </c>
      <c r="L1156" s="50">
        <v>0.25</v>
      </c>
      <c r="M1156" s="124" t="s">
        <v>106</v>
      </c>
      <c r="N1156" s="10">
        <f t="shared" si="445"/>
        <v>0.5</v>
      </c>
      <c r="O1156" s="10">
        <f t="shared" si="445"/>
        <v>0.25</v>
      </c>
      <c r="P1156" s="10">
        <f t="shared" si="445"/>
        <v>0.25</v>
      </c>
      <c r="Q1156" s="40">
        <f t="shared" si="441"/>
        <v>0</v>
      </c>
      <c r="R1156" s="21">
        <f>IF(D1156&gt;21,VLOOKUP(D1156,Barem!$T$1:$U$141,2,1),0)</f>
        <v>0</v>
      </c>
      <c r="S1156" s="152">
        <f>IF(D1156&lt;1.609,0,IF(B1156="F",VLOOKUP(I1156,Barem!$X$2:$Z$13,2,1),VLOOKUP(I1156,Barem!$X$14:$Z$25,2,1)))</f>
        <v>0</v>
      </c>
      <c r="T1156" s="21">
        <f>VLOOKUP(A1156,Participanti!A:C,3,0)</f>
        <v>0</v>
      </c>
      <c r="U1156" s="18">
        <f t="shared" si="444"/>
        <v>2.0922619047619047</v>
      </c>
      <c r="V1156" s="58" t="s">
        <v>506</v>
      </c>
      <c r="W1156" s="77">
        <f t="shared" si="446"/>
        <v>1</v>
      </c>
      <c r="X1156" s="1" t="e">
        <f>VLOOKUP(A1156,Data_Echipe!A:R,18,0)</f>
        <v>#N/A</v>
      </c>
      <c r="Z1156" s="115">
        <f t="shared" si="442"/>
        <v>1</v>
      </c>
    </row>
    <row r="1157" spans="1:27" x14ac:dyDescent="0.3">
      <c r="A1157" s="49" t="s">
        <v>483</v>
      </c>
      <c r="B1157" s="1" t="str">
        <f>VLOOKUP(A1157,Participanti!A:B,2,0)</f>
        <v>M</v>
      </c>
      <c r="C1157" s="74">
        <v>14</v>
      </c>
      <c r="D1157" s="50">
        <v>14.14</v>
      </c>
      <c r="E1157" s="51">
        <v>4.7141203703703706E-2</v>
      </c>
      <c r="F1157" s="51">
        <v>4.7141203703703706E-2</v>
      </c>
      <c r="G1157" s="69">
        <f t="shared" si="439"/>
        <v>4.7141203703703706E-2</v>
      </c>
      <c r="H1157" s="52">
        <v>336</v>
      </c>
      <c r="I1157" s="12">
        <f t="shared" si="443"/>
        <v>3.3338899366127089E-3</v>
      </c>
      <c r="J1157" s="37">
        <f t="shared" si="440"/>
        <v>3.3666666666666667</v>
      </c>
      <c r="K1157" s="37">
        <f>IF(J1157=0,0,IF(B1157="F",VLOOKUP(I1157,Barem!$G$2:$H$16,2,1),VLOOKUP(I1157,Barem!$G$17:$H$31,2,1)))</f>
        <v>3</v>
      </c>
      <c r="L1157" s="50">
        <v>0</v>
      </c>
      <c r="M1157" s="124" t="s">
        <v>106</v>
      </c>
      <c r="N1157" s="10">
        <f t="shared" si="445"/>
        <v>0.5</v>
      </c>
      <c r="O1157" s="10">
        <f t="shared" si="445"/>
        <v>0.25</v>
      </c>
      <c r="P1157" s="10">
        <f t="shared" si="445"/>
        <v>0.25</v>
      </c>
      <c r="Q1157" s="40">
        <f t="shared" si="441"/>
        <v>0.224</v>
      </c>
      <c r="R1157" s="21">
        <f>IF(D1157&gt;21,VLOOKUP(D1157,Barem!$T$1:$U$141,2,1),0)</f>
        <v>0</v>
      </c>
      <c r="S1157" s="152">
        <f>IF(D1157&lt;1.609,0,IF(B1157="F",VLOOKUP(I1157,Barem!$X$2:$Z$13,2,1),VLOOKUP(I1157,Barem!$X$14:$Z$25,2,1)))</f>
        <v>0</v>
      </c>
      <c r="T1157" s="21">
        <f>VLOOKUP(A1157,Participanti!A:C,3,0)</f>
        <v>0</v>
      </c>
      <c r="U1157" s="18">
        <f t="shared" si="444"/>
        <v>2.6573333333333338</v>
      </c>
      <c r="V1157" s="58" t="s">
        <v>505</v>
      </c>
      <c r="W1157" s="77">
        <f t="shared" si="446"/>
        <v>1</v>
      </c>
      <c r="X1157" s="1" t="e">
        <f>VLOOKUP(A1157,Data_Echipe!A:R,18,0)</f>
        <v>#N/A</v>
      </c>
      <c r="Z1157" s="115">
        <f t="shared" si="442"/>
        <v>1</v>
      </c>
    </row>
    <row r="1158" spans="1:27" x14ac:dyDescent="0.3">
      <c r="A1158" s="49" t="s">
        <v>351</v>
      </c>
      <c r="B1158" s="1" t="str">
        <f>VLOOKUP(A1158,Participanti!A:B,2,0)</f>
        <v>F</v>
      </c>
      <c r="C1158" s="74">
        <v>14</v>
      </c>
      <c r="D1158" s="50">
        <v>23.02</v>
      </c>
      <c r="E1158" s="51">
        <v>9.4456018518518522E-2</v>
      </c>
      <c r="F1158" s="51">
        <v>0.10172453703703704</v>
      </c>
      <c r="G1158" s="69">
        <f t="shared" si="439"/>
        <v>9.809027777777779E-2</v>
      </c>
      <c r="H1158" s="52">
        <v>282</v>
      </c>
      <c r="I1158" s="12">
        <f t="shared" si="443"/>
        <v>4.2610893908678451E-3</v>
      </c>
      <c r="J1158" s="37">
        <f t="shared" si="440"/>
        <v>5</v>
      </c>
      <c r="K1158" s="37">
        <f>IF(J1158=0,0,IF(B1158="F",VLOOKUP(I1158,Barem!$G$2:$H$16,2,1),VLOOKUP(I1158,Barem!$G$17:$H$31,2,1)))</f>
        <v>1.75</v>
      </c>
      <c r="L1158" s="50">
        <v>0.5</v>
      </c>
      <c r="M1158" s="124" t="s">
        <v>207</v>
      </c>
      <c r="N1158" s="10">
        <f t="shared" si="445"/>
        <v>0.25</v>
      </c>
      <c r="O1158" s="10">
        <f t="shared" si="445"/>
        <v>0.25</v>
      </c>
      <c r="P1158" s="10">
        <f t="shared" si="445"/>
        <v>0.5</v>
      </c>
      <c r="Q1158" s="40">
        <f t="shared" si="441"/>
        <v>0.188</v>
      </c>
      <c r="R1158" s="21">
        <f>IF(D1158&gt;21,VLOOKUP(D1158,Barem!$T$1:$U$141,2,1),0)</f>
        <v>0.1</v>
      </c>
      <c r="S1158" s="152">
        <f>IF(D1158&lt;1.609,0,IF(B1158="F",VLOOKUP(I1158,Barem!$X$2:$Z$13,2,1),VLOOKUP(I1158,Barem!$X$14:$Z$25,2,1)))</f>
        <v>0</v>
      </c>
      <c r="T1158" s="21">
        <f>VLOOKUP(A1158,Participanti!A:C,3,0)</f>
        <v>0</v>
      </c>
      <c r="U1158" s="18">
        <f t="shared" si="444"/>
        <v>2.2255000000000003</v>
      </c>
      <c r="V1158" s="58" t="s">
        <v>502</v>
      </c>
      <c r="W1158" s="77">
        <f t="shared" si="446"/>
        <v>1</v>
      </c>
      <c r="X1158" s="1" t="e">
        <f>VLOOKUP(A1158,Data_Echipe!A:R,18,0)</f>
        <v>#N/A</v>
      </c>
      <c r="Z1158" s="115">
        <f t="shared" si="442"/>
        <v>1</v>
      </c>
    </row>
    <row r="1159" spans="1:27" x14ac:dyDescent="0.3">
      <c r="A1159" s="49" t="s">
        <v>291</v>
      </c>
      <c r="B1159" s="1" t="str">
        <f>VLOOKUP(A1159,Participanti!A:B,2,0)</f>
        <v>F</v>
      </c>
      <c r="C1159" s="74">
        <v>14</v>
      </c>
      <c r="D1159" s="50">
        <v>10.5</v>
      </c>
      <c r="E1159" s="51">
        <v>4.2175925925925922E-2</v>
      </c>
      <c r="F1159" s="51">
        <v>5.0219907407407414E-2</v>
      </c>
      <c r="G1159" s="69">
        <f t="shared" si="439"/>
        <v>4.6197916666666672E-2</v>
      </c>
      <c r="H1159" s="52">
        <v>24</v>
      </c>
      <c r="I1159" s="12">
        <f t="shared" si="443"/>
        <v>4.3998015873015876E-3</v>
      </c>
      <c r="J1159" s="37">
        <f t="shared" si="440"/>
        <v>2.625</v>
      </c>
      <c r="K1159" s="37">
        <f>IF(J1159=0,0,IF(B1159="F",VLOOKUP(I1159,Barem!$G$2:$H$16,2,1),VLOOKUP(I1159,Barem!$G$17:$H$31,2,1)))</f>
        <v>1.5</v>
      </c>
      <c r="L1159" s="50">
        <v>0.75</v>
      </c>
      <c r="M1159" s="124" t="s">
        <v>106</v>
      </c>
      <c r="N1159" s="10">
        <f t="shared" si="445"/>
        <v>0.5</v>
      </c>
      <c r="O1159" s="10">
        <f t="shared" si="445"/>
        <v>0.25</v>
      </c>
      <c r="P1159" s="10">
        <f t="shared" si="445"/>
        <v>0.25</v>
      </c>
      <c r="Q1159" s="40">
        <f t="shared" si="441"/>
        <v>0</v>
      </c>
      <c r="R1159" s="21">
        <f>IF(D1159&gt;21,VLOOKUP(D1159,Barem!$T$1:$U$141,2,1),0)</f>
        <v>0</v>
      </c>
      <c r="S1159" s="152">
        <f>IF(D1159&lt;1.609,0,IF(B1159="F",VLOOKUP(I1159,Barem!$X$2:$Z$13,2,1),VLOOKUP(I1159,Barem!$X$14:$Z$25,2,1)))</f>
        <v>0</v>
      </c>
      <c r="T1159" s="21">
        <f>VLOOKUP(A1159,Participanti!A:C,3,0)</f>
        <v>0</v>
      </c>
      <c r="U1159" s="18">
        <f t="shared" si="444"/>
        <v>1.875</v>
      </c>
      <c r="V1159" s="58" t="s">
        <v>502</v>
      </c>
      <c r="W1159" s="77">
        <f t="shared" si="446"/>
        <v>1</v>
      </c>
      <c r="X1159" s="1" t="str">
        <f>VLOOKUP(A1159,Data_Echipe!A:R,18,0)</f>
        <v>#notSYRious</v>
      </c>
      <c r="Z1159" s="115">
        <f t="shared" si="442"/>
        <v>1</v>
      </c>
    </row>
    <row r="1160" spans="1:27" x14ac:dyDescent="0.3">
      <c r="A1160" s="49" t="s">
        <v>204</v>
      </c>
      <c r="B1160" s="1" t="str">
        <f>VLOOKUP(A1160,Participanti!A:B,2,0)</f>
        <v>M</v>
      </c>
      <c r="C1160" s="74">
        <v>14</v>
      </c>
      <c r="D1160" s="50">
        <v>10.17</v>
      </c>
      <c r="E1160" s="51">
        <v>3.2048611111111111E-2</v>
      </c>
      <c r="F1160" s="51">
        <v>3.2048611111111111E-2</v>
      </c>
      <c r="G1160" s="69">
        <f t="shared" si="439"/>
        <v>3.2048611111111111E-2</v>
      </c>
      <c r="H1160" s="52">
        <v>0</v>
      </c>
      <c r="I1160" s="12">
        <f t="shared" si="443"/>
        <v>3.1512891947995192E-3</v>
      </c>
      <c r="J1160" s="37">
        <f t="shared" si="440"/>
        <v>2.4214285714285713</v>
      </c>
      <c r="K1160" s="37">
        <f>IF(J1160=0,0,IF(B1160="F",VLOOKUP(I1160,Barem!$G$2:$H$16,2,1),VLOOKUP(I1160,Barem!$G$17:$H$31,2,1)))</f>
        <v>3.5</v>
      </c>
      <c r="L1160" s="50">
        <v>0.25</v>
      </c>
      <c r="M1160" s="124" t="s">
        <v>207</v>
      </c>
      <c r="N1160" s="10">
        <f t="shared" si="445"/>
        <v>0.25</v>
      </c>
      <c r="O1160" s="10">
        <f t="shared" si="445"/>
        <v>0.25</v>
      </c>
      <c r="P1160" s="10">
        <f t="shared" si="445"/>
        <v>0.5</v>
      </c>
      <c r="Q1160" s="40">
        <f t="shared" si="441"/>
        <v>0</v>
      </c>
      <c r="R1160" s="21">
        <f>IF(D1160&gt;21,VLOOKUP(D1160,Barem!$T$1:$U$141,2,1),0)</f>
        <v>0</v>
      </c>
      <c r="S1160" s="152">
        <f>IF(D1160&lt;1.609,0,IF(B1160="F",VLOOKUP(I1160,Barem!$X$2:$Z$13,2,1),VLOOKUP(I1160,Barem!$X$14:$Z$25,2,1)))</f>
        <v>0</v>
      </c>
      <c r="T1160" s="21">
        <f>VLOOKUP(A1160,Participanti!A:C,3,0)</f>
        <v>0</v>
      </c>
      <c r="U1160" s="18">
        <f t="shared" si="444"/>
        <v>1.6053571428571427</v>
      </c>
      <c r="V1160" s="58" t="s">
        <v>502</v>
      </c>
      <c r="W1160" s="77">
        <f t="shared" si="446"/>
        <v>1</v>
      </c>
      <c r="X1160" s="1" t="e">
        <f>VLOOKUP(A1160,Data_Echipe!A:R,18,0)</f>
        <v>#N/A</v>
      </c>
      <c r="Z1160" s="115">
        <f t="shared" si="442"/>
        <v>1</v>
      </c>
    </row>
    <row r="1161" spans="1:27" x14ac:dyDescent="0.3">
      <c r="A1161" s="49" t="s">
        <v>347</v>
      </c>
      <c r="B1161" s="1" t="str">
        <f>VLOOKUP(A1161,Participanti!A:B,2,0)</f>
        <v>F</v>
      </c>
      <c r="C1161" s="74">
        <v>14</v>
      </c>
      <c r="D1161" s="50">
        <v>2.73</v>
      </c>
      <c r="E1161" s="51">
        <v>8.8541666666666664E-3</v>
      </c>
      <c r="F1161" s="51">
        <v>8.8541666666666664E-3</v>
      </c>
      <c r="G1161" s="69">
        <f t="shared" si="439"/>
        <v>8.8541666666666664E-3</v>
      </c>
      <c r="H1161" s="52"/>
      <c r="I1161" s="12">
        <f t="shared" si="443"/>
        <v>3.243284493284493E-3</v>
      </c>
      <c r="J1161" s="37">
        <f t="shared" si="440"/>
        <v>0.6825</v>
      </c>
      <c r="K1161" s="37">
        <f>IF(J1161=0,0,IF(B1161="F",VLOOKUP(I1161,Barem!$G$2:$H$16,2,1),VLOOKUP(I1161,Barem!$G$17:$H$31,2,1)))</f>
        <v>4.5</v>
      </c>
      <c r="L1161" s="50">
        <v>2</v>
      </c>
      <c r="M1161" s="124" t="s">
        <v>107</v>
      </c>
      <c r="N1161" s="10">
        <f t="shared" si="445"/>
        <v>0.25</v>
      </c>
      <c r="O1161" s="10">
        <f t="shared" si="445"/>
        <v>0.5</v>
      </c>
      <c r="P1161" s="10">
        <f t="shared" si="445"/>
        <v>0.25</v>
      </c>
      <c r="Q1161" s="40">
        <f t="shared" si="441"/>
        <v>0</v>
      </c>
      <c r="R1161" s="21">
        <f>IF(D1161&gt;21,VLOOKUP(D1161,Barem!$T$1:$U$141,2,1),0)</f>
        <v>0</v>
      </c>
      <c r="S1161" s="152">
        <f>IF(D1161&lt;1.609,0,IF(B1161="F",VLOOKUP(I1161,Barem!$X$2:$Z$13,2,1),VLOOKUP(I1161,Barem!$X$14:$Z$25,2,1)))</f>
        <v>0</v>
      </c>
      <c r="T1161" s="21">
        <f>VLOOKUP(A1161,Participanti!A:C,3,0)</f>
        <v>0</v>
      </c>
      <c r="U1161" s="18">
        <f t="shared" si="444"/>
        <v>2.9206249999999998</v>
      </c>
      <c r="V1161" s="58" t="s">
        <v>505</v>
      </c>
      <c r="W1161" s="77">
        <f t="shared" si="446"/>
        <v>1</v>
      </c>
      <c r="X1161" s="1" t="str">
        <f>VLOOKUP(A1161,Data_Echipe!A:R,18,0)</f>
        <v>MedgidiaRunning</v>
      </c>
      <c r="Z1161" s="115">
        <f t="shared" si="442"/>
        <v>1</v>
      </c>
    </row>
    <row r="1162" spans="1:27" x14ac:dyDescent="0.3">
      <c r="A1162" s="49" t="s">
        <v>303</v>
      </c>
      <c r="B1162" s="1" t="str">
        <f>VLOOKUP(A1162,Participanti!A:B,2,0)</f>
        <v>F</v>
      </c>
      <c r="C1162" s="74">
        <v>14</v>
      </c>
      <c r="D1162" s="50">
        <v>8.2100000000000009</v>
      </c>
      <c r="E1162" s="51">
        <v>3.5312500000000004E-2</v>
      </c>
      <c r="F1162" s="51">
        <v>3.5312500000000004E-2</v>
      </c>
      <c r="G1162" s="69">
        <f t="shared" si="439"/>
        <v>3.5312500000000004E-2</v>
      </c>
      <c r="H1162" s="52">
        <v>45</v>
      </c>
      <c r="I1162" s="12">
        <f t="shared" si="443"/>
        <v>4.3011571254567603E-3</v>
      </c>
      <c r="J1162" s="37">
        <f t="shared" si="440"/>
        <v>2.0525000000000002</v>
      </c>
      <c r="K1162" s="37">
        <f>IF(J1162=0,0,IF(B1162="F",VLOOKUP(I1162,Barem!$G$2:$H$16,2,1),VLOOKUP(I1162,Barem!$G$17:$H$31,2,1)))</f>
        <v>1.75</v>
      </c>
      <c r="L1162" s="50">
        <v>0.25</v>
      </c>
      <c r="M1162" s="124" t="s">
        <v>107</v>
      </c>
      <c r="N1162" s="10">
        <f t="shared" si="445"/>
        <v>0.25</v>
      </c>
      <c r="O1162" s="10">
        <f t="shared" si="445"/>
        <v>0.5</v>
      </c>
      <c r="P1162" s="10">
        <f t="shared" si="445"/>
        <v>0.25</v>
      </c>
      <c r="Q1162" s="40">
        <f t="shared" si="441"/>
        <v>0</v>
      </c>
      <c r="R1162" s="21">
        <f>IF(D1162&gt;21,VLOOKUP(D1162,Barem!$T$1:$U$141,2,1),0)</f>
        <v>0</v>
      </c>
      <c r="S1162" s="152">
        <f>IF(D1162&lt;1.609,0,IF(B1162="F",VLOOKUP(I1162,Barem!$X$2:$Z$13,2,1),VLOOKUP(I1162,Barem!$X$14:$Z$25,2,1)))</f>
        <v>0</v>
      </c>
      <c r="T1162" s="21">
        <f>VLOOKUP(A1162,Participanti!A:C,3,0)</f>
        <v>0</v>
      </c>
      <c r="U1162" s="18">
        <f t="shared" si="444"/>
        <v>1.4506250000000001</v>
      </c>
      <c r="V1162" s="58" t="s">
        <v>511</v>
      </c>
      <c r="W1162" s="77">
        <f t="shared" si="446"/>
        <v>1</v>
      </c>
      <c r="X1162" s="1" t="e">
        <f>VLOOKUP(A1162,Data_Echipe!A:R,18,0)</f>
        <v>#N/A</v>
      </c>
      <c r="Z1162" s="115">
        <f t="shared" si="442"/>
        <v>1</v>
      </c>
    </row>
    <row r="1163" spans="1:27" x14ac:dyDescent="0.3">
      <c r="A1163" s="49" t="s">
        <v>283</v>
      </c>
      <c r="B1163" s="1" t="str">
        <f>VLOOKUP(A1163,Participanti!A:B,2,0)</f>
        <v>M</v>
      </c>
      <c r="C1163" s="74">
        <v>14</v>
      </c>
      <c r="D1163" s="50">
        <v>50.4</v>
      </c>
      <c r="E1163" s="51">
        <v>0.20708333333333331</v>
      </c>
      <c r="F1163" s="51">
        <v>0.23116898148148146</v>
      </c>
      <c r="G1163" s="69">
        <f t="shared" si="439"/>
        <v>0.21912615740740737</v>
      </c>
      <c r="H1163" s="52">
        <v>401</v>
      </c>
      <c r="I1163" s="12">
        <f t="shared" si="443"/>
        <v>4.3477412184009401E-3</v>
      </c>
      <c r="J1163" s="37">
        <f t="shared" si="440"/>
        <v>5</v>
      </c>
      <c r="K1163" s="37">
        <f>IF(J1163=0,0,IF(B1163="F",VLOOKUP(I1163,Barem!$G$2:$H$16,2,1),VLOOKUP(I1163,Barem!$G$17:$H$31,2,1)))</f>
        <v>1.25</v>
      </c>
      <c r="L1163" s="50">
        <v>5</v>
      </c>
      <c r="M1163" s="124" t="s">
        <v>107</v>
      </c>
      <c r="N1163" s="10">
        <f t="shared" si="445"/>
        <v>0.25</v>
      </c>
      <c r="O1163" s="10">
        <f t="shared" si="445"/>
        <v>0.5</v>
      </c>
      <c r="P1163" s="10">
        <f t="shared" si="445"/>
        <v>0.25</v>
      </c>
      <c r="Q1163" s="40">
        <f t="shared" si="441"/>
        <v>0.26733333333333331</v>
      </c>
      <c r="R1163" s="21">
        <f>IF(D1163&gt;21,VLOOKUP(D1163,Barem!$T$1:$U$141,2,1),0)</f>
        <v>1.4</v>
      </c>
      <c r="S1163" s="152">
        <f>IF(D1163&lt;1.609,0,IF(B1163="F",VLOOKUP(I1163,Barem!$X$2:$Z$13,2,1),VLOOKUP(I1163,Barem!$X$14:$Z$25,2,1)))</f>
        <v>0</v>
      </c>
      <c r="T1163" s="21">
        <f>VLOOKUP(A1163,Participanti!A:C,3,0)</f>
        <v>0</v>
      </c>
      <c r="U1163" s="18">
        <f t="shared" si="444"/>
        <v>4.7923333333333336</v>
      </c>
      <c r="V1163" s="58" t="s">
        <v>511</v>
      </c>
      <c r="W1163" s="77">
        <f t="shared" si="446"/>
        <v>1</v>
      </c>
      <c r="X1163" s="1" t="str">
        <f>VLOOKUP(A1163,Data_Echipe!A:R,18,0)</f>
        <v>The GOATs</v>
      </c>
      <c r="Z1163" s="115">
        <f t="shared" si="442"/>
        <v>1</v>
      </c>
    </row>
    <row r="1164" spans="1:27" x14ac:dyDescent="0.3">
      <c r="A1164" s="49" t="s">
        <v>203</v>
      </c>
      <c r="B1164" s="1" t="str">
        <f>VLOOKUP(A1164,Participanti!A:B,2,0)</f>
        <v>M</v>
      </c>
      <c r="C1164" s="74">
        <v>14</v>
      </c>
      <c r="D1164" s="50">
        <v>10.01</v>
      </c>
      <c r="E1164" s="51">
        <v>3.1273148148148147E-2</v>
      </c>
      <c r="F1164" s="51">
        <v>3.138888888888889E-2</v>
      </c>
      <c r="G1164" s="69">
        <f t="shared" si="439"/>
        <v>3.1331018518518522E-2</v>
      </c>
      <c r="H1164" s="52"/>
      <c r="I1164" s="12">
        <f t="shared" si="443"/>
        <v>3.1299718799718806E-3</v>
      </c>
      <c r="J1164" s="37">
        <f t="shared" si="440"/>
        <v>2.3833333333333333</v>
      </c>
      <c r="K1164" s="37">
        <f>IF(J1164=0,0,IF(B1164="F",VLOOKUP(I1164,Barem!$G$2:$H$16,2,1),VLOOKUP(I1164,Barem!$G$17:$H$31,2,1)))</f>
        <v>4</v>
      </c>
      <c r="L1164" s="50">
        <v>2.5</v>
      </c>
      <c r="M1164" s="124" t="s">
        <v>106</v>
      </c>
      <c r="N1164" s="10">
        <f t="shared" si="445"/>
        <v>0.5</v>
      </c>
      <c r="O1164" s="10">
        <f t="shared" si="445"/>
        <v>0.25</v>
      </c>
      <c r="P1164" s="10">
        <f t="shared" si="445"/>
        <v>0.25</v>
      </c>
      <c r="Q1164" s="40">
        <f t="shared" si="441"/>
        <v>0</v>
      </c>
      <c r="R1164" s="21">
        <f>IF(D1164&gt;21,VLOOKUP(D1164,Barem!$T$1:$U$141,2,1),0)</f>
        <v>0</v>
      </c>
      <c r="S1164" s="152">
        <f>IF(D1164&lt;1.609,0,IF(B1164="F",VLOOKUP(I1164,Barem!$X$2:$Z$13,2,1),VLOOKUP(I1164,Barem!$X$14:$Z$25,2,1)))</f>
        <v>0</v>
      </c>
      <c r="T1164" s="21">
        <f>VLOOKUP(A1164,Participanti!A:C,3,0)</f>
        <v>0</v>
      </c>
      <c r="U1164" s="18">
        <f t="shared" si="444"/>
        <v>2.8166666666666664</v>
      </c>
      <c r="V1164" s="58" t="s">
        <v>507</v>
      </c>
      <c r="W1164" s="77">
        <f t="shared" si="446"/>
        <v>1</v>
      </c>
      <c r="X1164" s="1" t="str">
        <f>VLOOKUP(A1164,Data_Echipe!A:R,18,0)</f>
        <v>The GOATs</v>
      </c>
      <c r="Z1164" s="115">
        <f t="shared" si="442"/>
        <v>1</v>
      </c>
    </row>
    <row r="1165" spans="1:27" x14ac:dyDescent="0.3">
      <c r="A1165" s="49" t="s">
        <v>114</v>
      </c>
      <c r="B1165" s="1" t="str">
        <f>VLOOKUP(A1165,Participanti!A:B,2,0)</f>
        <v>M</v>
      </c>
      <c r="C1165" s="74">
        <v>14</v>
      </c>
      <c r="D1165" s="50">
        <v>14.32</v>
      </c>
      <c r="E1165" s="51">
        <v>7.2974537037037032E-2</v>
      </c>
      <c r="F1165" s="51">
        <v>7.3113425925925915E-2</v>
      </c>
      <c r="G1165" s="69">
        <f t="shared" si="439"/>
        <v>7.3043981481481474E-2</v>
      </c>
      <c r="H1165" s="52">
        <v>517</v>
      </c>
      <c r="I1165" s="12">
        <f t="shared" si="443"/>
        <v>5.1008366956341814E-3</v>
      </c>
      <c r="J1165" s="37">
        <f t="shared" si="440"/>
        <v>3.4095238095238094</v>
      </c>
      <c r="K1165" s="37">
        <f>IF(J1165=0,0,IF(B1165="F",VLOOKUP(I1165,Barem!$G$2:$H$16,2,1),VLOOKUP(I1165,Barem!$G$17:$H$31,2,1)))</f>
        <v>0.25</v>
      </c>
      <c r="L1165" s="50">
        <v>3</v>
      </c>
      <c r="M1165" s="124" t="s">
        <v>107</v>
      </c>
      <c r="N1165" s="10">
        <f t="shared" si="445"/>
        <v>0.25</v>
      </c>
      <c r="O1165" s="10">
        <f t="shared" si="445"/>
        <v>0.5</v>
      </c>
      <c r="P1165" s="10">
        <f t="shared" si="445"/>
        <v>0.25</v>
      </c>
      <c r="Q1165" s="40">
        <f t="shared" si="441"/>
        <v>0.34466666666666668</v>
      </c>
      <c r="R1165" s="21">
        <f>IF(D1165&gt;21,VLOOKUP(D1165,Barem!$T$1:$U$141,2,1),0)</f>
        <v>0</v>
      </c>
      <c r="S1165" s="152">
        <f>IF(D1165&lt;1.609,0,IF(B1165="F",VLOOKUP(I1165,Barem!$X$2:$Z$13,2,1),VLOOKUP(I1165,Barem!$X$14:$Z$25,2,1)))</f>
        <v>0</v>
      </c>
      <c r="T1165" s="21">
        <f>VLOOKUP(A1165,Participanti!A:C,3,0)</f>
        <v>0</v>
      </c>
      <c r="U1165" s="18">
        <f t="shared" si="444"/>
        <v>2.0720476190476189</v>
      </c>
      <c r="V1165" s="58" t="s">
        <v>505</v>
      </c>
      <c r="W1165" s="77">
        <f t="shared" si="446"/>
        <v>1</v>
      </c>
      <c r="X1165" s="1" t="str">
        <f>VLOOKUP(A1165,Data_Echipe!A:R,18,0)</f>
        <v>#notSYRious</v>
      </c>
      <c r="Z1165" s="115">
        <f t="shared" si="442"/>
        <v>1</v>
      </c>
    </row>
    <row r="1166" spans="1:27" x14ac:dyDescent="0.3">
      <c r="A1166" s="49" t="s">
        <v>383</v>
      </c>
      <c r="B1166" s="1" t="str">
        <f>VLOOKUP(A1166,Participanti!A:B,2,0)</f>
        <v>F</v>
      </c>
      <c r="C1166" s="74">
        <v>14</v>
      </c>
      <c r="D1166" s="50">
        <v>10.01</v>
      </c>
      <c r="E1166" s="51">
        <v>4.1967592592592591E-2</v>
      </c>
      <c r="F1166" s="51">
        <v>4.3032407407407408E-2</v>
      </c>
      <c r="G1166" s="69">
        <f t="shared" si="439"/>
        <v>4.2499999999999996E-2</v>
      </c>
      <c r="H1166" s="52"/>
      <c r="I1166" s="12">
        <f t="shared" si="443"/>
        <v>4.2457542457542451E-3</v>
      </c>
      <c r="J1166" s="37">
        <f t="shared" si="440"/>
        <v>2.5024999999999999</v>
      </c>
      <c r="K1166" s="37">
        <f>IF(J1166=0,0,IF(B1166="F",VLOOKUP(I1166,Barem!$G$2:$H$16,2,1),VLOOKUP(I1166,Barem!$G$17:$H$31,2,1)))</f>
        <v>1.75</v>
      </c>
      <c r="L1166" s="50">
        <v>0.25</v>
      </c>
      <c r="M1166" s="124" t="s">
        <v>107</v>
      </c>
      <c r="N1166" s="10">
        <f t="shared" si="445"/>
        <v>0.25</v>
      </c>
      <c r="O1166" s="10">
        <f t="shared" si="445"/>
        <v>0.5</v>
      </c>
      <c r="P1166" s="10">
        <f t="shared" si="445"/>
        <v>0.25</v>
      </c>
      <c r="Q1166" s="40">
        <f t="shared" si="441"/>
        <v>0</v>
      </c>
      <c r="R1166" s="21">
        <f>IF(D1166&gt;21,VLOOKUP(D1166,Barem!$T$1:$U$141,2,1),0)</f>
        <v>0</v>
      </c>
      <c r="S1166" s="152">
        <f>IF(D1166&lt;1.609,0,IF(B1166="F",VLOOKUP(I1166,Barem!$X$2:$Z$13,2,1),VLOOKUP(I1166,Barem!$X$14:$Z$25,2,1)))</f>
        <v>0</v>
      </c>
      <c r="T1166" s="21">
        <f>VLOOKUP(A1166,Participanti!A:C,3,0)</f>
        <v>0</v>
      </c>
      <c r="U1166" s="18">
        <f t="shared" si="444"/>
        <v>1.5631249999999999</v>
      </c>
      <c r="V1166" s="58" t="s">
        <v>507</v>
      </c>
      <c r="W1166" s="77">
        <f t="shared" si="446"/>
        <v>1</v>
      </c>
      <c r="X1166" s="1" t="str">
        <f>VLOOKUP(A1166,Data_Echipe!A:R,18,0)</f>
        <v>The GOATs</v>
      </c>
      <c r="Z1166" s="115">
        <f t="shared" si="442"/>
        <v>1</v>
      </c>
    </row>
    <row r="1167" spans="1:27" x14ac:dyDescent="0.3">
      <c r="A1167" s="49" t="s">
        <v>170</v>
      </c>
      <c r="B1167" s="1" t="str">
        <f>VLOOKUP(A1167,Participanti!A:B,2,0)</f>
        <v>F</v>
      </c>
      <c r="C1167" s="74">
        <v>14</v>
      </c>
      <c r="D1167" s="50">
        <v>12.24</v>
      </c>
      <c r="E1167" s="51">
        <v>5.002314814814815E-2</v>
      </c>
      <c r="F1167" s="51">
        <v>5.002314814814815E-2</v>
      </c>
      <c r="G1167" s="69">
        <f t="shared" si="439"/>
        <v>5.002314814814815E-2</v>
      </c>
      <c r="H1167" s="52"/>
      <c r="I1167" s="12">
        <f t="shared" si="443"/>
        <v>4.086858508835633E-3</v>
      </c>
      <c r="J1167" s="37">
        <f t="shared" si="440"/>
        <v>3.06</v>
      </c>
      <c r="K1167" s="37">
        <f>IF(J1167=0,0,IF(B1167="F",VLOOKUP(I1167,Barem!$G$2:$H$16,2,1),VLOOKUP(I1167,Barem!$G$17:$H$31,2,1)))</f>
        <v>2</v>
      </c>
      <c r="L1167" s="50">
        <v>1.5</v>
      </c>
      <c r="M1167" s="124" t="s">
        <v>107</v>
      </c>
      <c r="N1167" s="10">
        <f t="shared" si="445"/>
        <v>0.25</v>
      </c>
      <c r="O1167" s="10">
        <f t="shared" si="445"/>
        <v>0.5</v>
      </c>
      <c r="P1167" s="10">
        <f t="shared" si="445"/>
        <v>0.25</v>
      </c>
      <c r="Q1167" s="40">
        <f t="shared" si="441"/>
        <v>0</v>
      </c>
      <c r="R1167" s="21">
        <f>IF(D1167&gt;21,VLOOKUP(D1167,Barem!$T$1:$U$141,2,1),0)</f>
        <v>0</v>
      </c>
      <c r="S1167" s="152">
        <f>IF(D1167&lt;1.609,0,IF(B1167="F",VLOOKUP(I1167,Barem!$X$2:$Z$13,2,1),VLOOKUP(I1167,Barem!$X$14:$Z$25,2,1)))</f>
        <v>0</v>
      </c>
      <c r="T1167" s="21">
        <f>VLOOKUP(A1167,Participanti!A:C,3,0)</f>
        <v>0</v>
      </c>
      <c r="U1167" s="18">
        <f t="shared" si="444"/>
        <v>2.14</v>
      </c>
      <c r="V1167" s="58" t="s">
        <v>509</v>
      </c>
      <c r="W1167" s="77">
        <f t="shared" si="446"/>
        <v>1</v>
      </c>
      <c r="X1167" s="1" t="str">
        <f>VLOOKUP(A1167,Data_Echipe!A:R,18,0)</f>
        <v>Almost Kenyan Runners</v>
      </c>
      <c r="Z1167" s="115">
        <f t="shared" si="442"/>
        <v>1</v>
      </c>
    </row>
    <row r="1168" spans="1:27" x14ac:dyDescent="0.3">
      <c r="A1168" s="49" t="s">
        <v>45</v>
      </c>
      <c r="B1168" s="1" t="str">
        <f>VLOOKUP(A1168,Participanti!A:B,2,0)</f>
        <v>F</v>
      </c>
      <c r="C1168" s="74">
        <v>14</v>
      </c>
      <c r="D1168" s="50">
        <v>3.06</v>
      </c>
      <c r="E1168" s="51">
        <v>1.3252314814814814E-2</v>
      </c>
      <c r="F1168" s="51">
        <v>1.3645833333333331E-2</v>
      </c>
      <c r="G1168" s="69">
        <f t="shared" si="439"/>
        <v>1.3449074074074072E-2</v>
      </c>
      <c r="H1168" s="52">
        <v>36</v>
      </c>
      <c r="I1168" s="12">
        <f t="shared" si="443"/>
        <v>4.3951222464294355E-3</v>
      </c>
      <c r="J1168" s="37">
        <f t="shared" si="440"/>
        <v>0.76500000000000001</v>
      </c>
      <c r="K1168" s="37">
        <f>IF(J1168=0,0,IF(B1168="F",VLOOKUP(I1168,Barem!$G$2:$H$16,2,1),VLOOKUP(I1168,Barem!$G$17:$H$31,2,1)))</f>
        <v>1.5</v>
      </c>
      <c r="L1168" s="50">
        <v>2.5</v>
      </c>
      <c r="M1168" s="124" t="s">
        <v>107</v>
      </c>
      <c r="N1168" s="10">
        <f t="shared" si="445"/>
        <v>0.25</v>
      </c>
      <c r="O1168" s="10">
        <f t="shared" si="445"/>
        <v>0.5</v>
      </c>
      <c r="P1168" s="10">
        <f t="shared" si="445"/>
        <v>0.25</v>
      </c>
      <c r="Q1168" s="40">
        <f t="shared" si="441"/>
        <v>0</v>
      </c>
      <c r="R1168" s="21">
        <f>IF(D1168&gt;21,VLOOKUP(D1168,Barem!$T$1:$U$141,2,1),0)</f>
        <v>0</v>
      </c>
      <c r="S1168" s="152">
        <f>IF(D1168&lt;1.609,0,IF(B1168="F",VLOOKUP(I1168,Barem!$X$2:$Z$13,2,1),VLOOKUP(I1168,Barem!$X$14:$Z$25,2,1)))</f>
        <v>0</v>
      </c>
      <c r="T1168" s="21">
        <f>VLOOKUP(A1168,Participanti!A:C,3,0)</f>
        <v>0</v>
      </c>
      <c r="U1168" s="18">
        <f t="shared" si="444"/>
        <v>1.5662500000000001</v>
      </c>
      <c r="V1168" s="58" t="s">
        <v>511</v>
      </c>
      <c r="W1168" s="77">
        <f t="shared" si="446"/>
        <v>1</v>
      </c>
      <c r="X1168" s="1" t="e">
        <f>VLOOKUP(A1168,Data_Echipe!A:R,18,0)</f>
        <v>#N/A</v>
      </c>
      <c r="Z1168" s="115">
        <f t="shared" si="442"/>
        <v>1</v>
      </c>
    </row>
    <row r="1169" spans="1:27" x14ac:dyDescent="0.3">
      <c r="A1169" s="49" t="s">
        <v>48</v>
      </c>
      <c r="B1169" s="1" t="str">
        <f>VLOOKUP(A1169,Participanti!A:B,2,0)</f>
        <v>M</v>
      </c>
      <c r="C1169" s="74">
        <v>14</v>
      </c>
      <c r="D1169" s="50">
        <v>7.46</v>
      </c>
      <c r="E1169" s="51">
        <v>3.8738425925925926E-2</v>
      </c>
      <c r="F1169" s="51">
        <v>5.0960648148148151E-2</v>
      </c>
      <c r="G1169" s="69">
        <f t="shared" si="439"/>
        <v>4.4849537037037035E-2</v>
      </c>
      <c r="H1169" s="52">
        <v>163</v>
      </c>
      <c r="I1169" s="12">
        <f t="shared" si="443"/>
        <v>6.0120022837851254E-3</v>
      </c>
      <c r="J1169" s="37">
        <f t="shared" si="440"/>
        <v>1.7761904761904761</v>
      </c>
      <c r="K1169" s="37">
        <f>IF(J1169=0,0,IF(B1169="F",VLOOKUP(I1169,Barem!$G$2:$H$16,2,1),VLOOKUP(I1169,Barem!$G$17:$H$31,2,1)))</f>
        <v>0</v>
      </c>
      <c r="L1169" s="50">
        <v>0.5</v>
      </c>
      <c r="M1169" s="124" t="s">
        <v>207</v>
      </c>
      <c r="N1169" s="10">
        <f t="shared" si="445"/>
        <v>0.25</v>
      </c>
      <c r="O1169" s="10">
        <f t="shared" si="445"/>
        <v>0.25</v>
      </c>
      <c r="P1169" s="10">
        <f t="shared" si="445"/>
        <v>0.5</v>
      </c>
      <c r="Q1169" s="40">
        <f t="shared" si="441"/>
        <v>0.10866666666666666</v>
      </c>
      <c r="R1169" s="21">
        <f>IF(D1169&gt;21,VLOOKUP(D1169,Barem!$T$1:$U$141,2,1),0)</f>
        <v>0</v>
      </c>
      <c r="S1169" s="152">
        <f>IF(D1169&lt;1.609,0,IF(B1169="F",VLOOKUP(I1169,Barem!$X$2:$Z$13,2,1),VLOOKUP(I1169,Barem!$X$14:$Z$25,2,1)))</f>
        <v>0</v>
      </c>
      <c r="T1169" s="21">
        <f>VLOOKUP(A1169,Participanti!A:C,3,0)</f>
        <v>0.4</v>
      </c>
      <c r="U1169" s="18">
        <f t="shared" si="444"/>
        <v>1.2027142857142858</v>
      </c>
      <c r="V1169" s="58" t="s">
        <v>511</v>
      </c>
      <c r="W1169" s="77">
        <f t="shared" si="446"/>
        <v>1</v>
      </c>
      <c r="X1169" s="1" t="str">
        <f>VLOOKUP(A1169,Data_Echipe!A:R,18,0)</f>
        <v>#notSYRious</v>
      </c>
      <c r="Z1169" s="115">
        <f t="shared" si="442"/>
        <v>0</v>
      </c>
    </row>
    <row r="1170" spans="1:27" x14ac:dyDescent="0.3">
      <c r="A1170" s="49" t="s">
        <v>284</v>
      </c>
      <c r="B1170" s="1" t="str">
        <f>VLOOKUP(A1170,Participanti!A:B,2,0)</f>
        <v>M</v>
      </c>
      <c r="C1170" s="74">
        <v>14</v>
      </c>
      <c r="D1170" s="50">
        <v>2.02</v>
      </c>
      <c r="E1170" s="51">
        <v>6.8865740740740736E-3</v>
      </c>
      <c r="F1170" s="51">
        <v>6.9097222222222225E-3</v>
      </c>
      <c r="G1170" s="69">
        <f t="shared" si="439"/>
        <v>6.898148148148148E-3</v>
      </c>
      <c r="H1170" s="52">
        <v>0</v>
      </c>
      <c r="I1170" s="12">
        <f t="shared" si="443"/>
        <v>3.414924825815915E-3</v>
      </c>
      <c r="J1170" s="37">
        <f t="shared" si="440"/>
        <v>0</v>
      </c>
      <c r="K1170" s="37">
        <f>IF(J1170=0,0,IF(B1170="F",VLOOKUP(I1170,Barem!$G$2:$H$16,2,1),VLOOKUP(I1170,Barem!$G$17:$H$31,2,1)))</f>
        <v>0</v>
      </c>
      <c r="L1170" s="50">
        <v>0</v>
      </c>
      <c r="M1170" s="124" t="s">
        <v>107</v>
      </c>
      <c r="N1170" s="10">
        <f t="shared" si="445"/>
        <v>0.25</v>
      </c>
      <c r="O1170" s="10">
        <f t="shared" si="445"/>
        <v>0.5</v>
      </c>
      <c r="P1170" s="10">
        <f t="shared" si="445"/>
        <v>0.25</v>
      </c>
      <c r="Q1170" s="40">
        <f t="shared" si="441"/>
        <v>0</v>
      </c>
      <c r="R1170" s="21">
        <f>IF(D1170&gt;21,VLOOKUP(D1170,Barem!$T$1:$U$141,2,1),0)</f>
        <v>0</v>
      </c>
      <c r="S1170" s="152">
        <f>IF(D1170&lt;1.609,0,IF(B1170="F",VLOOKUP(I1170,Barem!$X$2:$Z$13,2,1),VLOOKUP(I1170,Barem!$X$14:$Z$25,2,1)))</f>
        <v>0</v>
      </c>
      <c r="T1170" s="21">
        <f>VLOOKUP(A1170,Participanti!A:C,3,0)</f>
        <v>0</v>
      </c>
      <c r="U1170" s="18">
        <f t="shared" si="444"/>
        <v>0</v>
      </c>
      <c r="V1170" s="58" t="s">
        <v>511</v>
      </c>
      <c r="W1170" s="77">
        <f t="shared" si="446"/>
        <v>1</v>
      </c>
      <c r="X1170" s="1" t="str">
        <f>VLOOKUP(A1170,Data_Echipe!A:R,18,0)</f>
        <v>The GOATs</v>
      </c>
      <c r="Z1170" s="115">
        <f t="shared" si="442"/>
        <v>0</v>
      </c>
    </row>
    <row r="1171" spans="1:27" x14ac:dyDescent="0.3">
      <c r="A1171" s="49" t="s">
        <v>100</v>
      </c>
      <c r="B1171" s="1" t="str">
        <f>VLOOKUP(A1171,Participanti!A:B,2,0)</f>
        <v>F</v>
      </c>
      <c r="C1171" s="74">
        <v>14</v>
      </c>
      <c r="D1171" s="50">
        <v>12.01</v>
      </c>
      <c r="E1171" s="51">
        <v>4.8483796296296296E-2</v>
      </c>
      <c r="F1171" s="51">
        <v>5.0972222222222224E-2</v>
      </c>
      <c r="G1171" s="69">
        <f t="shared" si="439"/>
        <v>4.9728009259259257E-2</v>
      </c>
      <c r="H1171" s="52"/>
      <c r="I1171" s="12">
        <f t="shared" si="443"/>
        <v>4.1405503130107621E-3</v>
      </c>
      <c r="J1171" s="37">
        <f t="shared" si="440"/>
        <v>3.0024999999999999</v>
      </c>
      <c r="K1171" s="37">
        <f>IF(J1171=0,0,IF(B1171="F",VLOOKUP(I1171,Barem!$G$2:$H$16,2,1),VLOOKUP(I1171,Barem!$G$17:$H$31,2,1)))</f>
        <v>2</v>
      </c>
      <c r="L1171" s="50">
        <v>0.5</v>
      </c>
      <c r="M1171" s="124" t="s">
        <v>106</v>
      </c>
      <c r="N1171" s="10">
        <f t="shared" si="445"/>
        <v>0.5</v>
      </c>
      <c r="O1171" s="10">
        <f t="shared" si="445"/>
        <v>0.25</v>
      </c>
      <c r="P1171" s="10">
        <f t="shared" si="445"/>
        <v>0.25</v>
      </c>
      <c r="Q1171" s="40">
        <f t="shared" si="441"/>
        <v>0</v>
      </c>
      <c r="R1171" s="21">
        <f>IF(D1171&gt;21,VLOOKUP(D1171,Barem!$T$1:$U$141,2,1),0)</f>
        <v>0</v>
      </c>
      <c r="S1171" s="152">
        <f>IF(D1171&lt;1.609,0,IF(B1171="F",VLOOKUP(I1171,Barem!$X$2:$Z$13,2,1),VLOOKUP(I1171,Barem!$X$14:$Z$25,2,1)))</f>
        <v>0</v>
      </c>
      <c r="T1171" s="21">
        <f>VLOOKUP(A1171,Participanti!A:C,3,0)</f>
        <v>0</v>
      </c>
      <c r="U1171" s="18">
        <f t="shared" si="444"/>
        <v>2.1262499999999998</v>
      </c>
      <c r="V1171" s="58" t="s">
        <v>502</v>
      </c>
      <c r="W1171" s="77">
        <f t="shared" si="446"/>
        <v>1</v>
      </c>
      <c r="X1171" s="1" t="e">
        <f>VLOOKUP(A1171,Data_Echipe!A:R,18,0)</f>
        <v>#N/A</v>
      </c>
      <c r="Z1171" s="115">
        <f t="shared" si="442"/>
        <v>1</v>
      </c>
    </row>
    <row r="1172" spans="1:27" x14ac:dyDescent="0.3">
      <c r="A1172" s="49" t="s">
        <v>361</v>
      </c>
      <c r="B1172" s="1" t="str">
        <f>VLOOKUP(A1172,Participanti!A:B,2,0)</f>
        <v>M</v>
      </c>
      <c r="C1172" s="74">
        <v>14</v>
      </c>
      <c r="D1172" s="50">
        <v>10</v>
      </c>
      <c r="E1172" s="51">
        <v>3.4317129629629628E-2</v>
      </c>
      <c r="F1172" s="51">
        <v>3.982638888888889E-2</v>
      </c>
      <c r="G1172" s="69">
        <f t="shared" si="439"/>
        <v>3.7071759259259263E-2</v>
      </c>
      <c r="H1172" s="52"/>
      <c r="I1172" s="12">
        <f t="shared" si="443"/>
        <v>3.7071759259259263E-3</v>
      </c>
      <c r="J1172" s="37">
        <f t="shared" si="440"/>
        <v>2.3809523809523809</v>
      </c>
      <c r="K1172" s="37">
        <f>IF(J1172=0,0,IF(B1172="F",VLOOKUP(I1172,Barem!$G$2:$H$16,2,1),VLOOKUP(I1172,Barem!$G$17:$H$31,2,1)))</f>
        <v>2</v>
      </c>
      <c r="L1172" s="50">
        <v>0.25</v>
      </c>
      <c r="M1172" s="124" t="s">
        <v>107</v>
      </c>
      <c r="N1172" s="10">
        <f t="shared" si="445"/>
        <v>0.25</v>
      </c>
      <c r="O1172" s="10">
        <f t="shared" si="445"/>
        <v>0.5</v>
      </c>
      <c r="P1172" s="10">
        <f t="shared" si="445"/>
        <v>0.25</v>
      </c>
      <c r="Q1172" s="40">
        <f t="shared" si="441"/>
        <v>0</v>
      </c>
      <c r="R1172" s="21">
        <f>IF(D1172&gt;21,VLOOKUP(D1172,Barem!$T$1:$U$141,2,1),0)</f>
        <v>0</v>
      </c>
      <c r="S1172" s="152">
        <f>IF(D1172&lt;1.609,0,IF(B1172="F",VLOOKUP(I1172,Barem!$X$2:$Z$13,2,1),VLOOKUP(I1172,Barem!$X$14:$Z$25,2,1)))</f>
        <v>0</v>
      </c>
      <c r="T1172" s="21">
        <f>VLOOKUP(A1172,Participanti!A:C,3,0)</f>
        <v>0</v>
      </c>
      <c r="U1172" s="18">
        <f t="shared" si="444"/>
        <v>1.6577380952380953</v>
      </c>
      <c r="V1172" s="58" t="s">
        <v>502</v>
      </c>
      <c r="W1172" s="77">
        <f t="shared" si="446"/>
        <v>1</v>
      </c>
      <c r="X1172" s="1" t="str">
        <f>VLOOKUP(A1172,Data_Echipe!A:R,18,0)</f>
        <v>UltraHaita lu' Borcan</v>
      </c>
      <c r="Z1172" s="115">
        <f t="shared" si="442"/>
        <v>1</v>
      </c>
    </row>
    <row r="1173" spans="1:27" x14ac:dyDescent="0.3">
      <c r="A1173" s="49" t="s">
        <v>431</v>
      </c>
      <c r="B1173" s="1" t="str">
        <f>VLOOKUP(A1173,Participanti!A:B,2,0)</f>
        <v>F</v>
      </c>
      <c r="C1173" s="74">
        <v>14</v>
      </c>
      <c r="D1173" s="50">
        <v>6</v>
      </c>
      <c r="E1173" s="51">
        <v>2.4687499999999998E-2</v>
      </c>
      <c r="F1173" s="51">
        <v>2.5729166666666664E-2</v>
      </c>
      <c r="G1173" s="69">
        <f t="shared" si="439"/>
        <v>2.5208333333333333E-2</v>
      </c>
      <c r="H1173" s="52"/>
      <c r="I1173" s="12">
        <f t="shared" si="443"/>
        <v>4.2013888888888891E-3</v>
      </c>
      <c r="J1173" s="37">
        <f t="shared" si="440"/>
        <v>1.5</v>
      </c>
      <c r="K1173" s="37">
        <f>IF(J1173=0,0,IF(B1173="F",VLOOKUP(I1173,Barem!$G$2:$H$16,2,1),VLOOKUP(I1173,Barem!$G$17:$H$31,2,1)))</f>
        <v>1.75</v>
      </c>
      <c r="L1173" s="50">
        <v>3</v>
      </c>
      <c r="M1173" s="124" t="s">
        <v>107</v>
      </c>
      <c r="N1173" s="10">
        <f t="shared" ref="N1173:P1183" si="447">IF($M1173=N$1,50%,25%)</f>
        <v>0.25</v>
      </c>
      <c r="O1173" s="10">
        <f t="shared" si="447"/>
        <v>0.5</v>
      </c>
      <c r="P1173" s="10">
        <f t="shared" si="447"/>
        <v>0.25</v>
      </c>
      <c r="Q1173" s="40">
        <f t="shared" si="441"/>
        <v>0</v>
      </c>
      <c r="R1173" s="21">
        <f>IF(D1173&gt;21,VLOOKUP(D1173,Barem!$T$1:$U$141,2,1),0)</f>
        <v>0</v>
      </c>
      <c r="S1173" s="152">
        <f>IF(D1173&lt;1.609,0,IF(B1173="F",VLOOKUP(I1173,Barem!$X$2:$Z$13,2,1),VLOOKUP(I1173,Barem!$X$14:$Z$25,2,1)))</f>
        <v>0</v>
      </c>
      <c r="T1173" s="21">
        <f>VLOOKUP(A1173,Participanti!A:C,3,0)</f>
        <v>0.4</v>
      </c>
      <c r="U1173" s="18">
        <f t="shared" si="444"/>
        <v>2.4</v>
      </c>
      <c r="V1173" s="58" t="s">
        <v>509</v>
      </c>
      <c r="W1173" s="77">
        <f t="shared" si="446"/>
        <v>1</v>
      </c>
      <c r="X1173" s="1" t="e">
        <f>VLOOKUP(A1173,Data_Echipe!A:R,18,0)</f>
        <v>#N/A</v>
      </c>
      <c r="Z1173" s="115">
        <f t="shared" si="442"/>
        <v>1</v>
      </c>
    </row>
    <row r="1174" spans="1:27" x14ac:dyDescent="0.3">
      <c r="A1174" s="49" t="s">
        <v>376</v>
      </c>
      <c r="B1174" s="1" t="str">
        <f>VLOOKUP(A1174,Participanti!A:B,2,0)</f>
        <v>M</v>
      </c>
      <c r="C1174" s="74">
        <v>14</v>
      </c>
      <c r="D1174" s="50">
        <v>37.020000000000003</v>
      </c>
      <c r="E1174" s="51">
        <v>0.1063425925925926</v>
      </c>
      <c r="F1174" s="51">
        <v>0.11024305555555557</v>
      </c>
      <c r="G1174" s="69">
        <f t="shared" si="439"/>
        <v>0.10829282407407409</v>
      </c>
      <c r="H1174" s="52">
        <v>112</v>
      </c>
      <c r="I1174" s="12">
        <f t="shared" si="443"/>
        <v>2.925251865858295E-3</v>
      </c>
      <c r="J1174" s="37">
        <f t="shared" si="440"/>
        <v>5</v>
      </c>
      <c r="K1174" s="37">
        <f>IF(J1174=0,0,IF(B1174="F",VLOOKUP(I1174,Barem!$G$2:$H$16,2,1),VLOOKUP(I1174,Barem!$G$17:$H$31,2,1)))</f>
        <v>4.5</v>
      </c>
      <c r="L1174" s="50">
        <v>0</v>
      </c>
      <c r="M1174" s="124" t="s">
        <v>107</v>
      </c>
      <c r="N1174" s="10">
        <f t="shared" si="447"/>
        <v>0.25</v>
      </c>
      <c r="O1174" s="10">
        <f t="shared" si="447"/>
        <v>0.5</v>
      </c>
      <c r="P1174" s="10">
        <f t="shared" si="447"/>
        <v>0.25</v>
      </c>
      <c r="Q1174" s="40">
        <f t="shared" si="441"/>
        <v>7.4666666666666673E-2</v>
      </c>
      <c r="R1174" s="21">
        <f>IF(D1174&gt;21,VLOOKUP(D1174,Barem!$T$1:$U$141,2,1),0)</f>
        <v>0.8</v>
      </c>
      <c r="S1174" s="152">
        <f>IF(D1174&lt;1.609,0,IF(B1174="F",VLOOKUP(I1174,Barem!$X$2:$Z$13,2,1),VLOOKUP(I1174,Barem!$X$14:$Z$25,2,1)))</f>
        <v>0</v>
      </c>
      <c r="T1174" s="21">
        <f>VLOOKUP(A1174,Participanti!A:C,3,0)</f>
        <v>0</v>
      </c>
      <c r="U1174" s="18">
        <f t="shared" si="444"/>
        <v>4.3746666666666671</v>
      </c>
      <c r="V1174" s="58" t="s">
        <v>506</v>
      </c>
      <c r="W1174" s="77">
        <f t="shared" si="446"/>
        <v>1</v>
      </c>
      <c r="X1174" s="1" t="e">
        <f>VLOOKUP(A1174,Data_Echipe!A:R,18,0)</f>
        <v>#N/A</v>
      </c>
      <c r="Z1174" s="115">
        <f t="shared" si="442"/>
        <v>1</v>
      </c>
    </row>
    <row r="1175" spans="1:27" x14ac:dyDescent="0.3">
      <c r="A1175" s="49" t="s">
        <v>49</v>
      </c>
      <c r="B1175" s="1" t="str">
        <f>VLOOKUP(A1175,Participanti!A:B,2,0)</f>
        <v>M</v>
      </c>
      <c r="C1175" s="74">
        <v>14</v>
      </c>
      <c r="D1175" s="50">
        <v>28.41</v>
      </c>
      <c r="E1175" s="51">
        <v>0.13305555555555557</v>
      </c>
      <c r="F1175" s="51">
        <v>0.15409722222222222</v>
      </c>
      <c r="G1175" s="69">
        <f t="shared" si="439"/>
        <v>0.14357638888888891</v>
      </c>
      <c r="H1175" s="52">
        <v>1315</v>
      </c>
      <c r="I1175" s="12">
        <f t="shared" si="443"/>
        <v>5.0537271696194618E-3</v>
      </c>
      <c r="J1175" s="37">
        <f t="shared" si="440"/>
        <v>5</v>
      </c>
      <c r="K1175" s="37">
        <f>IF(J1175=0,0,IF(B1175="F",VLOOKUP(I1175,Barem!$G$2:$H$16,2,1),VLOOKUP(I1175,Barem!$G$17:$H$31,2,1)))</f>
        <v>0.25</v>
      </c>
      <c r="L1175" s="50">
        <v>4</v>
      </c>
      <c r="M1175" s="124" t="s">
        <v>207</v>
      </c>
      <c r="N1175" s="10">
        <f t="shared" si="447"/>
        <v>0.25</v>
      </c>
      <c r="O1175" s="10">
        <f t="shared" si="447"/>
        <v>0.25</v>
      </c>
      <c r="P1175" s="10">
        <f t="shared" si="447"/>
        <v>0.5</v>
      </c>
      <c r="Q1175" s="40">
        <f t="shared" si="441"/>
        <v>0.87666666666666671</v>
      </c>
      <c r="R1175" s="21">
        <f>IF(D1175&gt;21,VLOOKUP(D1175,Barem!$T$1:$U$141,2,1),0)</f>
        <v>0.3</v>
      </c>
      <c r="S1175" s="152">
        <f>IF(D1175&lt;1.609,0,IF(B1175="F",VLOOKUP(I1175,Barem!$X$2:$Z$13,2,1),VLOOKUP(I1175,Barem!$X$14:$Z$25,2,1)))</f>
        <v>0</v>
      </c>
      <c r="T1175" s="21">
        <f>VLOOKUP(A1175,Participanti!A:C,3,0)</f>
        <v>0</v>
      </c>
      <c r="U1175" s="18">
        <f t="shared" si="444"/>
        <v>4.4891666666666667</v>
      </c>
      <c r="V1175" s="58" t="s">
        <v>505</v>
      </c>
      <c r="W1175" s="77">
        <f t="shared" si="446"/>
        <v>1</v>
      </c>
      <c r="X1175" s="1" t="str">
        <f>VLOOKUP(A1175,Data_Echipe!A:R,18,0)</f>
        <v>The GOATs</v>
      </c>
      <c r="Z1175" s="115">
        <f t="shared" si="442"/>
        <v>1</v>
      </c>
    </row>
    <row r="1176" spans="1:27" x14ac:dyDescent="0.3">
      <c r="A1176" s="49" t="s">
        <v>448</v>
      </c>
      <c r="B1176" s="1" t="str">
        <f>VLOOKUP(A1176,Participanti!A:B,2,0)</f>
        <v>M</v>
      </c>
      <c r="C1176" s="74">
        <v>14</v>
      </c>
      <c r="D1176" s="50">
        <v>30.01</v>
      </c>
      <c r="E1176" s="51">
        <v>0.12471064814814814</v>
      </c>
      <c r="F1176" s="51">
        <v>0.12912037037037036</v>
      </c>
      <c r="G1176" s="69">
        <f t="shared" si="439"/>
        <v>0.12691550925925926</v>
      </c>
      <c r="H1176" s="52"/>
      <c r="I1176" s="12">
        <f t="shared" si="443"/>
        <v>4.2291072728843472E-3</v>
      </c>
      <c r="J1176" s="37">
        <f t="shared" si="440"/>
        <v>5</v>
      </c>
      <c r="K1176" s="37">
        <f>IF(J1176=0,0,IF(B1176="F",VLOOKUP(I1176,Barem!$G$2:$H$16,2,1),VLOOKUP(I1176,Barem!$G$17:$H$31,2,1)))</f>
        <v>1.25</v>
      </c>
      <c r="L1176" s="50">
        <v>0</v>
      </c>
      <c r="M1176" s="124" t="s">
        <v>106</v>
      </c>
      <c r="N1176" s="10">
        <f t="shared" si="447"/>
        <v>0.5</v>
      </c>
      <c r="O1176" s="10">
        <f t="shared" si="447"/>
        <v>0.25</v>
      </c>
      <c r="P1176" s="10">
        <f t="shared" si="447"/>
        <v>0.25</v>
      </c>
      <c r="Q1176" s="40">
        <f t="shared" si="441"/>
        <v>0</v>
      </c>
      <c r="R1176" s="21">
        <f>IF(D1176&gt;21,VLOOKUP(D1176,Barem!$T$1:$U$141,2,1),0)</f>
        <v>0.4</v>
      </c>
      <c r="S1176" s="152">
        <f>IF(D1176&lt;1.609,0,IF(B1176="F",VLOOKUP(I1176,Barem!$X$2:$Z$13,2,1),VLOOKUP(I1176,Barem!$X$14:$Z$25,2,1)))</f>
        <v>0</v>
      </c>
      <c r="T1176" s="21">
        <f>VLOOKUP(A1176,Participanti!A:C,3,0)</f>
        <v>0</v>
      </c>
      <c r="U1176" s="18">
        <f t="shared" si="444"/>
        <v>3.2124999999999999</v>
      </c>
      <c r="V1176" s="58" t="s">
        <v>509</v>
      </c>
      <c r="W1176" s="77">
        <f t="shared" si="446"/>
        <v>1</v>
      </c>
      <c r="X1176" s="1" t="e">
        <f>VLOOKUP(A1176,Data_Echipe!A:R,18,0)</f>
        <v>#N/A</v>
      </c>
      <c r="Z1176" s="115">
        <f t="shared" si="442"/>
        <v>1</v>
      </c>
    </row>
    <row r="1177" spans="1:27" x14ac:dyDescent="0.3">
      <c r="A1177" s="49" t="s">
        <v>64</v>
      </c>
      <c r="B1177" s="1" t="str">
        <f>VLOOKUP(A1177,Participanti!A:B,2,0)</f>
        <v>F</v>
      </c>
      <c r="C1177" s="74">
        <v>14</v>
      </c>
      <c r="D1177" s="50">
        <v>8.25</v>
      </c>
      <c r="E1177" s="51">
        <v>4.1874999999999996E-2</v>
      </c>
      <c r="F1177" s="51">
        <v>5.2453703703703704E-2</v>
      </c>
      <c r="G1177" s="69">
        <f t="shared" ref="G1177:G1183" si="448">AVERAGE(E1177:F1177)</f>
        <v>4.7164351851851846E-2</v>
      </c>
      <c r="H1177" s="52"/>
      <c r="I1177" s="12">
        <f t="shared" si="443"/>
        <v>5.7168911335577994E-3</v>
      </c>
      <c r="J1177" s="37">
        <f t="shared" ref="J1177:J1183" si="449">IF(B1177="F",IF(D1177&lt;2.5,0,IF(D1177&gt;19.99,5,D1177/4)),IF(D1177&lt;3,0, IF(D1177&gt;20.99,5,D1177/4.2)))</f>
        <v>2.0625</v>
      </c>
      <c r="K1177" s="37">
        <f>IF(J1177=0,0,IF(B1177="F",VLOOKUP(I1177,Barem!$G$2:$H$16,2,1),VLOOKUP(I1177,Barem!$G$17:$H$31,2,1)))</f>
        <v>0.25</v>
      </c>
      <c r="L1177" s="50">
        <v>1.25</v>
      </c>
      <c r="M1177" s="124" t="s">
        <v>207</v>
      </c>
      <c r="N1177" s="10">
        <f t="shared" si="447"/>
        <v>0.25</v>
      </c>
      <c r="O1177" s="10">
        <f t="shared" si="447"/>
        <v>0.25</v>
      </c>
      <c r="P1177" s="10">
        <f t="shared" si="447"/>
        <v>0.5</v>
      </c>
      <c r="Q1177" s="40">
        <f t="shared" ref="Q1177:Q1183" si="450">IF(H1177&gt;49,H1177/1500,0)</f>
        <v>0</v>
      </c>
      <c r="R1177" s="21">
        <f>IF(D1177&gt;21,VLOOKUP(D1177,Barem!$T$1:$U$141,2,1),0)</f>
        <v>0</v>
      </c>
      <c r="S1177" s="152">
        <f>IF(D1177&lt;1.609,0,IF(B1177="F",VLOOKUP(I1177,Barem!$X$2:$Z$13,2,1),VLOOKUP(I1177,Barem!$X$14:$Z$25,2,1)))</f>
        <v>0</v>
      </c>
      <c r="T1177" s="21">
        <f>VLOOKUP(A1177,Participanti!A:C,3,0)</f>
        <v>0.7</v>
      </c>
      <c r="U1177" s="18">
        <f t="shared" si="444"/>
        <v>1.903125</v>
      </c>
      <c r="V1177" s="58" t="s">
        <v>509</v>
      </c>
      <c r="W1177" s="77">
        <f t="shared" si="446"/>
        <v>1</v>
      </c>
      <c r="X1177" s="1" t="str">
        <f>VLOOKUP(A1177,Data_Echipe!A:R,18,0)</f>
        <v>UltraHaita lu' Borcan</v>
      </c>
      <c r="Z1177" s="115">
        <f t="shared" ref="Z1177:Z1183" si="451">IF(K1177&gt;0,1,0)</f>
        <v>1</v>
      </c>
    </row>
    <row r="1178" spans="1:27" x14ac:dyDescent="0.3">
      <c r="A1178" s="49" t="s">
        <v>122</v>
      </c>
      <c r="B1178" s="1" t="str">
        <f>VLOOKUP(A1178,Participanti!A:B,2,0)</f>
        <v>M</v>
      </c>
      <c r="C1178" s="74">
        <v>14</v>
      </c>
      <c r="D1178" s="50">
        <v>3.08</v>
      </c>
      <c r="E1178" s="51">
        <v>9.1319444444444443E-3</v>
      </c>
      <c r="F1178" s="51">
        <v>9.1319444444444443E-3</v>
      </c>
      <c r="G1178" s="69">
        <f t="shared" si="448"/>
        <v>9.1319444444444443E-3</v>
      </c>
      <c r="H1178" s="52"/>
      <c r="I1178" s="12">
        <f t="shared" si="443"/>
        <v>2.9649170274170275E-3</v>
      </c>
      <c r="J1178" s="37">
        <f t="shared" si="449"/>
        <v>0.73333333333333328</v>
      </c>
      <c r="K1178" s="37">
        <f>IF(J1178=0,0,IF(B1178="F",VLOOKUP(I1178,Barem!$G$2:$H$16,2,1),VLOOKUP(I1178,Barem!$G$17:$H$31,2,1)))</f>
        <v>4</v>
      </c>
      <c r="L1178" s="50">
        <v>2</v>
      </c>
      <c r="M1178" s="124" t="s">
        <v>107</v>
      </c>
      <c r="N1178" s="10">
        <f t="shared" si="447"/>
        <v>0.25</v>
      </c>
      <c r="O1178" s="10">
        <f t="shared" si="447"/>
        <v>0.5</v>
      </c>
      <c r="P1178" s="10">
        <f t="shared" si="447"/>
        <v>0.25</v>
      </c>
      <c r="Q1178" s="40">
        <f t="shared" si="450"/>
        <v>0</v>
      </c>
      <c r="R1178" s="21">
        <f>IF(D1178&gt;21,VLOOKUP(D1178,Barem!$T$1:$U$141,2,1),0)</f>
        <v>0</v>
      </c>
      <c r="S1178" s="152">
        <f>IF(D1178&lt;1.609,0,IF(B1178="F",VLOOKUP(I1178,Barem!$X$2:$Z$13,2,1),VLOOKUP(I1178,Barem!$X$14:$Z$25,2,1)))</f>
        <v>0</v>
      </c>
      <c r="T1178" s="21">
        <f>VLOOKUP(A1178,Participanti!A:C,3,0)</f>
        <v>0</v>
      </c>
      <c r="U1178" s="18">
        <f t="shared" si="444"/>
        <v>2.6833333333333331</v>
      </c>
      <c r="V1178" s="58" t="s">
        <v>502</v>
      </c>
      <c r="W1178" s="77">
        <f t="shared" si="446"/>
        <v>1</v>
      </c>
      <c r="X1178" s="1" t="str">
        <f>VLOOKUP(A1178,Data_Echipe!A:R,18,0)</f>
        <v>#notSYRious</v>
      </c>
      <c r="Z1178" s="115">
        <f t="shared" si="451"/>
        <v>1</v>
      </c>
    </row>
    <row r="1179" spans="1:27" x14ac:dyDescent="0.3">
      <c r="A1179" s="49" t="s">
        <v>378</v>
      </c>
      <c r="B1179" s="1" t="str">
        <f>VLOOKUP(A1179,Participanti!A:B,2,0)</f>
        <v>F</v>
      </c>
      <c r="C1179" s="74">
        <v>14</v>
      </c>
      <c r="D1179" s="50">
        <v>12.01</v>
      </c>
      <c r="E1179" s="51">
        <v>4.162037037037037E-2</v>
      </c>
      <c r="F1179" s="51">
        <v>4.162037037037037E-2</v>
      </c>
      <c r="G1179" s="69">
        <f t="shared" si="448"/>
        <v>4.162037037037037E-2</v>
      </c>
      <c r="H1179" s="52"/>
      <c r="I1179" s="12">
        <f t="shared" si="443"/>
        <v>3.4654763006136862E-3</v>
      </c>
      <c r="J1179" s="37">
        <f t="shared" si="449"/>
        <v>3.0024999999999999</v>
      </c>
      <c r="K1179" s="37">
        <f>IF(J1179=0,0,IF(B1179="F",VLOOKUP(I1179,Barem!$G$2:$H$16,2,1),VLOOKUP(I1179,Barem!$G$17:$H$31,2,1)))</f>
        <v>4</v>
      </c>
      <c r="L1179" s="50">
        <v>3.5</v>
      </c>
      <c r="M1179" s="124" t="s">
        <v>107</v>
      </c>
      <c r="N1179" s="10">
        <f t="shared" si="447"/>
        <v>0.25</v>
      </c>
      <c r="O1179" s="10">
        <f t="shared" si="447"/>
        <v>0.5</v>
      </c>
      <c r="P1179" s="10">
        <f t="shared" si="447"/>
        <v>0.25</v>
      </c>
      <c r="Q1179" s="40">
        <f t="shared" si="450"/>
        <v>0</v>
      </c>
      <c r="R1179" s="21">
        <f>IF(D1179&gt;21,VLOOKUP(D1179,Barem!$T$1:$U$141,2,1),0)</f>
        <v>0</v>
      </c>
      <c r="S1179" s="152">
        <f>IF(D1179&lt;1.609,0,IF(B1179="F",VLOOKUP(I1179,Barem!$X$2:$Z$13,2,1),VLOOKUP(I1179,Barem!$X$14:$Z$25,2,1)))</f>
        <v>0</v>
      </c>
      <c r="T1179" s="21">
        <f>VLOOKUP(A1179,Participanti!A:C,3,0)</f>
        <v>0</v>
      </c>
      <c r="U1179" s="18">
        <f t="shared" si="444"/>
        <v>3.6256249999999999</v>
      </c>
      <c r="V1179" s="58" t="s">
        <v>508</v>
      </c>
      <c r="W1179" s="77">
        <f t="shared" si="446"/>
        <v>1</v>
      </c>
      <c r="X1179" s="1" t="str">
        <f>VLOOKUP(A1179,Data_Echipe!A:R,18,0)</f>
        <v>MedgidiaRunning</v>
      </c>
      <c r="Z1179" s="115">
        <f t="shared" si="451"/>
        <v>1</v>
      </c>
    </row>
    <row r="1180" spans="1:27" x14ac:dyDescent="0.3">
      <c r="A1180" s="49" t="s">
        <v>205</v>
      </c>
      <c r="B1180" s="1" t="str">
        <f>VLOOKUP(A1180,Participanti!A:B,2,0)</f>
        <v>M</v>
      </c>
      <c r="C1180" s="74">
        <v>14</v>
      </c>
      <c r="D1180" s="50">
        <v>11</v>
      </c>
      <c r="E1180" s="51">
        <v>2.8935185185185185E-2</v>
      </c>
      <c r="F1180" s="51">
        <v>2.8935185185185185E-2</v>
      </c>
      <c r="G1180" s="69">
        <f t="shared" si="448"/>
        <v>2.8935185185185185E-2</v>
      </c>
      <c r="H1180" s="52"/>
      <c r="I1180" s="12">
        <f t="shared" si="443"/>
        <v>2.6304713804713806E-3</v>
      </c>
      <c r="J1180" s="37">
        <f t="shared" si="449"/>
        <v>2.6190476190476191</v>
      </c>
      <c r="K1180" s="37">
        <f>IF(J1180=0,0,IF(B1180="F",VLOOKUP(I1180,Barem!$G$2:$H$16,2,1),VLOOKUP(I1180,Barem!$G$17:$H$31,2,1)))</f>
        <v>5</v>
      </c>
      <c r="L1180" s="50">
        <v>2</v>
      </c>
      <c r="M1180" s="124" t="s">
        <v>107</v>
      </c>
      <c r="N1180" s="10">
        <f t="shared" si="447"/>
        <v>0.25</v>
      </c>
      <c r="O1180" s="10">
        <f t="shared" si="447"/>
        <v>0.5</v>
      </c>
      <c r="P1180" s="10">
        <f t="shared" si="447"/>
        <v>0.25</v>
      </c>
      <c r="Q1180" s="40">
        <f t="shared" si="450"/>
        <v>0</v>
      </c>
      <c r="R1180" s="21">
        <f>IF(D1180&gt;21,VLOOKUP(D1180,Barem!$T$1:$U$141,2,1),0)</f>
        <v>0</v>
      </c>
      <c r="S1180" s="152">
        <f>IF(D1180&lt;1.609,0,IF(B1180="F",VLOOKUP(I1180,Barem!$X$2:$Z$13,2,1),VLOOKUP(I1180,Barem!$X$14:$Z$25,2,1)))</f>
        <v>0.89999999999999991</v>
      </c>
      <c r="T1180" s="21">
        <f>VLOOKUP(A1180,Participanti!A:C,3,0)</f>
        <v>0</v>
      </c>
      <c r="U1180" s="18">
        <f t="shared" si="444"/>
        <v>4.5547619047619046</v>
      </c>
      <c r="V1180" s="58" t="s">
        <v>506</v>
      </c>
      <c r="W1180" s="77">
        <f t="shared" si="446"/>
        <v>1</v>
      </c>
      <c r="X1180" s="1" t="str">
        <f>VLOOKUP(A1180,Data_Echipe!A:R,18,0)</f>
        <v>Almost Kenyan Runners</v>
      </c>
      <c r="Z1180" s="115">
        <f t="shared" si="451"/>
        <v>1</v>
      </c>
    </row>
    <row r="1181" spans="1:27" x14ac:dyDescent="0.3">
      <c r="A1181" s="49" t="s">
        <v>247</v>
      </c>
      <c r="B1181" s="1" t="str">
        <f>VLOOKUP(A1181,Participanti!A:B,2,0)</f>
        <v>M</v>
      </c>
      <c r="C1181" s="74">
        <v>14</v>
      </c>
      <c r="D1181" s="50">
        <v>15</v>
      </c>
      <c r="E1181" s="51">
        <v>5.5405092592592596E-2</v>
      </c>
      <c r="F1181" s="51">
        <v>5.5949074074074075E-2</v>
      </c>
      <c r="G1181" s="69">
        <f t="shared" si="448"/>
        <v>5.5677083333333335E-2</v>
      </c>
      <c r="H1181" s="52">
        <v>52</v>
      </c>
      <c r="I1181" s="12">
        <f t="shared" si="443"/>
        <v>3.7118055555555559E-3</v>
      </c>
      <c r="J1181" s="37">
        <f t="shared" si="449"/>
        <v>3.5714285714285712</v>
      </c>
      <c r="K1181" s="37">
        <f>IF(J1181=0,0,IF(B1181="F",VLOOKUP(I1181,Barem!$G$2:$H$16,2,1),VLOOKUP(I1181,Barem!$G$17:$H$31,2,1)))</f>
        <v>2</v>
      </c>
      <c r="L1181" s="50">
        <v>0.25</v>
      </c>
      <c r="M1181" s="124" t="s">
        <v>107</v>
      </c>
      <c r="N1181" s="10">
        <f t="shared" si="447"/>
        <v>0.25</v>
      </c>
      <c r="O1181" s="10">
        <f t="shared" si="447"/>
        <v>0.5</v>
      </c>
      <c r="P1181" s="10">
        <f t="shared" si="447"/>
        <v>0.25</v>
      </c>
      <c r="Q1181" s="40">
        <f t="shared" si="450"/>
        <v>3.4666666666666665E-2</v>
      </c>
      <c r="R1181" s="21">
        <f>IF(D1181&gt;21,VLOOKUP(D1181,Barem!$T$1:$U$141,2,1),0)</f>
        <v>0</v>
      </c>
      <c r="S1181" s="152">
        <f>IF(D1181&lt;1.609,0,IF(B1181="F",VLOOKUP(I1181,Barem!$X$2:$Z$13,2,1),VLOOKUP(I1181,Barem!$X$14:$Z$25,2,1)))</f>
        <v>0</v>
      </c>
      <c r="T1181" s="21">
        <f>VLOOKUP(A1181,Participanti!A:C,3,0)</f>
        <v>0</v>
      </c>
      <c r="U1181" s="18">
        <f t="shared" si="444"/>
        <v>1.9900238095238094</v>
      </c>
      <c r="V1181" s="58" t="s">
        <v>507</v>
      </c>
      <c r="W1181" s="77">
        <f t="shared" si="446"/>
        <v>1</v>
      </c>
      <c r="X1181" s="1" t="str">
        <f>VLOOKUP(A1181,Data_Echipe!A:R,18,0)</f>
        <v>UltraHaita lu' Borcan</v>
      </c>
      <c r="Z1181" s="115">
        <f t="shared" si="451"/>
        <v>1</v>
      </c>
    </row>
    <row r="1182" spans="1:27" x14ac:dyDescent="0.3">
      <c r="A1182" s="49" t="s">
        <v>403</v>
      </c>
      <c r="B1182" s="1" t="str">
        <f>VLOOKUP(A1182,Participanti!A:B,2,0)</f>
        <v>M</v>
      </c>
      <c r="C1182" s="74">
        <v>14</v>
      </c>
      <c r="D1182" s="50">
        <v>23.72</v>
      </c>
      <c r="E1182" s="51">
        <v>0.11798611111111111</v>
      </c>
      <c r="F1182" s="51">
        <v>0.12175925925925928</v>
      </c>
      <c r="G1182" s="69">
        <f t="shared" si="448"/>
        <v>0.11987268518518519</v>
      </c>
      <c r="H1182" s="52">
        <v>601</v>
      </c>
      <c r="I1182" s="12">
        <f t="shared" si="443"/>
        <v>5.0536545187683472E-3</v>
      </c>
      <c r="J1182" s="37">
        <f t="shared" si="449"/>
        <v>5</v>
      </c>
      <c r="K1182" s="37">
        <f>IF(J1182=0,0,IF(B1182="F",VLOOKUP(I1182,Barem!$G$2:$H$16,2,1),VLOOKUP(I1182,Barem!$G$17:$H$31,2,1)))</f>
        <v>0.25</v>
      </c>
      <c r="L1182" s="50">
        <v>1.5</v>
      </c>
      <c r="M1182" s="124" t="s">
        <v>106</v>
      </c>
      <c r="N1182" s="10">
        <f t="shared" si="447"/>
        <v>0.5</v>
      </c>
      <c r="O1182" s="10">
        <f t="shared" si="447"/>
        <v>0.25</v>
      </c>
      <c r="P1182" s="10">
        <f t="shared" si="447"/>
        <v>0.25</v>
      </c>
      <c r="Q1182" s="40">
        <f t="shared" si="450"/>
        <v>0.40066666666666667</v>
      </c>
      <c r="R1182" s="21">
        <f>IF(D1182&gt;21,VLOOKUP(D1182,Barem!$T$1:$U$141,2,1),0)</f>
        <v>0.1</v>
      </c>
      <c r="S1182" s="152">
        <f>IF(D1182&lt;1.609,0,IF(B1182="F",VLOOKUP(I1182,Barem!$X$2:$Z$13,2,1),VLOOKUP(I1182,Barem!$X$14:$Z$25,2,1)))</f>
        <v>0</v>
      </c>
      <c r="T1182" s="21">
        <f>VLOOKUP(A1182,Participanti!A:C,3,0)</f>
        <v>0</v>
      </c>
      <c r="U1182" s="18">
        <f t="shared" si="444"/>
        <v>3.4381666666666666</v>
      </c>
      <c r="V1182" s="58" t="s">
        <v>511</v>
      </c>
      <c r="W1182" s="77">
        <f t="shared" si="446"/>
        <v>1</v>
      </c>
      <c r="X1182" s="1" t="str">
        <f>VLOOKUP(A1182,Data_Echipe!A:R,18,0)</f>
        <v>The GOATs</v>
      </c>
      <c r="Z1182" s="115">
        <f t="shared" si="451"/>
        <v>1</v>
      </c>
    </row>
    <row r="1183" spans="1:27" ht="14.5" x14ac:dyDescent="0.35">
      <c r="A1183" s="49" t="s">
        <v>108</v>
      </c>
      <c r="B1183" s="1" t="str">
        <f>VLOOKUP(A1183,Participanti!A:B,2,0)</f>
        <v>M</v>
      </c>
      <c r="C1183" s="74">
        <v>14</v>
      </c>
      <c r="D1183" s="50">
        <v>50.51</v>
      </c>
      <c r="E1183" s="51">
        <v>0.35177083333333337</v>
      </c>
      <c r="F1183" s="51">
        <v>0.4241435185185185</v>
      </c>
      <c r="G1183" s="69">
        <f t="shared" si="448"/>
        <v>0.38795717592592593</v>
      </c>
      <c r="H1183" s="52">
        <v>1918</v>
      </c>
      <c r="I1183" s="12">
        <f t="shared" si="443"/>
        <v>7.6807993649955645E-3</v>
      </c>
      <c r="J1183" s="37">
        <f t="shared" si="449"/>
        <v>5</v>
      </c>
      <c r="K1183" s="37">
        <f>IF(J1183=0,0,IF(B1183="F",VLOOKUP(I1183,Barem!$G$2:$H$16,2,1),VLOOKUP(I1183,Barem!$G$17:$H$31,2,1)))</f>
        <v>0</v>
      </c>
      <c r="L1183" s="50">
        <v>5</v>
      </c>
      <c r="M1183" s="124" t="s">
        <v>107</v>
      </c>
      <c r="N1183" s="10">
        <f t="shared" si="447"/>
        <v>0.25</v>
      </c>
      <c r="O1183" s="10">
        <f t="shared" si="447"/>
        <v>0.5</v>
      </c>
      <c r="P1183" s="10">
        <f t="shared" si="447"/>
        <v>0.25</v>
      </c>
      <c r="Q1183" s="40">
        <f t="shared" si="450"/>
        <v>1.2786666666666666</v>
      </c>
      <c r="R1183" s="21">
        <f>IF(D1183&gt;21,VLOOKUP(D1183,Barem!$T$1:$U$141,2,1),0)</f>
        <v>1.4</v>
      </c>
      <c r="S1183" s="152">
        <f>IF(D1183&lt;1.609,0,IF(B1183="F",VLOOKUP(I1183,Barem!$X$2:$Z$13,2,1),VLOOKUP(I1183,Barem!$X$14:$Z$25,2,1)))</f>
        <v>0</v>
      </c>
      <c r="T1183" s="21">
        <f>VLOOKUP(A1183,Participanti!A:C,3,0)</f>
        <v>0</v>
      </c>
      <c r="U1183" s="18">
        <f t="shared" si="444"/>
        <v>5.1786666666666665</v>
      </c>
      <c r="V1183" s="58" t="s">
        <v>509</v>
      </c>
      <c r="W1183" s="77">
        <f t="shared" si="446"/>
        <v>1</v>
      </c>
      <c r="X1183" s="1" t="str">
        <f>VLOOKUP(A1183,Data_Echipe!A:R,18,0)</f>
        <v>UltraHaita lu' Borcan</v>
      </c>
      <c r="Z1183" s="115">
        <f t="shared" si="451"/>
        <v>0</v>
      </c>
      <c r="AA1183" s="159"/>
    </row>
    <row r="1184" spans="1:27" x14ac:dyDescent="0.3">
      <c r="A1184" s="49" t="s">
        <v>336</v>
      </c>
      <c r="B1184" s="1" t="str">
        <f>VLOOKUP(A1184,Participanti!A:B,2,0)</f>
        <v>M</v>
      </c>
      <c r="C1184" s="74">
        <v>15</v>
      </c>
      <c r="D1184" s="50">
        <v>25.16</v>
      </c>
      <c r="E1184" s="51">
        <v>9.9131944444444439E-2</v>
      </c>
      <c r="F1184" s="51">
        <v>9.9131944444444439E-2</v>
      </c>
      <c r="G1184" s="69">
        <f t="shared" ref="G1184:G1225" si="452">AVERAGE(E1184:F1184)</f>
        <v>9.9131944444444439E-2</v>
      </c>
      <c r="H1184" s="52"/>
      <c r="I1184" s="12">
        <f t="shared" ref="I1184:I1225" si="453">G1184/D1184</f>
        <v>3.940061384914326E-3</v>
      </c>
      <c r="J1184" s="37">
        <f t="shared" ref="J1184:J1225" si="454">IF(B1184="F",IF(D1184&lt;2.5,0,IF(D1184&gt;19.99,5,D1184/4)),IF(D1184&lt;3,0, IF(D1184&gt;20.99,5,D1184/4.2)))</f>
        <v>5</v>
      </c>
      <c r="K1184" s="37">
        <f>IF(J1184=0,0,IF(B1184="F",VLOOKUP(I1184,Barem!$G$2:$H$16,2,1),VLOOKUP(I1184,Barem!$G$17:$H$31,2,1)))</f>
        <v>1.75</v>
      </c>
      <c r="L1184" s="50">
        <v>0.75</v>
      </c>
      <c r="M1184" s="124" t="s">
        <v>207</v>
      </c>
      <c r="N1184" s="10">
        <f t="shared" ref="N1184:P1226" si="455">IF($M1184=N$1,50%,25%)</f>
        <v>0.25</v>
      </c>
      <c r="O1184" s="10">
        <f t="shared" si="455"/>
        <v>0.25</v>
      </c>
      <c r="P1184" s="10">
        <f t="shared" si="455"/>
        <v>0.5</v>
      </c>
      <c r="Q1184" s="40">
        <f t="shared" ref="Q1184:Q1225" si="456">IF(H1184&gt;49,H1184/1500,0)</f>
        <v>0</v>
      </c>
      <c r="R1184" s="21">
        <f>IF(D1184&gt;21,VLOOKUP(D1184,Barem!$T$1:$U$141,2,1),0)</f>
        <v>0.2</v>
      </c>
      <c r="S1184" s="152">
        <f>IF(D1184&lt;1.609,0,IF(B1184="F",VLOOKUP(I1184,Barem!$X$2:$Z$13,2,1),VLOOKUP(I1184,Barem!$X$14:$Z$25,2,1)))</f>
        <v>0</v>
      </c>
      <c r="T1184" s="21">
        <f>VLOOKUP(A1184,Participanti!A:C,3,0)</f>
        <v>0</v>
      </c>
      <c r="U1184" s="18">
        <f t="shared" ref="U1184:U1225" si="457">IF(H1184&lt;0,0,J1184*N1184+K1184*O1184+L1184*P1184+Q1184+R1184+S1184+T1184)</f>
        <v>2.2625000000000002</v>
      </c>
      <c r="V1184" s="58" t="s">
        <v>512</v>
      </c>
      <c r="W1184" s="77">
        <f t="shared" si="446"/>
        <v>1</v>
      </c>
      <c r="X1184" s="1" t="e">
        <f>VLOOKUP(A1184,Data_Echipe!A:R,18,0)</f>
        <v>#N/A</v>
      </c>
      <c r="Z1184" s="115">
        <f t="shared" ref="Z1184:Z1225" si="458">IF(K1184&gt;0,1,0)</f>
        <v>1</v>
      </c>
    </row>
    <row r="1185" spans="1:26" x14ac:dyDescent="0.3">
      <c r="A1185" s="49" t="s">
        <v>177</v>
      </c>
      <c r="B1185" s="1" t="str">
        <f>VLOOKUP(A1185,Participanti!A:B,2,0)</f>
        <v>F</v>
      </c>
      <c r="C1185" s="74">
        <v>14</v>
      </c>
      <c r="D1185" s="50">
        <v>9.2100000000000009</v>
      </c>
      <c r="E1185" s="51">
        <v>3.9247685185185184E-2</v>
      </c>
      <c r="F1185" s="51">
        <v>4.1747685185185186E-2</v>
      </c>
      <c r="G1185" s="69">
        <f t="shared" si="452"/>
        <v>4.0497685185185185E-2</v>
      </c>
      <c r="H1185" s="52"/>
      <c r="I1185" s="12">
        <f t="shared" si="453"/>
        <v>4.3971427996943738E-3</v>
      </c>
      <c r="J1185" s="37">
        <f t="shared" si="454"/>
        <v>2.3025000000000002</v>
      </c>
      <c r="K1185" s="37">
        <f>IF(J1185=0,0,IF(B1185="F",VLOOKUP(I1185,Barem!$G$2:$H$16,2,1),VLOOKUP(I1185,Barem!$G$17:$H$31,2,1)))</f>
        <v>1.5</v>
      </c>
      <c r="L1185" s="50">
        <v>3</v>
      </c>
      <c r="M1185" s="124" t="s">
        <v>107</v>
      </c>
      <c r="N1185" s="10">
        <f t="shared" si="455"/>
        <v>0.25</v>
      </c>
      <c r="O1185" s="10">
        <f t="shared" si="455"/>
        <v>0.5</v>
      </c>
      <c r="P1185" s="10">
        <f t="shared" si="455"/>
        <v>0.25</v>
      </c>
      <c r="Q1185" s="40">
        <f t="shared" si="456"/>
        <v>0</v>
      </c>
      <c r="R1185" s="21">
        <f>IF(D1185&gt;21,VLOOKUP(D1185,Barem!$T$1:$U$141,2,1),0)</f>
        <v>0</v>
      </c>
      <c r="S1185" s="152">
        <f>IF(D1185&lt;1.609,0,IF(B1185="F",VLOOKUP(I1185,Barem!$X$2:$Z$13,2,1),VLOOKUP(I1185,Barem!$X$14:$Z$25,2,1)))</f>
        <v>0</v>
      </c>
      <c r="T1185" s="21">
        <f>VLOOKUP(A1185,Participanti!A:C,3,0)</f>
        <v>0</v>
      </c>
      <c r="U1185" s="18">
        <f t="shared" si="457"/>
        <v>2.0756250000000001</v>
      </c>
      <c r="V1185" s="58" t="s">
        <v>512</v>
      </c>
      <c r="W1185" s="77">
        <f t="shared" si="446"/>
        <v>1</v>
      </c>
      <c r="X1185" s="1" t="str">
        <f>VLOOKUP(A1185,Data_Echipe!A:R,18,0)</f>
        <v>UltraHaita lu' Borcan</v>
      </c>
      <c r="Z1185" s="115">
        <f t="shared" si="458"/>
        <v>1</v>
      </c>
    </row>
    <row r="1186" spans="1:26" x14ac:dyDescent="0.3">
      <c r="A1186" s="49" t="s">
        <v>241</v>
      </c>
      <c r="B1186" s="1" t="str">
        <f>VLOOKUP(A1186,Participanti!A:B,2,0)</f>
        <v>F</v>
      </c>
      <c r="C1186" s="74">
        <v>14</v>
      </c>
      <c r="D1186" s="50">
        <v>3.5</v>
      </c>
      <c r="E1186" s="51">
        <v>1.1226851851851854E-2</v>
      </c>
      <c r="F1186" s="51">
        <v>1.1724537037037035E-2</v>
      </c>
      <c r="G1186" s="69">
        <f t="shared" si="452"/>
        <v>1.1475694444444445E-2</v>
      </c>
      <c r="H1186" s="52"/>
      <c r="I1186" s="12">
        <f t="shared" si="453"/>
        <v>3.2787698412698415E-3</v>
      </c>
      <c r="J1186" s="37">
        <f t="shared" si="454"/>
        <v>0.875</v>
      </c>
      <c r="K1186" s="37">
        <f>IF(J1186=0,0,IF(B1186="F",VLOOKUP(I1186,Barem!$G$2:$H$16,2,1),VLOOKUP(I1186,Barem!$G$17:$H$31,2,1)))</f>
        <v>4.5</v>
      </c>
      <c r="L1186" s="50">
        <v>1</v>
      </c>
      <c r="M1186" s="124" t="s">
        <v>107</v>
      </c>
      <c r="N1186" s="10">
        <f t="shared" si="455"/>
        <v>0.25</v>
      </c>
      <c r="O1186" s="10">
        <f t="shared" si="455"/>
        <v>0.5</v>
      </c>
      <c r="P1186" s="10">
        <f t="shared" si="455"/>
        <v>0.25</v>
      </c>
      <c r="Q1186" s="40">
        <f t="shared" si="456"/>
        <v>0</v>
      </c>
      <c r="R1186" s="21">
        <f>IF(D1186&gt;21,VLOOKUP(D1186,Barem!$T$1:$U$141,2,1),0)</f>
        <v>0</v>
      </c>
      <c r="S1186" s="152">
        <f>IF(D1186&lt;1.609,0,IF(B1186="F",VLOOKUP(I1186,Barem!$X$2:$Z$13,2,1),VLOOKUP(I1186,Barem!$X$14:$Z$25,2,1)))</f>
        <v>0</v>
      </c>
      <c r="T1186" s="21">
        <f>VLOOKUP(A1186,Participanti!A:C,3,0)</f>
        <v>0</v>
      </c>
      <c r="U1186" s="18">
        <f t="shared" si="457"/>
        <v>2.71875</v>
      </c>
      <c r="V1186" s="58" t="s">
        <v>512</v>
      </c>
      <c r="W1186" s="77">
        <f t="shared" si="446"/>
        <v>1</v>
      </c>
      <c r="X1186" s="1" t="str">
        <f>VLOOKUP(A1186,Data_Echipe!A:R,18,0)</f>
        <v>Almost Kenyan Runners</v>
      </c>
      <c r="Z1186" s="115">
        <f t="shared" si="458"/>
        <v>1</v>
      </c>
    </row>
    <row r="1187" spans="1:26" x14ac:dyDescent="0.3">
      <c r="A1187" s="49" t="s">
        <v>390</v>
      </c>
      <c r="B1187" s="1" t="str">
        <f>VLOOKUP(A1187,Participanti!A:B,2,0)</f>
        <v>F</v>
      </c>
      <c r="C1187" s="74">
        <v>15</v>
      </c>
      <c r="D1187" s="50">
        <v>9.5</v>
      </c>
      <c r="E1187" s="51">
        <v>3.6828703703703704E-2</v>
      </c>
      <c r="F1187" s="51">
        <v>3.7465277777777778E-2</v>
      </c>
      <c r="G1187" s="69">
        <f t="shared" si="452"/>
        <v>3.7146990740740737E-2</v>
      </c>
      <c r="H1187" s="52"/>
      <c r="I1187" s="12">
        <f t="shared" si="453"/>
        <v>3.9102095516569194E-3</v>
      </c>
      <c r="J1187" s="37">
        <f t="shared" si="454"/>
        <v>2.375</v>
      </c>
      <c r="K1187" s="37">
        <f>IF(J1187=0,0,IF(B1187="F",VLOOKUP(I1187,Barem!$G$2:$H$16,2,1),VLOOKUP(I1187,Barem!$G$17:$H$31,2,1)))</f>
        <v>2.5</v>
      </c>
      <c r="L1187" s="50">
        <v>2.25</v>
      </c>
      <c r="M1187" s="124" t="s">
        <v>107</v>
      </c>
      <c r="N1187" s="10">
        <f t="shared" si="455"/>
        <v>0.25</v>
      </c>
      <c r="O1187" s="10">
        <f t="shared" si="455"/>
        <v>0.5</v>
      </c>
      <c r="P1187" s="10">
        <f t="shared" si="455"/>
        <v>0.25</v>
      </c>
      <c r="Q1187" s="40">
        <f t="shared" si="456"/>
        <v>0</v>
      </c>
      <c r="R1187" s="21">
        <f>IF(D1187&gt;21,VLOOKUP(D1187,Barem!$T$1:$U$141,2,1),0)</f>
        <v>0</v>
      </c>
      <c r="S1187" s="152">
        <f>IF(D1187&lt;1.609,0,IF(B1187="F",VLOOKUP(I1187,Barem!$X$2:$Z$13,2,1),VLOOKUP(I1187,Barem!$X$14:$Z$25,2,1)))</f>
        <v>0</v>
      </c>
      <c r="T1187" s="21">
        <f>VLOOKUP(A1187,Participanti!A:C,3,0)</f>
        <v>0</v>
      </c>
      <c r="U1187" s="18">
        <f t="shared" si="457"/>
        <v>2.40625</v>
      </c>
      <c r="V1187" s="58" t="s">
        <v>512</v>
      </c>
      <c r="W1187" s="77">
        <f t="shared" si="446"/>
        <v>1</v>
      </c>
      <c r="X1187" s="1" t="str">
        <f>VLOOKUP(A1187,Data_Echipe!A:R,18,0)</f>
        <v>#notSYRious</v>
      </c>
      <c r="Z1187" s="115">
        <f t="shared" si="458"/>
        <v>1</v>
      </c>
    </row>
    <row r="1188" spans="1:26" x14ac:dyDescent="0.3">
      <c r="A1188" s="49" t="s">
        <v>339</v>
      </c>
      <c r="B1188" s="1" t="str">
        <f>VLOOKUP(A1188,Participanti!A:B,2,0)</f>
        <v>M</v>
      </c>
      <c r="C1188" s="74">
        <v>15</v>
      </c>
      <c r="D1188" s="50">
        <v>11.39</v>
      </c>
      <c r="E1188" s="51">
        <v>4.0034722222222222E-2</v>
      </c>
      <c r="F1188" s="51">
        <v>4.0462962962962964E-2</v>
      </c>
      <c r="G1188" s="69">
        <f t="shared" si="452"/>
        <v>4.0248842592592593E-2</v>
      </c>
      <c r="H1188" s="52"/>
      <c r="I1188" s="12">
        <f t="shared" si="453"/>
        <v>3.533699964231132E-3</v>
      </c>
      <c r="J1188" s="37">
        <f t="shared" si="454"/>
        <v>2.711904761904762</v>
      </c>
      <c r="K1188" s="37">
        <f>IF(J1188=0,0,IF(B1188="F",VLOOKUP(I1188,Barem!$G$2:$H$16,2,1),VLOOKUP(I1188,Barem!$G$17:$H$31,2,1)))</f>
        <v>2.5</v>
      </c>
      <c r="L1188" s="50">
        <v>2</v>
      </c>
      <c r="M1188" s="124" t="s">
        <v>207</v>
      </c>
      <c r="N1188" s="10">
        <f t="shared" si="455"/>
        <v>0.25</v>
      </c>
      <c r="O1188" s="10">
        <f t="shared" si="455"/>
        <v>0.25</v>
      </c>
      <c r="P1188" s="10">
        <f t="shared" si="455"/>
        <v>0.5</v>
      </c>
      <c r="Q1188" s="40">
        <f t="shared" si="456"/>
        <v>0</v>
      </c>
      <c r="R1188" s="21">
        <f>IF(D1188&gt;21,VLOOKUP(D1188,Barem!$T$1:$U$141,2,1),0)</f>
        <v>0</v>
      </c>
      <c r="S1188" s="152">
        <f>IF(D1188&lt;1.609,0,IF(B1188="F",VLOOKUP(I1188,Barem!$X$2:$Z$13,2,1),VLOOKUP(I1188,Barem!$X$14:$Z$25,2,1)))</f>
        <v>0</v>
      </c>
      <c r="T1188" s="21">
        <f>VLOOKUP(A1188,Participanti!A:C,3,0)</f>
        <v>0</v>
      </c>
      <c r="U1188" s="18">
        <f t="shared" si="457"/>
        <v>2.3029761904761905</v>
      </c>
      <c r="V1188" s="58" t="s">
        <v>512</v>
      </c>
      <c r="W1188" s="77">
        <f t="shared" si="446"/>
        <v>1</v>
      </c>
      <c r="X1188" s="1" t="str">
        <f>VLOOKUP(A1188,Data_Echipe!A:R,18,0)</f>
        <v>MedgidiaRunning</v>
      </c>
      <c r="Z1188" s="115">
        <f t="shared" si="458"/>
        <v>1</v>
      </c>
    </row>
    <row r="1189" spans="1:26" x14ac:dyDescent="0.3">
      <c r="A1189" s="49" t="s">
        <v>252</v>
      </c>
      <c r="B1189" s="1" t="str">
        <f>VLOOKUP(A1189,Participanti!A:B,2,0)</f>
        <v>M</v>
      </c>
      <c r="C1189" s="74">
        <v>15</v>
      </c>
      <c r="D1189" s="50">
        <v>5.01</v>
      </c>
      <c r="E1189" s="51">
        <v>2.5868055555555557E-2</v>
      </c>
      <c r="F1189" s="51">
        <v>2.7743055555555559E-2</v>
      </c>
      <c r="G1189" s="69">
        <f t="shared" si="452"/>
        <v>2.6805555555555558E-2</v>
      </c>
      <c r="H1189" s="52"/>
      <c r="I1189" s="12">
        <f t="shared" si="453"/>
        <v>5.3504102905300522E-3</v>
      </c>
      <c r="J1189" s="37">
        <f t="shared" si="454"/>
        <v>1.1928571428571428</v>
      </c>
      <c r="K1189" s="37">
        <f>IF(J1189=0,0,IF(B1189="F",VLOOKUP(I1189,Barem!$G$2:$H$16,2,1),VLOOKUP(I1189,Barem!$G$17:$H$31,2,1)))</f>
        <v>0.25</v>
      </c>
      <c r="L1189" s="50">
        <v>4</v>
      </c>
      <c r="M1189" s="124" t="s">
        <v>107</v>
      </c>
      <c r="N1189" s="10">
        <f t="shared" si="455"/>
        <v>0.25</v>
      </c>
      <c r="O1189" s="10">
        <f t="shared" si="455"/>
        <v>0.5</v>
      </c>
      <c r="P1189" s="10">
        <f t="shared" si="455"/>
        <v>0.25</v>
      </c>
      <c r="Q1189" s="40">
        <f t="shared" si="456"/>
        <v>0</v>
      </c>
      <c r="R1189" s="21">
        <f>IF(D1189&gt;21,VLOOKUP(D1189,Barem!$T$1:$U$141,2,1),0)</f>
        <v>0</v>
      </c>
      <c r="S1189" s="152">
        <f>IF(D1189&lt;1.609,0,IF(B1189="F",VLOOKUP(I1189,Barem!$X$2:$Z$13,2,1),VLOOKUP(I1189,Barem!$X$14:$Z$25,2,1)))</f>
        <v>0</v>
      </c>
      <c r="T1189" s="21">
        <f>VLOOKUP(A1189,Participanti!A:C,3,0)</f>
        <v>0</v>
      </c>
      <c r="U1189" s="18">
        <f t="shared" si="457"/>
        <v>1.4232142857142858</v>
      </c>
      <c r="V1189" s="58" t="s">
        <v>513</v>
      </c>
      <c r="W1189" s="77">
        <f t="shared" si="446"/>
        <v>1</v>
      </c>
      <c r="X1189" s="1" t="str">
        <f>VLOOKUP(A1189,Data_Echipe!A:R,18,0)</f>
        <v>UltraHaita lu' Borcan</v>
      </c>
      <c r="Z1189" s="115">
        <f t="shared" si="458"/>
        <v>1</v>
      </c>
    </row>
    <row r="1190" spans="1:26" x14ac:dyDescent="0.3">
      <c r="A1190" s="49" t="s">
        <v>125</v>
      </c>
      <c r="B1190" s="1" t="str">
        <f>VLOOKUP(A1190,Participanti!A:B,2,0)</f>
        <v>M</v>
      </c>
      <c r="C1190" s="74">
        <v>15</v>
      </c>
      <c r="D1190" s="50">
        <v>10.51</v>
      </c>
      <c r="E1190" s="51">
        <v>2.9282407407407406E-2</v>
      </c>
      <c r="F1190" s="51">
        <v>2.9282407407407406E-2</v>
      </c>
      <c r="G1190" s="69">
        <f t="shared" si="452"/>
        <v>2.9282407407407406E-2</v>
      </c>
      <c r="H1190" s="52"/>
      <c r="I1190" s="12">
        <f t="shared" si="453"/>
        <v>2.7861472319131689E-3</v>
      </c>
      <c r="J1190" s="37">
        <f t="shared" si="454"/>
        <v>2.5023809523809524</v>
      </c>
      <c r="K1190" s="37">
        <f>IF(J1190=0,0,IF(B1190="F",VLOOKUP(I1190,Barem!$G$2:$H$16,2,1),VLOOKUP(I1190,Barem!$G$17:$H$31,2,1)))</f>
        <v>5</v>
      </c>
      <c r="L1190" s="50">
        <v>1.5</v>
      </c>
      <c r="M1190" s="124" t="s">
        <v>107</v>
      </c>
      <c r="N1190" s="10">
        <f t="shared" si="455"/>
        <v>0.25</v>
      </c>
      <c r="O1190" s="10">
        <f t="shared" si="455"/>
        <v>0.5</v>
      </c>
      <c r="P1190" s="10">
        <f t="shared" si="455"/>
        <v>0.25</v>
      </c>
      <c r="Q1190" s="40">
        <f t="shared" si="456"/>
        <v>0</v>
      </c>
      <c r="R1190" s="21">
        <f>IF(D1190&gt;21,VLOOKUP(D1190,Barem!$T$1:$U$141,2,1),0)</f>
        <v>0</v>
      </c>
      <c r="S1190" s="152">
        <f>IF(D1190&lt;1.609,0,IF(B1190="F",VLOOKUP(I1190,Barem!$X$2:$Z$13,2,1),VLOOKUP(I1190,Barem!$X$14:$Z$25,2,1)))</f>
        <v>0</v>
      </c>
      <c r="T1190" s="21">
        <f>VLOOKUP(A1190,Participanti!A:C,3,0)</f>
        <v>0</v>
      </c>
      <c r="U1190" s="18">
        <f t="shared" si="457"/>
        <v>3.5005952380952383</v>
      </c>
      <c r="V1190" s="58" t="s">
        <v>513</v>
      </c>
      <c r="W1190" s="77">
        <f t="shared" si="446"/>
        <v>1</v>
      </c>
      <c r="X1190" s="1" t="str">
        <f>VLOOKUP(A1190,Data_Echipe!A:R,18,0)</f>
        <v>The GOATs</v>
      </c>
      <c r="Z1190" s="115">
        <f t="shared" si="458"/>
        <v>1</v>
      </c>
    </row>
    <row r="1191" spans="1:26" x14ac:dyDescent="0.3">
      <c r="A1191" s="49" t="s">
        <v>300</v>
      </c>
      <c r="B1191" s="1" t="str">
        <f>VLOOKUP(A1191,Participanti!A:B,2,0)</f>
        <v>M</v>
      </c>
      <c r="C1191" s="74">
        <v>15</v>
      </c>
      <c r="D1191" s="50">
        <v>10.220000000000001</v>
      </c>
      <c r="E1191" s="51">
        <v>3.5347222222222217E-2</v>
      </c>
      <c r="F1191" s="51">
        <v>3.5347222222222217E-2</v>
      </c>
      <c r="G1191" s="69">
        <f t="shared" si="452"/>
        <v>3.5347222222222217E-2</v>
      </c>
      <c r="H1191" s="52"/>
      <c r="I1191" s="12">
        <f t="shared" si="453"/>
        <v>3.4586323113720368E-3</v>
      </c>
      <c r="J1191" s="37">
        <f t="shared" si="454"/>
        <v>2.4333333333333336</v>
      </c>
      <c r="K1191" s="37">
        <f>IF(J1191=0,0,IF(B1191="F",VLOOKUP(I1191,Barem!$G$2:$H$16,2,1),VLOOKUP(I1191,Barem!$G$17:$H$31,2,1)))</f>
        <v>3</v>
      </c>
      <c r="L1191" s="50">
        <v>2</v>
      </c>
      <c r="M1191" s="124" t="s">
        <v>207</v>
      </c>
      <c r="N1191" s="10">
        <f t="shared" si="455"/>
        <v>0.25</v>
      </c>
      <c r="O1191" s="10">
        <f t="shared" si="455"/>
        <v>0.25</v>
      </c>
      <c r="P1191" s="10">
        <f t="shared" si="455"/>
        <v>0.5</v>
      </c>
      <c r="Q1191" s="40">
        <f t="shared" si="456"/>
        <v>0</v>
      </c>
      <c r="R1191" s="21">
        <f>IF(D1191&gt;21,VLOOKUP(D1191,Barem!$T$1:$U$141,2,1),0)</f>
        <v>0</v>
      </c>
      <c r="S1191" s="152">
        <f>IF(D1191&lt;1.609,0,IF(B1191="F",VLOOKUP(I1191,Barem!$X$2:$Z$13,2,1),VLOOKUP(I1191,Barem!$X$14:$Z$25,2,1)))</f>
        <v>0</v>
      </c>
      <c r="T1191" s="21">
        <f>VLOOKUP(A1191,Participanti!A:C,3,0)</f>
        <v>0</v>
      </c>
      <c r="U1191" s="18">
        <f t="shared" si="457"/>
        <v>2.3583333333333334</v>
      </c>
      <c r="V1191" s="58" t="s">
        <v>513</v>
      </c>
      <c r="W1191" s="77">
        <f t="shared" si="446"/>
        <v>1</v>
      </c>
      <c r="X1191" s="1" t="str">
        <f>VLOOKUP(A1191,Data_Echipe!A:R,18,0)</f>
        <v>#notSYRious</v>
      </c>
      <c r="Z1191" s="115">
        <f t="shared" si="458"/>
        <v>1</v>
      </c>
    </row>
    <row r="1192" spans="1:26" x14ac:dyDescent="0.3">
      <c r="A1192" s="49" t="s">
        <v>469</v>
      </c>
      <c r="B1192" s="1" t="str">
        <f>VLOOKUP(A1192,Participanti!A:B,2,0)</f>
        <v>M</v>
      </c>
      <c r="C1192" s="74">
        <v>15</v>
      </c>
      <c r="D1192" s="50">
        <v>15</v>
      </c>
      <c r="E1192" s="51">
        <v>5.3622685185185183E-2</v>
      </c>
      <c r="F1192" s="51">
        <v>5.7881944444444444E-2</v>
      </c>
      <c r="G1192" s="69">
        <f t="shared" si="452"/>
        <v>5.575231481481481E-2</v>
      </c>
      <c r="H1192" s="52">
        <v>87</v>
      </c>
      <c r="I1192" s="12">
        <f t="shared" si="453"/>
        <v>3.7168209876543208E-3</v>
      </c>
      <c r="J1192" s="37">
        <f t="shared" si="454"/>
        <v>3.5714285714285712</v>
      </c>
      <c r="K1192" s="37">
        <f>IF(J1192=0,0,IF(B1192="F",VLOOKUP(I1192,Barem!$G$2:$H$16,2,1),VLOOKUP(I1192,Barem!$G$17:$H$31,2,1)))</f>
        <v>2</v>
      </c>
      <c r="L1192" s="50">
        <v>2</v>
      </c>
      <c r="M1192" s="124" t="s">
        <v>106</v>
      </c>
      <c r="N1192" s="10">
        <f t="shared" si="455"/>
        <v>0.5</v>
      </c>
      <c r="O1192" s="10">
        <f t="shared" si="455"/>
        <v>0.25</v>
      </c>
      <c r="P1192" s="10">
        <f t="shared" si="455"/>
        <v>0.25</v>
      </c>
      <c r="Q1192" s="40">
        <f t="shared" si="456"/>
        <v>5.8000000000000003E-2</v>
      </c>
      <c r="R1192" s="21">
        <f>IF(D1192&gt;21,VLOOKUP(D1192,Barem!$T$1:$U$141,2,1),0)</f>
        <v>0</v>
      </c>
      <c r="S1192" s="152">
        <f>IF(D1192&lt;1.609,0,IF(B1192="F",VLOOKUP(I1192,Barem!$X$2:$Z$13,2,1),VLOOKUP(I1192,Barem!$X$14:$Z$25,2,1)))</f>
        <v>0</v>
      </c>
      <c r="T1192" s="21">
        <f>VLOOKUP(A1192,Participanti!A:C,3,0)</f>
        <v>0</v>
      </c>
      <c r="U1192" s="18">
        <f t="shared" si="457"/>
        <v>2.8437142857142854</v>
      </c>
      <c r="V1192" s="58" t="s">
        <v>513</v>
      </c>
      <c r="W1192" s="77">
        <f t="shared" si="446"/>
        <v>1</v>
      </c>
      <c r="X1192" s="1" t="e">
        <f>VLOOKUP(A1192,Data_Echipe!A:R,18,0)</f>
        <v>#N/A</v>
      </c>
      <c r="Z1192" s="115">
        <f t="shared" si="458"/>
        <v>1</v>
      </c>
    </row>
    <row r="1193" spans="1:26" x14ac:dyDescent="0.3">
      <c r="A1193" s="49" t="s">
        <v>396</v>
      </c>
      <c r="B1193" s="1" t="str">
        <f>VLOOKUP(A1193,Participanti!A:B,2,0)</f>
        <v>F</v>
      </c>
      <c r="C1193" s="74">
        <v>15</v>
      </c>
      <c r="D1193" s="50">
        <v>7.46</v>
      </c>
      <c r="E1193" s="51">
        <v>3.8252314814814815E-2</v>
      </c>
      <c r="F1193" s="51">
        <v>3.8252314814814815E-2</v>
      </c>
      <c r="G1193" s="69">
        <f t="shared" si="452"/>
        <v>3.8252314814814815E-2</v>
      </c>
      <c r="H1193" s="52"/>
      <c r="I1193" s="12">
        <f t="shared" si="453"/>
        <v>5.1276561413960879E-3</v>
      </c>
      <c r="J1193" s="37">
        <f t="shared" si="454"/>
        <v>1.865</v>
      </c>
      <c r="K1193" s="37">
        <f>IF(J1193=0,0,IF(B1193="F",VLOOKUP(I1193,Barem!$G$2:$H$16,2,1),VLOOKUP(I1193,Barem!$G$17:$H$31,2,1)))</f>
        <v>0.5</v>
      </c>
      <c r="L1193" s="50">
        <v>2.5</v>
      </c>
      <c r="M1193" s="124" t="s">
        <v>106</v>
      </c>
      <c r="N1193" s="10">
        <f t="shared" si="455"/>
        <v>0.5</v>
      </c>
      <c r="O1193" s="10">
        <f t="shared" si="455"/>
        <v>0.25</v>
      </c>
      <c r="P1193" s="10">
        <f t="shared" si="455"/>
        <v>0.25</v>
      </c>
      <c r="Q1193" s="40">
        <f t="shared" si="456"/>
        <v>0</v>
      </c>
      <c r="R1193" s="21">
        <f>IF(D1193&gt;21,VLOOKUP(D1193,Barem!$T$1:$U$141,2,1),0)</f>
        <v>0</v>
      </c>
      <c r="S1193" s="152">
        <f>IF(D1193&lt;1.609,0,IF(B1193="F",VLOOKUP(I1193,Barem!$X$2:$Z$13,2,1),VLOOKUP(I1193,Barem!$X$14:$Z$25,2,1)))</f>
        <v>0</v>
      </c>
      <c r="T1193" s="21">
        <f>VLOOKUP(A1193,Participanti!A:C,3,0)</f>
        <v>0</v>
      </c>
      <c r="U1193" s="18">
        <f t="shared" si="457"/>
        <v>1.6825000000000001</v>
      </c>
      <c r="V1193" s="58" t="s">
        <v>513</v>
      </c>
      <c r="W1193" s="77">
        <f t="shared" si="446"/>
        <v>1</v>
      </c>
      <c r="X1193" s="1" t="str">
        <f>VLOOKUP(A1193,Data_Echipe!A:R,18,0)</f>
        <v>MedgidiaRunning</v>
      </c>
      <c r="Z1193" s="115">
        <f t="shared" si="458"/>
        <v>1</v>
      </c>
    </row>
    <row r="1194" spans="1:26" x14ac:dyDescent="0.3">
      <c r="A1194" s="49" t="s">
        <v>332</v>
      </c>
      <c r="B1194" s="1" t="str">
        <f>VLOOKUP(A1194,Participanti!A:B,2,0)</f>
        <v>M</v>
      </c>
      <c r="C1194" s="74">
        <v>15</v>
      </c>
      <c r="D1194" s="50">
        <v>10.01</v>
      </c>
      <c r="E1194" s="51">
        <v>3.3657407407407407E-2</v>
      </c>
      <c r="F1194" s="51">
        <v>3.5277777777777776E-2</v>
      </c>
      <c r="G1194" s="69">
        <f t="shared" si="452"/>
        <v>3.4467592592592591E-2</v>
      </c>
      <c r="H1194" s="52"/>
      <c r="I1194" s="12">
        <f t="shared" si="453"/>
        <v>3.4433159433159433E-3</v>
      </c>
      <c r="J1194" s="37">
        <f t="shared" si="454"/>
        <v>2.3833333333333333</v>
      </c>
      <c r="K1194" s="37">
        <f>IF(J1194=0,0,IF(B1194="F",VLOOKUP(I1194,Barem!$G$2:$H$16,2,1),VLOOKUP(I1194,Barem!$G$17:$H$31,2,1)))</f>
        <v>3</v>
      </c>
      <c r="L1194" s="50">
        <v>3</v>
      </c>
      <c r="M1194" s="124" t="s">
        <v>107</v>
      </c>
      <c r="N1194" s="10">
        <f t="shared" si="455"/>
        <v>0.25</v>
      </c>
      <c r="O1194" s="10">
        <f t="shared" si="455"/>
        <v>0.5</v>
      </c>
      <c r="P1194" s="10">
        <f t="shared" si="455"/>
        <v>0.25</v>
      </c>
      <c r="Q1194" s="40">
        <f t="shared" si="456"/>
        <v>0</v>
      </c>
      <c r="R1194" s="21">
        <f>IF(D1194&gt;21,VLOOKUP(D1194,Barem!$T$1:$U$141,2,1),0)</f>
        <v>0</v>
      </c>
      <c r="S1194" s="152">
        <f>IF(D1194&lt;1.609,0,IF(B1194="F",VLOOKUP(I1194,Barem!$X$2:$Z$13,2,1),VLOOKUP(I1194,Barem!$X$14:$Z$25,2,1)))</f>
        <v>0</v>
      </c>
      <c r="T1194" s="21">
        <f>VLOOKUP(A1194,Participanti!A:C,3,0)</f>
        <v>0.4</v>
      </c>
      <c r="U1194" s="18">
        <f t="shared" si="457"/>
        <v>3.2458333333333331</v>
      </c>
      <c r="V1194" s="58" t="s">
        <v>514</v>
      </c>
      <c r="W1194" s="77">
        <f t="shared" si="446"/>
        <v>1</v>
      </c>
      <c r="X1194" s="1" t="str">
        <f>VLOOKUP(A1194,Data_Echipe!A:R,18,0)</f>
        <v>MedgidiaRunning</v>
      </c>
      <c r="Z1194" s="115">
        <f t="shared" si="458"/>
        <v>1</v>
      </c>
    </row>
    <row r="1195" spans="1:26" x14ac:dyDescent="0.3">
      <c r="A1195" s="49" t="s">
        <v>208</v>
      </c>
      <c r="B1195" s="1" t="str">
        <f>VLOOKUP(A1195,Participanti!A:B,2,0)</f>
        <v>M</v>
      </c>
      <c r="C1195" s="74">
        <v>15</v>
      </c>
      <c r="D1195" s="50">
        <v>10</v>
      </c>
      <c r="E1195" s="51">
        <v>2.9988425925925922E-2</v>
      </c>
      <c r="F1195" s="51">
        <v>2.9988425925925922E-2</v>
      </c>
      <c r="G1195" s="69">
        <f t="shared" si="452"/>
        <v>2.9988425925925922E-2</v>
      </c>
      <c r="H1195" s="52"/>
      <c r="I1195" s="12">
        <f t="shared" si="453"/>
        <v>2.998842592592592E-3</v>
      </c>
      <c r="J1195" s="37">
        <f t="shared" si="454"/>
        <v>2.3809523809523809</v>
      </c>
      <c r="K1195" s="37">
        <f>IF(J1195=0,0,IF(B1195="F",VLOOKUP(I1195,Barem!$G$2:$H$16,2,1),VLOOKUP(I1195,Barem!$G$17:$H$31,2,1)))</f>
        <v>4</v>
      </c>
      <c r="L1195" s="50">
        <v>2.25</v>
      </c>
      <c r="M1195" s="124" t="s">
        <v>107</v>
      </c>
      <c r="N1195" s="10">
        <f t="shared" si="455"/>
        <v>0.25</v>
      </c>
      <c r="O1195" s="10">
        <f t="shared" si="455"/>
        <v>0.5</v>
      </c>
      <c r="P1195" s="10">
        <f t="shared" si="455"/>
        <v>0.25</v>
      </c>
      <c r="Q1195" s="40">
        <f t="shared" si="456"/>
        <v>0</v>
      </c>
      <c r="R1195" s="21">
        <f>IF(D1195&gt;21,VLOOKUP(D1195,Barem!$T$1:$U$141,2,1),0)</f>
        <v>0</v>
      </c>
      <c r="S1195" s="152">
        <f>IF(D1195&lt;1.609,0,IF(B1195="F",VLOOKUP(I1195,Barem!$X$2:$Z$13,2,1),VLOOKUP(I1195,Barem!$X$14:$Z$25,2,1)))</f>
        <v>0</v>
      </c>
      <c r="T1195" s="21">
        <f>VLOOKUP(A1195,Participanti!A:C,3,0)</f>
        <v>0</v>
      </c>
      <c r="U1195" s="18">
        <f t="shared" si="457"/>
        <v>3.1577380952380953</v>
      </c>
      <c r="V1195" s="58" t="s">
        <v>514</v>
      </c>
      <c r="W1195" s="77">
        <f t="shared" si="446"/>
        <v>1</v>
      </c>
      <c r="X1195" s="1" t="e">
        <f>VLOOKUP(A1195,Data_Echipe!A:R,18,0)</f>
        <v>#N/A</v>
      </c>
      <c r="Z1195" s="115">
        <f t="shared" si="458"/>
        <v>1</v>
      </c>
    </row>
    <row r="1196" spans="1:26" x14ac:dyDescent="0.3">
      <c r="A1196" s="49" t="s">
        <v>333</v>
      </c>
      <c r="B1196" s="1" t="str">
        <f>VLOOKUP(A1196,Participanti!A:B,2,0)</f>
        <v>M</v>
      </c>
      <c r="C1196" s="74">
        <v>15</v>
      </c>
      <c r="D1196" s="50">
        <v>3.74</v>
      </c>
      <c r="E1196" s="51">
        <v>1.2951388888888887E-2</v>
      </c>
      <c r="F1196" s="51">
        <v>1.300925925925926E-2</v>
      </c>
      <c r="G1196" s="69">
        <f t="shared" si="452"/>
        <v>1.2980324074074075E-2</v>
      </c>
      <c r="H1196" s="52"/>
      <c r="I1196" s="12">
        <f t="shared" si="453"/>
        <v>3.4706748861160625E-3</v>
      </c>
      <c r="J1196" s="37">
        <f t="shared" si="454"/>
        <v>0.89047619047619053</v>
      </c>
      <c r="K1196" s="37">
        <f>IF(J1196=0,0,IF(B1196="F",VLOOKUP(I1196,Barem!$G$2:$H$16,2,1),VLOOKUP(I1196,Barem!$G$17:$H$31,2,1)))</f>
        <v>3</v>
      </c>
      <c r="L1196" s="50">
        <v>3</v>
      </c>
      <c r="M1196" s="124" t="s">
        <v>107</v>
      </c>
      <c r="N1196" s="10">
        <f t="shared" si="455"/>
        <v>0.25</v>
      </c>
      <c r="O1196" s="10">
        <f t="shared" si="455"/>
        <v>0.5</v>
      </c>
      <c r="P1196" s="10">
        <f t="shared" si="455"/>
        <v>0.25</v>
      </c>
      <c r="Q1196" s="40">
        <f t="shared" si="456"/>
        <v>0</v>
      </c>
      <c r="R1196" s="21">
        <f>IF(D1196&gt;21,VLOOKUP(D1196,Barem!$T$1:$U$141,2,1),0)</f>
        <v>0</v>
      </c>
      <c r="S1196" s="152">
        <f>IF(D1196&lt;1.609,0,IF(B1196="F",VLOOKUP(I1196,Barem!$X$2:$Z$13,2,1),VLOOKUP(I1196,Barem!$X$14:$Z$25,2,1)))</f>
        <v>0</v>
      </c>
      <c r="T1196" s="21">
        <f>VLOOKUP(A1196,Participanti!A:C,3,0)</f>
        <v>0</v>
      </c>
      <c r="U1196" s="18">
        <f t="shared" si="457"/>
        <v>2.4726190476190477</v>
      </c>
      <c r="V1196" s="58" t="s">
        <v>514</v>
      </c>
      <c r="W1196" s="77">
        <f t="shared" si="446"/>
        <v>1</v>
      </c>
      <c r="X1196" s="1" t="str">
        <f>VLOOKUP(A1196,Data_Echipe!A:R,18,0)</f>
        <v>UltraHaita lu' Borcan</v>
      </c>
      <c r="Z1196" s="115">
        <f t="shared" si="458"/>
        <v>1</v>
      </c>
    </row>
    <row r="1197" spans="1:26" x14ac:dyDescent="0.3">
      <c r="A1197" s="49" t="s">
        <v>275</v>
      </c>
      <c r="B1197" s="1" t="str">
        <f>VLOOKUP(A1197,Participanti!A:B,2,0)</f>
        <v>M</v>
      </c>
      <c r="C1197" s="74">
        <v>15</v>
      </c>
      <c r="D1197" s="50">
        <v>21.29</v>
      </c>
      <c r="E1197" s="51">
        <v>0.10793981481481481</v>
      </c>
      <c r="F1197" s="51">
        <v>0.11083333333333334</v>
      </c>
      <c r="G1197" s="69">
        <f t="shared" si="452"/>
        <v>0.10938657407407407</v>
      </c>
      <c r="H1197" s="52">
        <v>1064</v>
      </c>
      <c r="I1197" s="12">
        <f t="shared" si="453"/>
        <v>5.1379320842683922E-3</v>
      </c>
      <c r="J1197" s="37">
        <f t="shared" si="454"/>
        <v>5</v>
      </c>
      <c r="K1197" s="37">
        <f>IF(J1197=0,0,IF(B1197="F",VLOOKUP(I1197,Barem!$G$2:$H$16,2,1),VLOOKUP(I1197,Barem!$G$17:$H$31,2,1)))</f>
        <v>0.25</v>
      </c>
      <c r="L1197" s="50">
        <v>2.75</v>
      </c>
      <c r="M1197" s="124" t="s">
        <v>207</v>
      </c>
      <c r="N1197" s="10">
        <f t="shared" si="455"/>
        <v>0.25</v>
      </c>
      <c r="O1197" s="10">
        <f t="shared" si="455"/>
        <v>0.25</v>
      </c>
      <c r="P1197" s="10">
        <f t="shared" si="455"/>
        <v>0.5</v>
      </c>
      <c r="Q1197" s="40">
        <f t="shared" si="456"/>
        <v>0.70933333333333337</v>
      </c>
      <c r="R1197" s="21">
        <f>IF(D1197&gt;21,VLOOKUP(D1197,Barem!$T$1:$U$141,2,1),0)</f>
        <v>0</v>
      </c>
      <c r="S1197" s="152">
        <f>IF(D1197&lt;1.609,0,IF(B1197="F",VLOOKUP(I1197,Barem!$X$2:$Z$13,2,1),VLOOKUP(I1197,Barem!$X$14:$Z$25,2,1)))</f>
        <v>0</v>
      </c>
      <c r="T1197" s="21">
        <f>VLOOKUP(A1197,Participanti!A:C,3,0)</f>
        <v>0</v>
      </c>
      <c r="U1197" s="18">
        <f t="shared" si="457"/>
        <v>3.3968333333333334</v>
      </c>
      <c r="V1197" s="58" t="s">
        <v>514</v>
      </c>
      <c r="W1197" s="77">
        <f t="shared" si="446"/>
        <v>1</v>
      </c>
      <c r="X1197" s="1" t="e">
        <f>VLOOKUP(A1197,Data_Echipe!A:R,18,0)</f>
        <v>#N/A</v>
      </c>
      <c r="Z1197" s="115">
        <f t="shared" si="458"/>
        <v>1</v>
      </c>
    </row>
    <row r="1198" spans="1:26" x14ac:dyDescent="0.3">
      <c r="A1198" s="49" t="s">
        <v>225</v>
      </c>
      <c r="B1198" s="1" t="str">
        <f>VLOOKUP(A1198,Participanti!A:B,2,0)</f>
        <v>F</v>
      </c>
      <c r="C1198" s="74">
        <v>15</v>
      </c>
      <c r="D1198" s="50">
        <v>10.7</v>
      </c>
      <c r="E1198" s="51">
        <v>4.7858796296296295E-2</v>
      </c>
      <c r="F1198" s="51">
        <v>4.8125000000000001E-2</v>
      </c>
      <c r="G1198" s="69">
        <f t="shared" si="452"/>
        <v>4.7991898148148152E-2</v>
      </c>
      <c r="H1198" s="52"/>
      <c r="I1198" s="12">
        <f t="shared" si="453"/>
        <v>4.4852241259951547E-3</v>
      </c>
      <c r="J1198" s="37">
        <f t="shared" si="454"/>
        <v>2.6749999999999998</v>
      </c>
      <c r="K1198" s="37">
        <f>IF(J1198=0,0,IF(B1198="F",VLOOKUP(I1198,Barem!$G$2:$H$16,2,1),VLOOKUP(I1198,Barem!$G$17:$H$31,2,1)))</f>
        <v>1.5</v>
      </c>
      <c r="L1198" s="50">
        <v>4.25</v>
      </c>
      <c r="M1198" s="124" t="s">
        <v>107</v>
      </c>
      <c r="N1198" s="10">
        <f t="shared" si="455"/>
        <v>0.25</v>
      </c>
      <c r="O1198" s="10">
        <f t="shared" si="455"/>
        <v>0.5</v>
      </c>
      <c r="P1198" s="10">
        <f t="shared" si="455"/>
        <v>0.25</v>
      </c>
      <c r="Q1198" s="40">
        <f t="shared" si="456"/>
        <v>0</v>
      </c>
      <c r="R1198" s="21">
        <f>IF(D1198&gt;21,VLOOKUP(D1198,Barem!$T$1:$U$141,2,1),0)</f>
        <v>0</v>
      </c>
      <c r="S1198" s="152">
        <f>IF(D1198&lt;1.609,0,IF(B1198="F",VLOOKUP(I1198,Barem!$X$2:$Z$13,2,1),VLOOKUP(I1198,Barem!$X$14:$Z$25,2,1)))</f>
        <v>0</v>
      </c>
      <c r="T1198" s="21">
        <f>VLOOKUP(A1198,Participanti!A:C,3,0)</f>
        <v>0</v>
      </c>
      <c r="U1198" s="18">
        <f t="shared" si="457"/>
        <v>2.4812500000000002</v>
      </c>
      <c r="V1198" s="58" t="s">
        <v>514</v>
      </c>
      <c r="W1198" s="77">
        <f t="shared" si="446"/>
        <v>1</v>
      </c>
      <c r="X1198" s="1" t="str">
        <f>VLOOKUP(A1198,Data_Echipe!A:R,18,0)</f>
        <v>The GOATs</v>
      </c>
      <c r="Z1198" s="115">
        <f t="shared" si="458"/>
        <v>1</v>
      </c>
    </row>
    <row r="1199" spans="1:26" x14ac:dyDescent="0.3">
      <c r="A1199" s="49" t="s">
        <v>344</v>
      </c>
      <c r="B1199" s="1" t="str">
        <f>VLOOKUP(A1199,Participanti!A:B,2,0)</f>
        <v>F</v>
      </c>
      <c r="C1199" s="74">
        <v>15</v>
      </c>
      <c r="D1199" s="50">
        <v>9.43</v>
      </c>
      <c r="E1199" s="51">
        <v>3.7442129629629624E-2</v>
      </c>
      <c r="F1199" s="51">
        <v>3.7442129629629624E-2</v>
      </c>
      <c r="G1199" s="69">
        <f t="shared" si="452"/>
        <v>3.7442129629629624E-2</v>
      </c>
      <c r="H1199" s="52"/>
      <c r="I1199" s="12">
        <f t="shared" si="453"/>
        <v>3.9705333647539372E-3</v>
      </c>
      <c r="J1199" s="37">
        <f t="shared" si="454"/>
        <v>2.3574999999999999</v>
      </c>
      <c r="K1199" s="37">
        <f>IF(J1199=0,0,IF(B1199="F",VLOOKUP(I1199,Barem!$G$2:$H$16,2,1),VLOOKUP(I1199,Barem!$G$17:$H$31,2,1)))</f>
        <v>2.5</v>
      </c>
      <c r="L1199" s="50">
        <v>3.5</v>
      </c>
      <c r="M1199" s="124" t="s">
        <v>107</v>
      </c>
      <c r="N1199" s="10">
        <f t="shared" si="455"/>
        <v>0.25</v>
      </c>
      <c r="O1199" s="10">
        <f t="shared" si="455"/>
        <v>0.5</v>
      </c>
      <c r="P1199" s="10">
        <f t="shared" si="455"/>
        <v>0.25</v>
      </c>
      <c r="Q1199" s="40">
        <f t="shared" si="456"/>
        <v>0</v>
      </c>
      <c r="R1199" s="21">
        <f>IF(D1199&gt;21,VLOOKUP(D1199,Barem!$T$1:$U$141,2,1),0)</f>
        <v>0</v>
      </c>
      <c r="S1199" s="152">
        <f>IF(D1199&lt;1.609,0,IF(B1199="F",VLOOKUP(I1199,Barem!$X$2:$Z$13,2,1),VLOOKUP(I1199,Barem!$X$14:$Z$25,2,1)))</f>
        <v>0</v>
      </c>
      <c r="T1199" s="21">
        <f>VLOOKUP(A1199,Participanti!A:C,3,0)</f>
        <v>0</v>
      </c>
      <c r="U1199" s="18">
        <f t="shared" si="457"/>
        <v>2.714375</v>
      </c>
      <c r="V1199" s="58" t="s">
        <v>515</v>
      </c>
      <c r="W1199" s="77">
        <f t="shared" si="446"/>
        <v>1</v>
      </c>
      <c r="X1199" s="1" t="e">
        <f>VLOOKUP(A1199,Data_Echipe!A:R,18,0)</f>
        <v>#N/A</v>
      </c>
      <c r="Z1199" s="115">
        <f t="shared" si="458"/>
        <v>1</v>
      </c>
    </row>
    <row r="1200" spans="1:26" x14ac:dyDescent="0.3">
      <c r="A1200" s="49" t="s">
        <v>132</v>
      </c>
      <c r="B1200" s="1" t="str">
        <f>VLOOKUP(A1200,Participanti!A:B,2,0)</f>
        <v>F</v>
      </c>
      <c r="C1200" s="74">
        <v>15</v>
      </c>
      <c r="D1200" s="50">
        <v>5.0199999999999996</v>
      </c>
      <c r="E1200" s="51">
        <v>2.0682870370370372E-2</v>
      </c>
      <c r="F1200" s="51">
        <v>2.1527777777777781E-2</v>
      </c>
      <c r="G1200" s="69">
        <f t="shared" si="452"/>
        <v>2.1105324074074075E-2</v>
      </c>
      <c r="H1200" s="52"/>
      <c r="I1200" s="12">
        <f t="shared" si="453"/>
        <v>4.204247823520732E-3</v>
      </c>
      <c r="J1200" s="37">
        <f t="shared" si="454"/>
        <v>1.2549999999999999</v>
      </c>
      <c r="K1200" s="37">
        <f>IF(J1200=0,0,IF(B1200="F",VLOOKUP(I1200,Barem!$G$2:$H$16,2,1),VLOOKUP(I1200,Barem!$G$17:$H$31,2,1)))</f>
        <v>1.75</v>
      </c>
      <c r="L1200" s="50">
        <v>3.25</v>
      </c>
      <c r="M1200" s="124" t="s">
        <v>107</v>
      </c>
      <c r="N1200" s="10">
        <f t="shared" si="455"/>
        <v>0.25</v>
      </c>
      <c r="O1200" s="10">
        <f t="shared" si="455"/>
        <v>0.5</v>
      </c>
      <c r="P1200" s="10">
        <f t="shared" si="455"/>
        <v>0.25</v>
      </c>
      <c r="Q1200" s="40">
        <f t="shared" si="456"/>
        <v>0</v>
      </c>
      <c r="R1200" s="21">
        <f>IF(D1200&gt;21,VLOOKUP(D1200,Barem!$T$1:$U$141,2,1),0)</f>
        <v>0</v>
      </c>
      <c r="S1200" s="152">
        <f>IF(D1200&lt;1.609,0,IF(B1200="F",VLOOKUP(I1200,Barem!$X$2:$Z$13,2,1),VLOOKUP(I1200,Barem!$X$14:$Z$25,2,1)))</f>
        <v>0</v>
      </c>
      <c r="T1200" s="21">
        <f>VLOOKUP(A1200,Participanti!A:C,3,0)</f>
        <v>0</v>
      </c>
      <c r="U1200" s="18">
        <f t="shared" si="457"/>
        <v>2.0012499999999998</v>
      </c>
      <c r="V1200" s="58" t="s">
        <v>515</v>
      </c>
      <c r="W1200" s="77">
        <f t="shared" si="446"/>
        <v>1</v>
      </c>
      <c r="X1200" s="1" t="str">
        <f>VLOOKUP(A1200,Data_Echipe!A:R,18,0)</f>
        <v>MedgidiaRunning</v>
      </c>
      <c r="Z1200" s="115">
        <f t="shared" si="458"/>
        <v>1</v>
      </c>
    </row>
    <row r="1201" spans="1:26" x14ac:dyDescent="0.3">
      <c r="A1201" s="49" t="s">
        <v>356</v>
      </c>
      <c r="B1201" s="1" t="str">
        <f>VLOOKUP(A1201,Participanti!A:B,2,0)</f>
        <v>M</v>
      </c>
      <c r="C1201" s="74">
        <v>15</v>
      </c>
      <c r="D1201" s="50">
        <v>4.01</v>
      </c>
      <c r="E1201" s="51">
        <v>1.2951388888888887E-2</v>
      </c>
      <c r="F1201" s="51">
        <v>1.4201388888888888E-2</v>
      </c>
      <c r="G1201" s="69">
        <f t="shared" si="452"/>
        <v>1.3576388888888888E-2</v>
      </c>
      <c r="H1201" s="52"/>
      <c r="I1201" s="12">
        <f t="shared" si="453"/>
        <v>3.3856331393737876E-3</v>
      </c>
      <c r="J1201" s="37">
        <f t="shared" si="454"/>
        <v>0.9547619047619047</v>
      </c>
      <c r="K1201" s="37">
        <f>IF(J1201=0,0,IF(B1201="F",VLOOKUP(I1201,Barem!$G$2:$H$16,2,1),VLOOKUP(I1201,Barem!$G$17:$H$31,2,1)))</f>
        <v>3</v>
      </c>
      <c r="L1201" s="50">
        <v>2.75</v>
      </c>
      <c r="M1201" s="124" t="s">
        <v>107</v>
      </c>
      <c r="N1201" s="10">
        <f t="shared" si="455"/>
        <v>0.25</v>
      </c>
      <c r="O1201" s="10">
        <f t="shared" si="455"/>
        <v>0.5</v>
      </c>
      <c r="P1201" s="10">
        <f t="shared" si="455"/>
        <v>0.25</v>
      </c>
      <c r="Q1201" s="40">
        <f t="shared" si="456"/>
        <v>0</v>
      </c>
      <c r="R1201" s="21">
        <f>IF(D1201&gt;21,VLOOKUP(D1201,Barem!$T$1:$U$141,2,1),0)</f>
        <v>0</v>
      </c>
      <c r="S1201" s="152">
        <f>IF(D1201&lt;1.609,0,IF(B1201="F",VLOOKUP(I1201,Barem!$X$2:$Z$13,2,1),VLOOKUP(I1201,Barem!$X$14:$Z$25,2,1)))</f>
        <v>0</v>
      </c>
      <c r="T1201" s="21">
        <f>VLOOKUP(A1201,Participanti!A:C,3,0)</f>
        <v>0</v>
      </c>
      <c r="U1201" s="18">
        <f t="shared" si="457"/>
        <v>2.4261904761904765</v>
      </c>
      <c r="V1201" s="58" t="s">
        <v>515</v>
      </c>
      <c r="W1201" s="77">
        <f t="shared" si="446"/>
        <v>1</v>
      </c>
      <c r="X1201" s="1" t="str">
        <f>VLOOKUP(A1201,Data_Echipe!A:R,18,0)</f>
        <v>MedgidiaRunning</v>
      </c>
      <c r="Z1201" s="115">
        <f t="shared" si="458"/>
        <v>1</v>
      </c>
    </row>
    <row r="1202" spans="1:26" x14ac:dyDescent="0.3">
      <c r="A1202" s="49" t="s">
        <v>116</v>
      </c>
      <c r="B1202" s="1" t="str">
        <f>VLOOKUP(A1202,Participanti!A:B,2,0)</f>
        <v>F</v>
      </c>
      <c r="C1202" s="74">
        <v>15</v>
      </c>
      <c r="D1202" s="50">
        <v>6</v>
      </c>
      <c r="E1202" s="51">
        <v>2.3321759259259261E-2</v>
      </c>
      <c r="F1202" s="51">
        <v>2.3645833333333335E-2</v>
      </c>
      <c r="G1202" s="69">
        <f t="shared" si="452"/>
        <v>2.3483796296296298E-2</v>
      </c>
      <c r="H1202" s="52"/>
      <c r="I1202" s="12">
        <f t="shared" si="453"/>
        <v>3.9139660493827163E-3</v>
      </c>
      <c r="J1202" s="37">
        <f t="shared" si="454"/>
        <v>1.5</v>
      </c>
      <c r="K1202" s="37">
        <f>IF(J1202=0,0,IF(B1202="F",VLOOKUP(I1202,Barem!$G$2:$H$16,2,1),VLOOKUP(I1202,Barem!$G$17:$H$31,2,1)))</f>
        <v>2.5</v>
      </c>
      <c r="L1202" s="50">
        <v>3.5</v>
      </c>
      <c r="M1202" s="124" t="s">
        <v>107</v>
      </c>
      <c r="N1202" s="10">
        <f t="shared" si="455"/>
        <v>0.25</v>
      </c>
      <c r="O1202" s="10">
        <f t="shared" si="455"/>
        <v>0.5</v>
      </c>
      <c r="P1202" s="10">
        <f t="shared" si="455"/>
        <v>0.25</v>
      </c>
      <c r="Q1202" s="40">
        <f t="shared" si="456"/>
        <v>0</v>
      </c>
      <c r="R1202" s="21">
        <f>IF(D1202&gt;21,VLOOKUP(D1202,Barem!$T$1:$U$141,2,1),0)</f>
        <v>0</v>
      </c>
      <c r="S1202" s="152">
        <f>IF(D1202&lt;1.609,0,IF(B1202="F",VLOOKUP(I1202,Barem!$X$2:$Z$13,2,1),VLOOKUP(I1202,Barem!$X$14:$Z$25,2,1)))</f>
        <v>0</v>
      </c>
      <c r="T1202" s="21">
        <f>VLOOKUP(A1202,Participanti!A:C,3,0)</f>
        <v>0</v>
      </c>
      <c r="U1202" s="18">
        <f t="shared" si="457"/>
        <v>2.5</v>
      </c>
      <c r="V1202" s="58" t="s">
        <v>515</v>
      </c>
      <c r="W1202" s="77">
        <f t="shared" si="446"/>
        <v>1</v>
      </c>
      <c r="X1202" s="1" t="str">
        <f>VLOOKUP(A1202,Data_Echipe!A:R,18,0)</f>
        <v>#notSYRious</v>
      </c>
      <c r="Z1202" s="115">
        <f t="shared" si="458"/>
        <v>1</v>
      </c>
    </row>
    <row r="1203" spans="1:26" x14ac:dyDescent="0.3">
      <c r="A1203" s="49" t="s">
        <v>351</v>
      </c>
      <c r="B1203" s="1" t="str">
        <f>VLOOKUP(A1203,Participanti!A:B,2,0)</f>
        <v>F</v>
      </c>
      <c r="C1203" s="74">
        <v>15</v>
      </c>
      <c r="D1203" s="50">
        <v>10.09</v>
      </c>
      <c r="E1203" s="51">
        <v>3.1655092592592596E-2</v>
      </c>
      <c r="F1203" s="51">
        <v>3.1655092592592596E-2</v>
      </c>
      <c r="G1203" s="69">
        <f t="shared" si="452"/>
        <v>3.1655092592592596E-2</v>
      </c>
      <c r="H1203" s="52"/>
      <c r="I1203" s="12">
        <f t="shared" si="453"/>
        <v>3.1372737951033298E-3</v>
      </c>
      <c r="J1203" s="37">
        <f t="shared" si="454"/>
        <v>2.5225</v>
      </c>
      <c r="K1203" s="37">
        <f>IF(J1203=0,0,IF(B1203="F",VLOOKUP(I1203,Barem!$G$2:$H$16,2,1),VLOOKUP(I1203,Barem!$G$17:$H$31,2,1)))</f>
        <v>4.5</v>
      </c>
      <c r="L1203" s="50">
        <v>1.5</v>
      </c>
      <c r="M1203" s="124" t="s">
        <v>207</v>
      </c>
      <c r="N1203" s="10">
        <f t="shared" si="455"/>
        <v>0.25</v>
      </c>
      <c r="O1203" s="10">
        <f t="shared" si="455"/>
        <v>0.25</v>
      </c>
      <c r="P1203" s="10">
        <f t="shared" si="455"/>
        <v>0.5</v>
      </c>
      <c r="Q1203" s="40">
        <f t="shared" si="456"/>
        <v>0</v>
      </c>
      <c r="R1203" s="21">
        <f>IF(D1203&gt;21,VLOOKUP(D1203,Barem!$T$1:$U$141,2,1),0)</f>
        <v>0</v>
      </c>
      <c r="S1203" s="152">
        <f>IF(D1203&lt;1.609,0,IF(B1203="F",VLOOKUP(I1203,Barem!$X$2:$Z$13,2,1),VLOOKUP(I1203,Barem!$X$14:$Z$25,2,1)))</f>
        <v>0</v>
      </c>
      <c r="T1203" s="21">
        <f>VLOOKUP(A1203,Participanti!A:C,3,0)</f>
        <v>0</v>
      </c>
      <c r="U1203" s="18">
        <f t="shared" si="457"/>
        <v>2.5056250000000002</v>
      </c>
      <c r="V1203" s="58" t="s">
        <v>515</v>
      </c>
      <c r="W1203" s="77">
        <f t="shared" si="446"/>
        <v>1</v>
      </c>
      <c r="X1203" s="1" t="e">
        <f>VLOOKUP(A1203,Data_Echipe!A:R,18,0)</f>
        <v>#N/A</v>
      </c>
      <c r="Z1203" s="115">
        <f t="shared" si="458"/>
        <v>1</v>
      </c>
    </row>
    <row r="1204" spans="1:26" x14ac:dyDescent="0.3">
      <c r="A1204" s="49" t="s">
        <v>292</v>
      </c>
      <c r="B1204" s="1" t="str">
        <f>VLOOKUP(A1204,Participanti!A:B,2,0)</f>
        <v>F</v>
      </c>
      <c r="C1204" s="74">
        <v>15</v>
      </c>
      <c r="D1204" s="50">
        <v>17.239999999999998</v>
      </c>
      <c r="E1204" s="51">
        <v>0.1079976851851852</v>
      </c>
      <c r="F1204" s="51">
        <v>0.11511574074074075</v>
      </c>
      <c r="G1204" s="69">
        <f t="shared" si="452"/>
        <v>0.11155671296296298</v>
      </c>
      <c r="H1204" s="52">
        <v>605</v>
      </c>
      <c r="I1204" s="12">
        <f t="shared" si="453"/>
        <v>6.4708070164131663E-3</v>
      </c>
      <c r="J1204" s="37">
        <f t="shared" si="454"/>
        <v>4.3099999999999996</v>
      </c>
      <c r="K1204" s="37">
        <f>IF(J1204=0,0,IF(B1204="F",VLOOKUP(I1204,Barem!$G$2:$H$16,2,1),VLOOKUP(I1204,Barem!$G$17:$H$31,2,1)))</f>
        <v>0</v>
      </c>
      <c r="L1204" s="50">
        <v>1</v>
      </c>
      <c r="M1204" s="124" t="s">
        <v>207</v>
      </c>
      <c r="N1204" s="10">
        <f t="shared" si="455"/>
        <v>0.25</v>
      </c>
      <c r="O1204" s="10">
        <f t="shared" si="455"/>
        <v>0.25</v>
      </c>
      <c r="P1204" s="10">
        <f t="shared" si="455"/>
        <v>0.5</v>
      </c>
      <c r="Q1204" s="40">
        <f t="shared" si="456"/>
        <v>0.40333333333333332</v>
      </c>
      <c r="R1204" s="21">
        <f>IF(D1204&gt;21,VLOOKUP(D1204,Barem!$T$1:$U$141,2,1),0)</f>
        <v>0</v>
      </c>
      <c r="S1204" s="152">
        <f>IF(D1204&lt;1.609,0,IF(B1204="F",VLOOKUP(I1204,Barem!$X$2:$Z$13,2,1),VLOOKUP(I1204,Barem!$X$14:$Z$25,2,1)))</f>
        <v>0</v>
      </c>
      <c r="T1204" s="21">
        <f>VLOOKUP(A1204,Participanti!A:C,3,0)</f>
        <v>0</v>
      </c>
      <c r="U1204" s="18">
        <f t="shared" si="457"/>
        <v>1.9808333333333332</v>
      </c>
      <c r="V1204" s="58" t="s">
        <v>515</v>
      </c>
      <c r="W1204" s="77">
        <f t="shared" si="446"/>
        <v>1</v>
      </c>
      <c r="X1204" s="1" t="e">
        <f>VLOOKUP(A1204,Data_Echipe!A:R,18,0)</f>
        <v>#N/A</v>
      </c>
      <c r="Z1204" s="115">
        <f t="shared" si="458"/>
        <v>0</v>
      </c>
    </row>
    <row r="1205" spans="1:26" x14ac:dyDescent="0.3">
      <c r="A1205" s="49" t="s">
        <v>335</v>
      </c>
      <c r="B1205" s="1" t="str">
        <f>VLOOKUP(A1205,Participanti!A:B,2,0)</f>
        <v>M</v>
      </c>
      <c r="C1205" s="74">
        <v>15</v>
      </c>
      <c r="D1205" s="50">
        <v>11.5</v>
      </c>
      <c r="E1205" s="51">
        <v>4.2789351851851849E-2</v>
      </c>
      <c r="F1205" s="51">
        <v>4.2893518518518518E-2</v>
      </c>
      <c r="G1205" s="69">
        <f t="shared" si="452"/>
        <v>4.2841435185185184E-2</v>
      </c>
      <c r="H1205" s="52">
        <v>152</v>
      </c>
      <c r="I1205" s="12">
        <f t="shared" si="453"/>
        <v>3.7253421900161031E-3</v>
      </c>
      <c r="J1205" s="37">
        <f t="shared" si="454"/>
        <v>2.7380952380952381</v>
      </c>
      <c r="K1205" s="37">
        <f>IF(J1205=0,0,IF(B1205="F",VLOOKUP(I1205,Barem!$G$2:$H$16,2,1),VLOOKUP(I1205,Barem!$G$17:$H$31,2,1)))</f>
        <v>2</v>
      </c>
      <c r="L1205" s="50">
        <v>3</v>
      </c>
      <c r="M1205" s="124" t="s">
        <v>207</v>
      </c>
      <c r="N1205" s="10">
        <f t="shared" si="455"/>
        <v>0.25</v>
      </c>
      <c r="O1205" s="10">
        <f t="shared" si="455"/>
        <v>0.25</v>
      </c>
      <c r="P1205" s="10">
        <f t="shared" si="455"/>
        <v>0.5</v>
      </c>
      <c r="Q1205" s="40">
        <f t="shared" si="456"/>
        <v>0.10133333333333333</v>
      </c>
      <c r="R1205" s="21">
        <f>IF(D1205&gt;21,VLOOKUP(D1205,Barem!$T$1:$U$141,2,1),0)</f>
        <v>0</v>
      </c>
      <c r="S1205" s="152">
        <f>IF(D1205&lt;1.609,0,IF(B1205="F",VLOOKUP(I1205,Barem!$X$2:$Z$13,2,1),VLOOKUP(I1205,Barem!$X$14:$Z$25,2,1)))</f>
        <v>0</v>
      </c>
      <c r="T1205" s="21">
        <f>VLOOKUP(A1205,Participanti!A:C,3,0)</f>
        <v>0.4</v>
      </c>
      <c r="U1205" s="18">
        <f t="shared" si="457"/>
        <v>3.1858571428571425</v>
      </c>
      <c r="V1205" s="58" t="s">
        <v>515</v>
      </c>
      <c r="W1205" s="77">
        <f t="shared" si="446"/>
        <v>1</v>
      </c>
      <c r="X1205" s="1" t="e">
        <f>VLOOKUP(A1205,Data_Echipe!A:R,18,0)</f>
        <v>#N/A</v>
      </c>
      <c r="Z1205" s="115">
        <f t="shared" si="458"/>
        <v>1</v>
      </c>
    </row>
    <row r="1206" spans="1:26" x14ac:dyDescent="0.3">
      <c r="A1206" s="49" t="s">
        <v>510</v>
      </c>
      <c r="B1206" s="1" t="str">
        <f>VLOOKUP(A1206,Participanti!A:B,2,0)</f>
        <v>M</v>
      </c>
      <c r="C1206" s="74">
        <v>15</v>
      </c>
      <c r="D1206" s="50">
        <v>10.18</v>
      </c>
      <c r="E1206" s="51">
        <v>4.5081018518518513E-2</v>
      </c>
      <c r="F1206" s="51">
        <v>4.6030092592592588E-2</v>
      </c>
      <c r="G1206" s="69">
        <f t="shared" si="452"/>
        <v>4.5555555555555551E-2</v>
      </c>
      <c r="H1206" s="52"/>
      <c r="I1206" s="12">
        <f t="shared" si="453"/>
        <v>4.4750054573237281E-3</v>
      </c>
      <c r="J1206" s="37">
        <f t="shared" si="454"/>
        <v>2.4238095238095236</v>
      </c>
      <c r="K1206" s="37">
        <f>IF(J1206=0,0,IF(B1206="F",VLOOKUP(I1206,Barem!$G$2:$H$16,2,1),VLOOKUP(I1206,Barem!$G$17:$H$31,2,1)))</f>
        <v>1</v>
      </c>
      <c r="L1206" s="50">
        <v>1.5</v>
      </c>
      <c r="M1206" s="124" t="s">
        <v>207</v>
      </c>
      <c r="N1206" s="10">
        <f t="shared" si="455"/>
        <v>0.25</v>
      </c>
      <c r="O1206" s="10">
        <f t="shared" si="455"/>
        <v>0.25</v>
      </c>
      <c r="P1206" s="10">
        <f t="shared" si="455"/>
        <v>0.5</v>
      </c>
      <c r="Q1206" s="40">
        <f t="shared" si="456"/>
        <v>0</v>
      </c>
      <c r="R1206" s="21">
        <f>IF(D1206&gt;21,VLOOKUP(D1206,Barem!$T$1:$U$141,2,1),0)</f>
        <v>0</v>
      </c>
      <c r="S1206" s="152">
        <f>IF(D1206&lt;1.609,0,IF(B1206="F",VLOOKUP(I1206,Barem!$X$2:$Z$13,2,1),VLOOKUP(I1206,Barem!$X$14:$Z$25,2,1)))</f>
        <v>0</v>
      </c>
      <c r="T1206" s="21">
        <f>VLOOKUP(A1206,Participanti!A:C,3,0)</f>
        <v>0</v>
      </c>
      <c r="U1206" s="18">
        <f t="shared" si="457"/>
        <v>1.605952380952381</v>
      </c>
      <c r="V1206" s="58" t="s">
        <v>515</v>
      </c>
      <c r="W1206" s="77">
        <f t="shared" si="446"/>
        <v>1</v>
      </c>
      <c r="X1206" s="1" t="e">
        <f>VLOOKUP(A1206,Data_Echipe!A:R,18,0)</f>
        <v>#N/A</v>
      </c>
      <c r="Z1206" s="115">
        <f t="shared" si="458"/>
        <v>1</v>
      </c>
    </row>
    <row r="1207" spans="1:26" x14ac:dyDescent="0.3">
      <c r="A1207" s="49" t="s">
        <v>345</v>
      </c>
      <c r="B1207" s="1" t="str">
        <f>VLOOKUP(A1207,Participanti!A:B,2,0)</f>
        <v>F</v>
      </c>
      <c r="C1207" s="74">
        <v>15</v>
      </c>
      <c r="D1207" s="50">
        <v>17</v>
      </c>
      <c r="E1207" s="51">
        <v>7.3831018518518518E-2</v>
      </c>
      <c r="F1207" s="51">
        <v>7.662037037037038E-2</v>
      </c>
      <c r="G1207" s="69">
        <f t="shared" si="452"/>
        <v>7.5225694444444449E-2</v>
      </c>
      <c r="H1207" s="52">
        <v>100</v>
      </c>
      <c r="I1207" s="12">
        <f t="shared" si="453"/>
        <v>4.4250408496732032E-3</v>
      </c>
      <c r="J1207" s="37">
        <f t="shared" si="454"/>
        <v>4.25</v>
      </c>
      <c r="K1207" s="37">
        <f>IF(J1207=0,0,IF(B1207="F",VLOOKUP(I1207,Barem!$G$2:$H$16,2,1),VLOOKUP(I1207,Barem!$G$17:$H$31,2,1)))</f>
        <v>1.5</v>
      </c>
      <c r="L1207" s="50">
        <v>2</v>
      </c>
      <c r="M1207" s="124" t="s">
        <v>207</v>
      </c>
      <c r="N1207" s="10">
        <f t="shared" si="455"/>
        <v>0.25</v>
      </c>
      <c r="O1207" s="10">
        <f t="shared" si="455"/>
        <v>0.25</v>
      </c>
      <c r="P1207" s="10">
        <f t="shared" si="455"/>
        <v>0.5</v>
      </c>
      <c r="Q1207" s="40">
        <f t="shared" si="456"/>
        <v>6.6666666666666666E-2</v>
      </c>
      <c r="R1207" s="21">
        <f>IF(D1207&gt;21,VLOOKUP(D1207,Barem!$T$1:$U$141,2,1),0)</f>
        <v>0</v>
      </c>
      <c r="S1207" s="152">
        <f>IF(D1207&lt;1.609,0,IF(B1207="F",VLOOKUP(I1207,Barem!$X$2:$Z$13,2,1),VLOOKUP(I1207,Barem!$X$14:$Z$25,2,1)))</f>
        <v>0</v>
      </c>
      <c r="T1207" s="21">
        <f>VLOOKUP(A1207,Participanti!A:C,3,0)</f>
        <v>0</v>
      </c>
      <c r="U1207" s="18">
        <f t="shared" si="457"/>
        <v>2.5041666666666669</v>
      </c>
      <c r="V1207" s="58" t="s">
        <v>515</v>
      </c>
      <c r="W1207" s="77">
        <f t="shared" si="446"/>
        <v>1</v>
      </c>
      <c r="X1207" s="1" t="str">
        <f>VLOOKUP(A1207,Data_Echipe!A:R,18,0)</f>
        <v>MedgidiaRunning</v>
      </c>
      <c r="Z1207" s="115">
        <f t="shared" si="458"/>
        <v>1</v>
      </c>
    </row>
    <row r="1208" spans="1:26" x14ac:dyDescent="0.3">
      <c r="A1208" s="49" t="s">
        <v>355</v>
      </c>
      <c r="B1208" s="1" t="str">
        <f>VLOOKUP(A1208,Participanti!A:B,2,0)</f>
        <v>F</v>
      </c>
      <c r="C1208" s="74">
        <v>15</v>
      </c>
      <c r="D1208" s="50">
        <v>10.02</v>
      </c>
      <c r="E1208" s="51">
        <v>4.6631944444444441E-2</v>
      </c>
      <c r="F1208" s="51">
        <v>5.4282407407407411E-2</v>
      </c>
      <c r="G1208" s="69">
        <f t="shared" si="452"/>
        <v>5.0457175925925926E-2</v>
      </c>
      <c r="H1208" s="52"/>
      <c r="I1208" s="12">
        <f t="shared" si="453"/>
        <v>5.0356462999926075E-3</v>
      </c>
      <c r="J1208" s="37">
        <f t="shared" si="454"/>
        <v>2.5049999999999999</v>
      </c>
      <c r="K1208" s="37">
        <f>IF(J1208=0,0,IF(B1208="F",VLOOKUP(I1208,Barem!$G$2:$H$16,2,1),VLOOKUP(I1208,Barem!$G$17:$H$31,2,1)))</f>
        <v>0.75</v>
      </c>
      <c r="L1208" s="50">
        <v>3.75</v>
      </c>
      <c r="M1208" s="124" t="s">
        <v>107</v>
      </c>
      <c r="N1208" s="10">
        <f t="shared" si="455"/>
        <v>0.25</v>
      </c>
      <c r="O1208" s="10">
        <f t="shared" si="455"/>
        <v>0.5</v>
      </c>
      <c r="P1208" s="10">
        <f t="shared" si="455"/>
        <v>0.25</v>
      </c>
      <c r="Q1208" s="40">
        <f t="shared" si="456"/>
        <v>0</v>
      </c>
      <c r="R1208" s="21">
        <f>IF(D1208&gt;21,VLOOKUP(D1208,Barem!$T$1:$U$141,2,1),0)</f>
        <v>0</v>
      </c>
      <c r="S1208" s="152">
        <f>IF(D1208&lt;1.609,0,IF(B1208="F",VLOOKUP(I1208,Barem!$X$2:$Z$13,2,1),VLOOKUP(I1208,Barem!$X$14:$Z$25,2,1)))</f>
        <v>0</v>
      </c>
      <c r="T1208" s="21">
        <f>VLOOKUP(A1208,Participanti!A:C,3,0)</f>
        <v>0</v>
      </c>
      <c r="U1208" s="18">
        <f t="shared" si="457"/>
        <v>1.93875</v>
      </c>
      <c r="V1208" s="58" t="s">
        <v>515</v>
      </c>
      <c r="W1208" s="77">
        <f t="shared" si="446"/>
        <v>1</v>
      </c>
      <c r="X1208" s="1" t="str">
        <f>VLOOKUP(A1208,Data_Echipe!A:R,18,0)</f>
        <v>#notSYRious</v>
      </c>
      <c r="Z1208" s="115">
        <f t="shared" si="458"/>
        <v>1</v>
      </c>
    </row>
    <row r="1209" spans="1:26" x14ac:dyDescent="0.3">
      <c r="A1209" s="49" t="s">
        <v>346</v>
      </c>
      <c r="B1209" s="1" t="str">
        <f>VLOOKUP(A1209,Participanti!A:B,2,0)</f>
        <v>M</v>
      </c>
      <c r="C1209" s="74">
        <v>15</v>
      </c>
      <c r="D1209" s="50">
        <v>134.36000000000001</v>
      </c>
      <c r="E1209" s="51">
        <v>0.68291666666666673</v>
      </c>
      <c r="F1209" s="51">
        <v>0.99989583333333332</v>
      </c>
      <c r="G1209" s="69">
        <f t="shared" si="452"/>
        <v>0.84140625000000002</v>
      </c>
      <c r="H1209" s="52">
        <v>706</v>
      </c>
      <c r="I1209" s="12">
        <f t="shared" si="453"/>
        <v>6.2623269574278058E-3</v>
      </c>
      <c r="J1209" s="37">
        <f t="shared" si="454"/>
        <v>5</v>
      </c>
      <c r="K1209" s="37">
        <f>IF(J1209=0,0,IF(B1209="F",VLOOKUP(I1209,Barem!$G$2:$H$16,2,1),VLOOKUP(I1209,Barem!$G$17:$H$31,2,1)))</f>
        <v>0</v>
      </c>
      <c r="L1209" s="50">
        <v>2</v>
      </c>
      <c r="M1209" s="124" t="s">
        <v>107</v>
      </c>
      <c r="N1209" s="10">
        <f t="shared" si="455"/>
        <v>0.25</v>
      </c>
      <c r="O1209" s="10">
        <f t="shared" si="455"/>
        <v>0.5</v>
      </c>
      <c r="P1209" s="10">
        <f t="shared" si="455"/>
        <v>0.25</v>
      </c>
      <c r="Q1209" s="40">
        <f t="shared" si="456"/>
        <v>0.47066666666666668</v>
      </c>
      <c r="R1209" s="21">
        <f>IF(D1209&gt;21,VLOOKUP(D1209,Barem!$T$1:$U$141,2,1),0)</f>
        <v>4.7</v>
      </c>
      <c r="S1209" s="152">
        <f>IF(D1209&lt;1.609,0,IF(B1209="F",VLOOKUP(I1209,Barem!$X$2:$Z$13,2,1),VLOOKUP(I1209,Barem!$X$14:$Z$25,2,1)))</f>
        <v>0</v>
      </c>
      <c r="T1209" s="21">
        <f>VLOOKUP(A1209,Participanti!A:C,3,0)</f>
        <v>0</v>
      </c>
      <c r="U1209" s="18">
        <f t="shared" si="457"/>
        <v>6.9206666666666674</v>
      </c>
      <c r="V1209" s="58" t="s">
        <v>515</v>
      </c>
      <c r="W1209" s="77">
        <f t="shared" si="446"/>
        <v>1</v>
      </c>
      <c r="X1209" s="1" t="str">
        <f>VLOOKUP(A1209,Data_Echipe!A:R,18,0)</f>
        <v>UltraHaita lu' Borcan</v>
      </c>
      <c r="Z1209" s="115">
        <f t="shared" si="458"/>
        <v>0</v>
      </c>
    </row>
    <row r="1210" spans="1:26" x14ac:dyDescent="0.3">
      <c r="A1210" s="49" t="s">
        <v>296</v>
      </c>
      <c r="B1210" s="1" t="s">
        <v>30</v>
      </c>
      <c r="C1210" s="74">
        <v>15</v>
      </c>
      <c r="D1210" s="50">
        <v>14.33</v>
      </c>
      <c r="E1210" s="51">
        <v>8.1678240740740746E-2</v>
      </c>
      <c r="F1210" s="51">
        <v>8.2777777777777783E-2</v>
      </c>
      <c r="G1210" s="69">
        <f t="shared" si="452"/>
        <v>8.2228009259259272E-2</v>
      </c>
      <c r="H1210" s="52">
        <v>193</v>
      </c>
      <c r="I1210" s="12">
        <f t="shared" si="453"/>
        <v>5.7381723139748268E-3</v>
      </c>
      <c r="J1210" s="37">
        <f t="shared" si="454"/>
        <v>3.4119047619047618</v>
      </c>
      <c r="K1210" s="37">
        <f>IF(J1210=0,0,IF(B1210="F",VLOOKUP(I1210,Barem!$G$2:$H$16,2,1),VLOOKUP(I1210,Barem!$G$17:$H$31,2,1)))</f>
        <v>0</v>
      </c>
      <c r="L1210" s="50">
        <v>2.25</v>
      </c>
      <c r="M1210" s="124" t="s">
        <v>107</v>
      </c>
      <c r="N1210" s="10">
        <f t="shared" si="455"/>
        <v>0.25</v>
      </c>
      <c r="O1210" s="10">
        <f t="shared" si="455"/>
        <v>0.5</v>
      </c>
      <c r="P1210" s="10">
        <f t="shared" si="455"/>
        <v>0.25</v>
      </c>
      <c r="Q1210" s="40">
        <f t="shared" si="456"/>
        <v>0.12866666666666668</v>
      </c>
      <c r="R1210" s="21">
        <f>IF(D1210&gt;21,VLOOKUP(D1210,Barem!$T$1:$U$141,2,1),0)</f>
        <v>0</v>
      </c>
      <c r="S1210" s="152">
        <f>IF(D1210&lt;1.609,0,IF(B1210="F",VLOOKUP(I1210,Barem!$X$2:$Z$13,2,1),VLOOKUP(I1210,Barem!$X$14:$Z$25,2,1)))</f>
        <v>0</v>
      </c>
      <c r="T1210" s="21">
        <f>VLOOKUP(A1210,Participanti!A:C,3,0)</f>
        <v>0</v>
      </c>
      <c r="U1210" s="18">
        <f t="shared" si="457"/>
        <v>1.544142857142857</v>
      </c>
      <c r="V1210" s="58" t="s">
        <v>515</v>
      </c>
      <c r="W1210" s="77">
        <f t="shared" si="446"/>
        <v>1</v>
      </c>
      <c r="X1210" s="1" t="str">
        <f>VLOOKUP(A1210,Data_Echipe!A:R,18,0)</f>
        <v>MedgidiaRunning</v>
      </c>
      <c r="Z1210" s="115">
        <f t="shared" si="458"/>
        <v>0</v>
      </c>
    </row>
    <row r="1211" spans="1:26" x14ac:dyDescent="0.3">
      <c r="A1211" s="49" t="s">
        <v>48</v>
      </c>
      <c r="B1211" s="1" t="s">
        <v>30</v>
      </c>
      <c r="C1211" s="74">
        <v>15</v>
      </c>
      <c r="D1211" s="50">
        <v>10.43</v>
      </c>
      <c r="E1211" s="51">
        <v>3.4502314814814812E-2</v>
      </c>
      <c r="F1211" s="51">
        <v>3.4687500000000003E-2</v>
      </c>
      <c r="G1211" s="69">
        <f t="shared" si="452"/>
        <v>3.4594907407407408E-2</v>
      </c>
      <c r="H1211" s="52"/>
      <c r="I1211" s="12">
        <f t="shared" si="453"/>
        <v>3.3168655232413621E-3</v>
      </c>
      <c r="J1211" s="37">
        <f t="shared" si="454"/>
        <v>2.4833333333333329</v>
      </c>
      <c r="K1211" s="37">
        <f>IF(J1211=0,0,IF(B1211="F",VLOOKUP(I1211,Barem!$G$2:$H$16,2,1),VLOOKUP(I1211,Barem!$G$17:$H$31,2,1)))</f>
        <v>3</v>
      </c>
      <c r="L1211" s="50">
        <v>2.5</v>
      </c>
      <c r="M1211" s="124" t="s">
        <v>207</v>
      </c>
      <c r="N1211" s="10">
        <f t="shared" si="455"/>
        <v>0.25</v>
      </c>
      <c r="O1211" s="10">
        <f t="shared" si="455"/>
        <v>0.25</v>
      </c>
      <c r="P1211" s="10">
        <f t="shared" si="455"/>
        <v>0.5</v>
      </c>
      <c r="Q1211" s="40">
        <f t="shared" si="456"/>
        <v>0</v>
      </c>
      <c r="R1211" s="21">
        <f>IF(D1211&gt;21,VLOOKUP(D1211,Barem!$T$1:$U$141,2,1),0)</f>
        <v>0</v>
      </c>
      <c r="S1211" s="152">
        <f>IF(D1211&lt;1.609,0,IF(B1211="F",VLOOKUP(I1211,Barem!$X$2:$Z$13,2,1),VLOOKUP(I1211,Barem!$X$14:$Z$25,2,1)))</f>
        <v>0</v>
      </c>
      <c r="T1211" s="21">
        <f>VLOOKUP(A1211,Participanti!A:C,3,0)</f>
        <v>0.4</v>
      </c>
      <c r="U1211" s="18">
        <f t="shared" si="457"/>
        <v>3.020833333333333</v>
      </c>
      <c r="V1211" s="58" t="s">
        <v>515</v>
      </c>
      <c r="W1211" s="77">
        <f t="shared" si="446"/>
        <v>1</v>
      </c>
      <c r="X1211" s="1" t="str">
        <f>VLOOKUP(A1211,Data_Echipe!A:R,18,0)</f>
        <v>#notSYRious</v>
      </c>
      <c r="Z1211" s="115">
        <f t="shared" si="458"/>
        <v>1</v>
      </c>
    </row>
    <row r="1212" spans="1:26" x14ac:dyDescent="0.3">
      <c r="A1212" s="49" t="s">
        <v>353</v>
      </c>
      <c r="B1212" s="1" t="s">
        <v>30</v>
      </c>
      <c r="C1212" s="74">
        <v>15</v>
      </c>
      <c r="D1212" s="50">
        <v>42.7</v>
      </c>
      <c r="E1212" s="51">
        <v>0.14828703703703702</v>
      </c>
      <c r="F1212" s="51">
        <v>0.14930555555555555</v>
      </c>
      <c r="G1212" s="69">
        <f t="shared" si="452"/>
        <v>0.14879629629629629</v>
      </c>
      <c r="H1212" s="52">
        <v>133</v>
      </c>
      <c r="I1212" s="12">
        <f t="shared" si="453"/>
        <v>3.4846907797727467E-3</v>
      </c>
      <c r="J1212" s="37">
        <f t="shared" si="454"/>
        <v>5</v>
      </c>
      <c r="K1212" s="37">
        <f>IF(J1212=0,0,IF(B1212="F",VLOOKUP(I1212,Barem!$G$2:$H$16,2,1),VLOOKUP(I1212,Barem!$G$17:$H$31,2,1)))</f>
        <v>2.5</v>
      </c>
      <c r="L1212" s="50">
        <v>2.25</v>
      </c>
      <c r="M1212" s="124" t="s">
        <v>107</v>
      </c>
      <c r="N1212" s="10">
        <f t="shared" si="455"/>
        <v>0.25</v>
      </c>
      <c r="O1212" s="10">
        <f t="shared" si="455"/>
        <v>0.5</v>
      </c>
      <c r="P1212" s="10">
        <f t="shared" si="455"/>
        <v>0.25</v>
      </c>
      <c r="Q1212" s="40">
        <f t="shared" si="456"/>
        <v>8.8666666666666671E-2</v>
      </c>
      <c r="R1212" s="21">
        <f>IF(D1212&gt;21,VLOOKUP(D1212,Barem!$T$1:$U$141,2,1),0)</f>
        <v>1</v>
      </c>
      <c r="S1212" s="152">
        <f>IF(D1212&lt;1.609,0,IF(B1212="F",VLOOKUP(I1212,Barem!$X$2:$Z$13,2,1),VLOOKUP(I1212,Barem!$X$14:$Z$25,2,1)))</f>
        <v>0</v>
      </c>
      <c r="T1212" s="21">
        <f>VLOOKUP(A1212,Participanti!A:C,3,0)</f>
        <v>0</v>
      </c>
      <c r="U1212" s="18">
        <f t="shared" si="457"/>
        <v>4.1511666666666667</v>
      </c>
      <c r="V1212" s="58" t="s">
        <v>515</v>
      </c>
      <c r="W1212" s="77">
        <f t="shared" si="446"/>
        <v>1</v>
      </c>
      <c r="X1212" s="1" t="e">
        <f>VLOOKUP(A1212,Data_Echipe!A:R,18,0)</f>
        <v>#N/A</v>
      </c>
      <c r="Z1212" s="115">
        <f t="shared" si="458"/>
        <v>1</v>
      </c>
    </row>
    <row r="1213" spans="1:26" x14ac:dyDescent="0.3">
      <c r="A1213" s="49" t="s">
        <v>59</v>
      </c>
      <c r="B1213" s="1" t="s">
        <v>30</v>
      </c>
      <c r="C1213" s="74">
        <v>15</v>
      </c>
      <c r="D1213" s="50">
        <v>17.62</v>
      </c>
      <c r="E1213" s="51">
        <v>5.5300925925925927E-2</v>
      </c>
      <c r="F1213" s="51">
        <v>5.545138888888889E-2</v>
      </c>
      <c r="G1213" s="69">
        <f t="shared" si="452"/>
        <v>5.5376157407407409E-2</v>
      </c>
      <c r="H1213" s="52">
        <v>208</v>
      </c>
      <c r="I1213" s="12">
        <f t="shared" si="453"/>
        <v>3.1428012149493419E-3</v>
      </c>
      <c r="J1213" s="37">
        <f t="shared" si="454"/>
        <v>4.1952380952380954</v>
      </c>
      <c r="K1213" s="37">
        <f>IF(J1213=0,0,IF(B1213="F",VLOOKUP(I1213,Barem!$G$2:$H$16,2,1),VLOOKUP(I1213,Barem!$G$17:$H$31,2,1)))</f>
        <v>3.5</v>
      </c>
      <c r="L1213" s="50">
        <v>3.25</v>
      </c>
      <c r="M1213" s="124" t="s">
        <v>207</v>
      </c>
      <c r="N1213" s="10">
        <f t="shared" si="455"/>
        <v>0.25</v>
      </c>
      <c r="O1213" s="10">
        <f t="shared" si="455"/>
        <v>0.25</v>
      </c>
      <c r="P1213" s="10">
        <f t="shared" si="455"/>
        <v>0.5</v>
      </c>
      <c r="Q1213" s="40">
        <f t="shared" si="456"/>
        <v>0.13866666666666666</v>
      </c>
      <c r="R1213" s="21">
        <f>IF(D1213&gt;21,VLOOKUP(D1213,Barem!$T$1:$U$141,2,1),0)</f>
        <v>0</v>
      </c>
      <c r="S1213" s="152">
        <f>IF(D1213&lt;1.609,0,IF(B1213="F",VLOOKUP(I1213,Barem!$X$2:$Z$13,2,1),VLOOKUP(I1213,Barem!$X$14:$Z$25,2,1)))</f>
        <v>0</v>
      </c>
      <c r="T1213" s="21">
        <f>VLOOKUP(A1213,Participanti!A:C,3,0)</f>
        <v>0</v>
      </c>
      <c r="U1213" s="18">
        <f t="shared" si="457"/>
        <v>3.6874761904761906</v>
      </c>
      <c r="V1213" s="58" t="s">
        <v>515</v>
      </c>
      <c r="W1213" s="77">
        <f t="shared" si="446"/>
        <v>1</v>
      </c>
      <c r="X1213" s="1" t="str">
        <f>VLOOKUP(A1213,Data_Echipe!A:R,18,0)</f>
        <v>Almost Kenyan Runners</v>
      </c>
      <c r="Z1213" s="115">
        <f t="shared" si="458"/>
        <v>1</v>
      </c>
    </row>
    <row r="1214" spans="1:26" x14ac:dyDescent="0.3">
      <c r="A1214" s="49" t="s">
        <v>368</v>
      </c>
      <c r="B1214" s="1" t="s">
        <v>30</v>
      </c>
      <c r="C1214" s="74">
        <v>15</v>
      </c>
      <c r="D1214" s="50">
        <v>3.03</v>
      </c>
      <c r="E1214" s="51">
        <v>8.0208333333333329E-3</v>
      </c>
      <c r="F1214" s="51">
        <v>8.0902777777777778E-3</v>
      </c>
      <c r="G1214" s="69">
        <f t="shared" si="452"/>
        <v>8.0555555555555554E-3</v>
      </c>
      <c r="H1214" s="52"/>
      <c r="I1214" s="12">
        <f t="shared" si="453"/>
        <v>2.6585991932526589E-3</v>
      </c>
      <c r="J1214" s="37">
        <f t="shared" si="454"/>
        <v>0.72142857142857131</v>
      </c>
      <c r="K1214" s="37">
        <f>IF(J1214=0,0,IF(B1214="F",VLOOKUP(I1214,Barem!$G$2:$H$16,2,1),VLOOKUP(I1214,Barem!$G$17:$H$31,2,1)))</f>
        <v>5</v>
      </c>
      <c r="L1214" s="50">
        <v>2</v>
      </c>
      <c r="M1214" s="124" t="s">
        <v>207</v>
      </c>
      <c r="N1214" s="10">
        <f t="shared" si="455"/>
        <v>0.25</v>
      </c>
      <c r="O1214" s="10">
        <f t="shared" si="455"/>
        <v>0.25</v>
      </c>
      <c r="P1214" s="10">
        <f t="shared" si="455"/>
        <v>0.5</v>
      </c>
      <c r="Q1214" s="40">
        <f t="shared" si="456"/>
        <v>0</v>
      </c>
      <c r="R1214" s="21">
        <f>IF(D1214&gt;21,VLOOKUP(D1214,Barem!$T$1:$U$141,2,1),0)</f>
        <v>0</v>
      </c>
      <c r="S1214" s="152">
        <f>IF(D1214&lt;1.609,0,IF(B1214="F",VLOOKUP(I1214,Barem!$X$2:$Z$13,2,1),VLOOKUP(I1214,Barem!$X$14:$Z$25,2,1)))</f>
        <v>0.89999999999999991</v>
      </c>
      <c r="T1214" s="21">
        <f>VLOOKUP(A1214,Participanti!A:C,3,0)</f>
        <v>0</v>
      </c>
      <c r="U1214" s="18">
        <f t="shared" si="457"/>
        <v>3.3303571428571428</v>
      </c>
      <c r="V1214" s="58" t="s">
        <v>515</v>
      </c>
      <c r="W1214" s="77">
        <f t="shared" si="446"/>
        <v>1</v>
      </c>
      <c r="X1214" s="1" t="str">
        <f>VLOOKUP(A1214,Data_Echipe!A:R,18,0)</f>
        <v>Almost Kenyan Runners</v>
      </c>
      <c r="Z1214" s="115">
        <f t="shared" si="458"/>
        <v>1</v>
      </c>
    </row>
    <row r="1215" spans="1:26" x14ac:dyDescent="0.3">
      <c r="A1215" s="49" t="s">
        <v>204</v>
      </c>
      <c r="B1215" s="1" t="s">
        <v>30</v>
      </c>
      <c r="C1215" s="74">
        <v>15</v>
      </c>
      <c r="D1215" s="50">
        <v>8.7799999999999994</v>
      </c>
      <c r="E1215" s="51">
        <v>2.4907407407407406E-2</v>
      </c>
      <c r="F1215" s="51">
        <v>2.4999999999999998E-2</v>
      </c>
      <c r="G1215" s="69">
        <f t="shared" si="452"/>
        <v>2.49537037037037E-2</v>
      </c>
      <c r="H1215" s="52"/>
      <c r="I1215" s="12">
        <f t="shared" si="453"/>
        <v>2.8421074833375514E-3</v>
      </c>
      <c r="J1215" s="37">
        <f t="shared" si="454"/>
        <v>2.0904761904761902</v>
      </c>
      <c r="K1215" s="37">
        <f>IF(J1215=0,0,IF(B1215="F",VLOOKUP(I1215,Barem!$G$2:$H$16,2,1),VLOOKUP(I1215,Barem!$G$17:$H$31,2,1)))</f>
        <v>4.5</v>
      </c>
      <c r="L1215" s="50">
        <v>1.75</v>
      </c>
      <c r="M1215" s="124" t="s">
        <v>207</v>
      </c>
      <c r="N1215" s="10">
        <f t="shared" si="455"/>
        <v>0.25</v>
      </c>
      <c r="O1215" s="10">
        <f t="shared" si="455"/>
        <v>0.25</v>
      </c>
      <c r="P1215" s="10">
        <f t="shared" si="455"/>
        <v>0.5</v>
      </c>
      <c r="Q1215" s="40">
        <f t="shared" si="456"/>
        <v>0</v>
      </c>
      <c r="R1215" s="21">
        <f>IF(D1215&gt;21,VLOOKUP(D1215,Barem!$T$1:$U$141,2,1),0)</f>
        <v>0</v>
      </c>
      <c r="S1215" s="152">
        <f>IF(D1215&lt;1.609,0,IF(B1215="F",VLOOKUP(I1215,Barem!$X$2:$Z$13,2,1),VLOOKUP(I1215,Barem!$X$14:$Z$25,2,1)))</f>
        <v>0</v>
      </c>
      <c r="T1215" s="21">
        <f>VLOOKUP(A1215,Participanti!A:C,3,0)</f>
        <v>0</v>
      </c>
      <c r="U1215" s="18">
        <f t="shared" si="457"/>
        <v>2.5226190476190475</v>
      </c>
      <c r="V1215" s="58" t="s">
        <v>515</v>
      </c>
      <c r="W1215" s="77">
        <f t="shared" si="446"/>
        <v>1</v>
      </c>
      <c r="X1215" s="1" t="e">
        <f>VLOOKUP(A1215,Data_Echipe!A:R,18,0)</f>
        <v>#N/A</v>
      </c>
      <c r="Z1215" s="115">
        <f t="shared" si="458"/>
        <v>1</v>
      </c>
    </row>
    <row r="1216" spans="1:26" x14ac:dyDescent="0.3">
      <c r="A1216" s="49" t="s">
        <v>387</v>
      </c>
      <c r="B1216" s="1" t="s">
        <v>29</v>
      </c>
      <c r="C1216" s="74">
        <v>15</v>
      </c>
      <c r="D1216" s="50">
        <v>7.02</v>
      </c>
      <c r="E1216" s="51">
        <v>2.7175925925925926E-2</v>
      </c>
      <c r="F1216" s="51">
        <v>2.7615740740740743E-2</v>
      </c>
      <c r="G1216" s="69">
        <f t="shared" si="452"/>
        <v>2.7395833333333335E-2</v>
      </c>
      <c r="H1216" s="52"/>
      <c r="I1216" s="12">
        <f t="shared" si="453"/>
        <v>3.9025403608736946E-3</v>
      </c>
      <c r="J1216" s="37">
        <f t="shared" si="454"/>
        <v>1.7549999999999999</v>
      </c>
      <c r="K1216" s="37">
        <f>IF(J1216=0,0,IF(B1216="F",VLOOKUP(I1216,Barem!$G$2:$H$16,2,1),VLOOKUP(I1216,Barem!$G$17:$H$31,2,1)))</f>
        <v>2.5</v>
      </c>
      <c r="L1216" s="50">
        <v>3</v>
      </c>
      <c r="M1216" s="124" t="s">
        <v>207</v>
      </c>
      <c r="N1216" s="10">
        <f t="shared" si="455"/>
        <v>0.25</v>
      </c>
      <c r="O1216" s="10">
        <f t="shared" si="455"/>
        <v>0.25</v>
      </c>
      <c r="P1216" s="10">
        <f t="shared" si="455"/>
        <v>0.5</v>
      </c>
      <c r="Q1216" s="40">
        <f t="shared" si="456"/>
        <v>0</v>
      </c>
      <c r="R1216" s="21">
        <f>IF(D1216&gt;21,VLOOKUP(D1216,Barem!$T$1:$U$141,2,1),0)</f>
        <v>0</v>
      </c>
      <c r="S1216" s="152">
        <f>IF(D1216&lt;1.609,0,IF(B1216="F",VLOOKUP(I1216,Barem!$X$2:$Z$13,2,1),VLOOKUP(I1216,Barem!$X$14:$Z$25,2,1)))</f>
        <v>0</v>
      </c>
      <c r="T1216" s="21">
        <f>VLOOKUP(A1216,Participanti!A:C,3,0)</f>
        <v>0</v>
      </c>
      <c r="U1216" s="18">
        <f t="shared" si="457"/>
        <v>2.5637499999999998</v>
      </c>
      <c r="V1216" s="58" t="s">
        <v>515</v>
      </c>
      <c r="W1216" s="77">
        <f t="shared" si="446"/>
        <v>1</v>
      </c>
      <c r="X1216" s="1" t="str">
        <f>VLOOKUP(A1216,Data_Echipe!A:R,18,0)</f>
        <v>#notSYRious</v>
      </c>
      <c r="Z1216" s="115">
        <f t="shared" si="458"/>
        <v>1</v>
      </c>
    </row>
    <row r="1217" spans="1:26" x14ac:dyDescent="0.3">
      <c r="A1217" s="49" t="s">
        <v>369</v>
      </c>
      <c r="B1217" s="1" t="s">
        <v>30</v>
      </c>
      <c r="C1217" s="74">
        <v>15</v>
      </c>
      <c r="D1217" s="50">
        <v>21.17</v>
      </c>
      <c r="E1217" s="51">
        <v>8.3831018518518527E-2</v>
      </c>
      <c r="F1217" s="51">
        <v>8.4340277777777764E-2</v>
      </c>
      <c r="G1217" s="69">
        <f t="shared" si="452"/>
        <v>8.4085648148148145E-2</v>
      </c>
      <c r="H1217" s="52"/>
      <c r="I1217" s="12">
        <f t="shared" si="453"/>
        <v>3.9719248062422361E-3</v>
      </c>
      <c r="J1217" s="37">
        <f t="shared" si="454"/>
        <v>5</v>
      </c>
      <c r="K1217" s="37">
        <f>IF(J1217=0,0,IF(B1217="F",VLOOKUP(I1217,Barem!$G$2:$H$16,2,1),VLOOKUP(I1217,Barem!$G$17:$H$31,2,1)))</f>
        <v>1.75</v>
      </c>
      <c r="L1217" s="50">
        <v>2.75</v>
      </c>
      <c r="M1217" s="124" t="s">
        <v>106</v>
      </c>
      <c r="N1217" s="10">
        <f t="shared" si="455"/>
        <v>0.5</v>
      </c>
      <c r="O1217" s="10">
        <f t="shared" si="455"/>
        <v>0.25</v>
      </c>
      <c r="P1217" s="10">
        <f t="shared" si="455"/>
        <v>0.25</v>
      </c>
      <c r="Q1217" s="40">
        <f t="shared" si="456"/>
        <v>0</v>
      </c>
      <c r="R1217" s="21">
        <f>IF(D1217&gt;21,VLOOKUP(D1217,Barem!$T$1:$U$141,2,1),0)</f>
        <v>0</v>
      </c>
      <c r="S1217" s="152">
        <f>IF(D1217&lt;1.609,0,IF(B1217="F",VLOOKUP(I1217,Barem!$X$2:$Z$13,2,1),VLOOKUP(I1217,Barem!$X$14:$Z$25,2,1)))</f>
        <v>0</v>
      </c>
      <c r="T1217" s="21">
        <f>VLOOKUP(A1217,Participanti!A:C,3,0)</f>
        <v>0</v>
      </c>
      <c r="U1217" s="18">
        <f t="shared" si="457"/>
        <v>3.625</v>
      </c>
      <c r="V1217" s="58" t="s">
        <v>515</v>
      </c>
      <c r="W1217" s="77">
        <f t="shared" si="446"/>
        <v>1</v>
      </c>
      <c r="X1217" s="1" t="str">
        <f>VLOOKUP(A1217,Data_Echipe!A:R,18,0)</f>
        <v>MedgidiaRunning</v>
      </c>
      <c r="Z1217" s="115">
        <f t="shared" si="458"/>
        <v>1</v>
      </c>
    </row>
    <row r="1218" spans="1:26" x14ac:dyDescent="0.3">
      <c r="A1218" s="49" t="s">
        <v>431</v>
      </c>
      <c r="B1218" s="1" t="s">
        <v>29</v>
      </c>
      <c r="C1218" s="74">
        <v>15</v>
      </c>
      <c r="D1218" s="50">
        <v>6.16</v>
      </c>
      <c r="E1218" s="51">
        <v>2.7430555555555555E-2</v>
      </c>
      <c r="F1218" s="51">
        <v>2.78125E-2</v>
      </c>
      <c r="G1218" s="69">
        <f t="shared" si="452"/>
        <v>2.762152777777778E-2</v>
      </c>
      <c r="H1218" s="52"/>
      <c r="I1218" s="12">
        <f t="shared" si="453"/>
        <v>4.48401424963925E-3</v>
      </c>
      <c r="J1218" s="37">
        <f t="shared" si="454"/>
        <v>1.54</v>
      </c>
      <c r="K1218" s="37">
        <f>IF(J1218=0,0,IF(B1218="F",VLOOKUP(I1218,Barem!$G$2:$H$16,2,1),VLOOKUP(I1218,Barem!$G$17:$H$31,2,1)))</f>
        <v>1.5</v>
      </c>
      <c r="L1218" s="50">
        <v>3</v>
      </c>
      <c r="M1218" s="124" t="s">
        <v>207</v>
      </c>
      <c r="N1218" s="10">
        <f t="shared" si="455"/>
        <v>0.25</v>
      </c>
      <c r="O1218" s="10">
        <f t="shared" si="455"/>
        <v>0.25</v>
      </c>
      <c r="P1218" s="10">
        <f t="shared" si="455"/>
        <v>0.5</v>
      </c>
      <c r="Q1218" s="40">
        <f t="shared" si="456"/>
        <v>0</v>
      </c>
      <c r="R1218" s="21">
        <f>IF(D1218&gt;21,VLOOKUP(D1218,Barem!$T$1:$U$141,2,1),0)</f>
        <v>0</v>
      </c>
      <c r="S1218" s="152">
        <f>IF(D1218&lt;1.609,0,IF(B1218="F",VLOOKUP(I1218,Barem!$X$2:$Z$13,2,1),VLOOKUP(I1218,Barem!$X$14:$Z$25,2,1)))</f>
        <v>0</v>
      </c>
      <c r="T1218" s="21">
        <f>VLOOKUP(A1218,Participanti!A:C,3,0)</f>
        <v>0.4</v>
      </c>
      <c r="U1218" s="18">
        <f t="shared" si="457"/>
        <v>2.6599999999999997</v>
      </c>
      <c r="V1218" s="58" t="s">
        <v>515</v>
      </c>
      <c r="W1218" s="77">
        <f t="shared" ref="W1218:W1270" si="459">COUNTIFS(A:A,A1218,C:C,C1218)</f>
        <v>1</v>
      </c>
      <c r="X1218" s="1" t="e">
        <f>VLOOKUP(A1218,Data_Echipe!A:R,18,0)</f>
        <v>#N/A</v>
      </c>
      <c r="Z1218" s="115">
        <f t="shared" si="458"/>
        <v>1</v>
      </c>
    </row>
    <row r="1219" spans="1:26" x14ac:dyDescent="0.3">
      <c r="A1219" s="49" t="s">
        <v>341</v>
      </c>
      <c r="B1219" s="1" t="s">
        <v>30</v>
      </c>
      <c r="C1219" s="74">
        <v>15</v>
      </c>
      <c r="D1219" s="50">
        <v>3.2</v>
      </c>
      <c r="E1219" s="51">
        <v>7.9861111111111122E-3</v>
      </c>
      <c r="F1219" s="51">
        <v>8.1018518518518514E-3</v>
      </c>
      <c r="G1219" s="69">
        <f t="shared" si="452"/>
        <v>8.0439814814814818E-3</v>
      </c>
      <c r="H1219" s="52"/>
      <c r="I1219" s="12">
        <f t="shared" si="453"/>
        <v>2.5137442129629629E-3</v>
      </c>
      <c r="J1219" s="37">
        <f t="shared" si="454"/>
        <v>0.76190476190476186</v>
      </c>
      <c r="K1219" s="37">
        <f>IF(J1219=0,0,IF(B1219="F",VLOOKUP(I1219,Barem!$G$2:$H$16,2,1),VLOOKUP(I1219,Barem!$G$17:$H$31,2,1)))</f>
        <v>5</v>
      </c>
      <c r="L1219" s="50">
        <v>2.5</v>
      </c>
      <c r="M1219" s="124" t="s">
        <v>107</v>
      </c>
      <c r="N1219" s="10">
        <f t="shared" si="455"/>
        <v>0.25</v>
      </c>
      <c r="O1219" s="10">
        <f t="shared" si="455"/>
        <v>0.5</v>
      </c>
      <c r="P1219" s="10">
        <f t="shared" si="455"/>
        <v>0.25</v>
      </c>
      <c r="Q1219" s="40">
        <f t="shared" si="456"/>
        <v>0</v>
      </c>
      <c r="R1219" s="21">
        <f>IF(D1219&gt;21,VLOOKUP(D1219,Barem!$T$1:$U$141,2,1),0)</f>
        <v>0</v>
      </c>
      <c r="S1219" s="152">
        <f>IF(D1219&lt;1.609,0,IF(B1219="F",VLOOKUP(I1219,Barem!$X$2:$Z$13,2,1),VLOOKUP(I1219,Barem!$X$14:$Z$25,2,1)))</f>
        <v>2.25</v>
      </c>
      <c r="T1219" s="21">
        <f>VLOOKUP(A1219,Participanti!A:C,3,0)</f>
        <v>0</v>
      </c>
      <c r="U1219" s="18">
        <f t="shared" si="457"/>
        <v>5.5654761904761907</v>
      </c>
      <c r="V1219" s="58" t="s">
        <v>515</v>
      </c>
      <c r="W1219" s="77">
        <f t="shared" si="459"/>
        <v>1</v>
      </c>
      <c r="X1219" s="1" t="str">
        <f>VLOOKUP(A1219,Data_Echipe!A:R,18,0)</f>
        <v>The GOATs</v>
      </c>
      <c r="Z1219" s="115">
        <f t="shared" si="458"/>
        <v>1</v>
      </c>
    </row>
    <row r="1220" spans="1:26" x14ac:dyDescent="0.3">
      <c r="A1220" s="49" t="s">
        <v>331</v>
      </c>
      <c r="B1220" s="1" t="str">
        <f>VLOOKUP(A1220,Participanti!A:B,2,0)</f>
        <v>F</v>
      </c>
      <c r="C1220" s="74">
        <v>15</v>
      </c>
      <c r="D1220" s="50">
        <v>5.03</v>
      </c>
      <c r="E1220" s="51">
        <v>1.8391203703703705E-2</v>
      </c>
      <c r="F1220" s="51">
        <v>1.8425925925925925E-2</v>
      </c>
      <c r="G1220" s="69">
        <f t="shared" si="452"/>
        <v>1.8408564814814815E-2</v>
      </c>
      <c r="H1220" s="52"/>
      <c r="I1220" s="12">
        <f t="shared" si="453"/>
        <v>3.6597544363448937E-3</v>
      </c>
      <c r="J1220" s="37">
        <f t="shared" si="454"/>
        <v>1.2575000000000001</v>
      </c>
      <c r="K1220" s="37">
        <f>IF(J1220=0,0,IF(B1220="F",VLOOKUP(I1220,Barem!$G$2:$H$16,2,1),VLOOKUP(I1220,Barem!$G$17:$H$31,2,1)))</f>
        <v>3</v>
      </c>
      <c r="L1220" s="50">
        <v>3</v>
      </c>
      <c r="M1220" s="124" t="s">
        <v>107</v>
      </c>
      <c r="N1220" s="10">
        <f t="shared" si="455"/>
        <v>0.25</v>
      </c>
      <c r="O1220" s="10">
        <f t="shared" si="455"/>
        <v>0.5</v>
      </c>
      <c r="P1220" s="10">
        <f t="shared" si="455"/>
        <v>0.25</v>
      </c>
      <c r="Q1220" s="40">
        <f t="shared" si="456"/>
        <v>0</v>
      </c>
      <c r="R1220" s="21">
        <f>IF(D1220&gt;21,VLOOKUP(D1220,Barem!$T$1:$U$141,2,1),0)</f>
        <v>0</v>
      </c>
      <c r="S1220" s="152">
        <f>IF(D1220&lt;1.609,0,IF(B1220="F",VLOOKUP(I1220,Barem!$X$2:$Z$13,2,1),VLOOKUP(I1220,Barem!$X$14:$Z$25,2,1)))</f>
        <v>0</v>
      </c>
      <c r="T1220" s="21">
        <f>VLOOKUP(A1220,Participanti!A:C,3,0)</f>
        <v>0</v>
      </c>
      <c r="U1220" s="18">
        <f t="shared" si="457"/>
        <v>2.5643750000000001</v>
      </c>
      <c r="V1220" s="58" t="s">
        <v>515</v>
      </c>
      <c r="W1220" s="77">
        <f t="shared" si="459"/>
        <v>1</v>
      </c>
      <c r="X1220" s="1" t="str">
        <f>VLOOKUP(A1220,Data_Echipe!A:R,18,0)</f>
        <v>MedgidiaRunning</v>
      </c>
      <c r="Z1220" s="115">
        <f t="shared" si="458"/>
        <v>1</v>
      </c>
    </row>
    <row r="1221" spans="1:26" x14ac:dyDescent="0.3">
      <c r="A1221" s="49" t="s">
        <v>483</v>
      </c>
      <c r="B1221" s="1" t="str">
        <f>VLOOKUP(A1221,Participanti!A:B,2,0)</f>
        <v>M</v>
      </c>
      <c r="C1221" s="74">
        <v>15</v>
      </c>
      <c r="D1221" s="50">
        <v>12.28</v>
      </c>
      <c r="E1221" s="51">
        <v>4.614583333333333E-2</v>
      </c>
      <c r="F1221" s="51">
        <v>4.614583333333333E-2</v>
      </c>
      <c r="G1221" s="69">
        <f t="shared" si="452"/>
        <v>4.614583333333333E-2</v>
      </c>
      <c r="H1221" s="52">
        <v>731</v>
      </c>
      <c r="I1221" s="12">
        <f t="shared" si="453"/>
        <v>3.7578040173724212E-3</v>
      </c>
      <c r="J1221" s="37">
        <f t="shared" si="454"/>
        <v>2.9238095238095236</v>
      </c>
      <c r="K1221" s="37">
        <f>IF(J1221=0,0,IF(B1221="F",VLOOKUP(I1221,Barem!$G$2:$H$16,2,1),VLOOKUP(I1221,Barem!$G$17:$H$31,2,1)))</f>
        <v>2</v>
      </c>
      <c r="L1221" s="50">
        <v>1</v>
      </c>
      <c r="M1221" s="124" t="s">
        <v>207</v>
      </c>
      <c r="N1221" s="10">
        <f t="shared" si="455"/>
        <v>0.25</v>
      </c>
      <c r="O1221" s="10">
        <f t="shared" si="455"/>
        <v>0.25</v>
      </c>
      <c r="P1221" s="10">
        <f t="shared" si="455"/>
        <v>0.5</v>
      </c>
      <c r="Q1221" s="40">
        <f t="shared" si="456"/>
        <v>0.48733333333333334</v>
      </c>
      <c r="R1221" s="21">
        <f>IF(D1221&gt;21,VLOOKUP(D1221,Barem!$T$1:$U$141,2,1),0)</f>
        <v>0</v>
      </c>
      <c r="S1221" s="152">
        <f>IF(D1221&lt;1.609,0,IF(B1221="F",VLOOKUP(I1221,Barem!$X$2:$Z$13,2,1),VLOOKUP(I1221,Barem!$X$14:$Z$25,2,1)))</f>
        <v>0</v>
      </c>
      <c r="T1221" s="21">
        <f>VLOOKUP(A1221,Participanti!A:C,3,0)</f>
        <v>0</v>
      </c>
      <c r="U1221" s="18">
        <f t="shared" si="457"/>
        <v>2.2182857142857144</v>
      </c>
      <c r="V1221" s="58" t="s">
        <v>515</v>
      </c>
      <c r="W1221" s="77">
        <f t="shared" si="459"/>
        <v>1</v>
      </c>
      <c r="X1221" s="1" t="e">
        <f>VLOOKUP(A1221,Data_Echipe!A:R,18,0)</f>
        <v>#N/A</v>
      </c>
      <c r="Z1221" s="115">
        <f t="shared" si="458"/>
        <v>1</v>
      </c>
    </row>
    <row r="1222" spans="1:26" x14ac:dyDescent="0.3">
      <c r="A1222" s="49" t="s">
        <v>227</v>
      </c>
      <c r="B1222" s="1" t="str">
        <f>VLOOKUP(A1222,Participanti!A:B,2,0)</f>
        <v>M</v>
      </c>
      <c r="C1222" s="74">
        <v>15</v>
      </c>
      <c r="D1222" s="50">
        <v>43.83</v>
      </c>
      <c r="E1222" s="51">
        <v>0.20483796296296297</v>
      </c>
      <c r="F1222" s="51">
        <v>0.20802083333333332</v>
      </c>
      <c r="G1222" s="69">
        <f t="shared" si="452"/>
        <v>0.20642939814814815</v>
      </c>
      <c r="H1222" s="52">
        <v>1713</v>
      </c>
      <c r="I1222" s="12">
        <f t="shared" si="453"/>
        <v>4.7097740850592781E-3</v>
      </c>
      <c r="J1222" s="37">
        <f t="shared" si="454"/>
        <v>5</v>
      </c>
      <c r="K1222" s="37">
        <f>IF(J1222=0,0,IF(B1222="F",VLOOKUP(I1222,Barem!$G$2:$H$16,2,1),VLOOKUP(I1222,Barem!$G$17:$H$31,2,1)))</f>
        <v>0.5</v>
      </c>
      <c r="L1222" s="50">
        <v>4.5</v>
      </c>
      <c r="M1222" s="124" t="s">
        <v>106</v>
      </c>
      <c r="N1222" s="10">
        <f t="shared" si="455"/>
        <v>0.5</v>
      </c>
      <c r="O1222" s="10">
        <f t="shared" si="455"/>
        <v>0.25</v>
      </c>
      <c r="P1222" s="10">
        <f t="shared" si="455"/>
        <v>0.25</v>
      </c>
      <c r="Q1222" s="40">
        <f t="shared" si="456"/>
        <v>1.1419999999999999</v>
      </c>
      <c r="R1222" s="21">
        <f>IF(D1222&gt;21,VLOOKUP(D1222,Barem!$T$1:$U$141,2,1),0)</f>
        <v>1.1000000000000001</v>
      </c>
      <c r="S1222" s="152">
        <f>IF(D1222&lt;1.609,0,IF(B1222="F",VLOOKUP(I1222,Barem!$X$2:$Z$13,2,1),VLOOKUP(I1222,Barem!$X$14:$Z$25,2,1)))</f>
        <v>0</v>
      </c>
      <c r="T1222" s="21">
        <f>VLOOKUP(A1222,Participanti!A:C,3,0)</f>
        <v>0</v>
      </c>
      <c r="U1222" s="18">
        <f t="shared" si="457"/>
        <v>5.9919999999999991</v>
      </c>
      <c r="V1222" s="58" t="s">
        <v>515</v>
      </c>
      <c r="W1222" s="77">
        <f t="shared" si="459"/>
        <v>1</v>
      </c>
      <c r="X1222" s="1" t="str">
        <f>VLOOKUP(A1222,Data_Echipe!A:R,18,0)</f>
        <v>UltraHaita lu' Borcan</v>
      </c>
      <c r="Z1222" s="115">
        <f t="shared" si="458"/>
        <v>1</v>
      </c>
    </row>
    <row r="1223" spans="1:26" x14ac:dyDescent="0.3">
      <c r="A1223" s="49" t="s">
        <v>430</v>
      </c>
      <c r="B1223" s="1" t="str">
        <f>VLOOKUP(A1223,Participanti!A:B,2,0)</f>
        <v>M</v>
      </c>
      <c r="C1223" s="74">
        <v>15</v>
      </c>
      <c r="D1223" s="50">
        <v>10.11</v>
      </c>
      <c r="E1223" s="51">
        <v>2.7766203703703706E-2</v>
      </c>
      <c r="F1223" s="51">
        <v>2.7800925925925923E-2</v>
      </c>
      <c r="G1223" s="69">
        <f t="shared" si="452"/>
        <v>2.7783564814814816E-2</v>
      </c>
      <c r="H1223" s="52">
        <v>115</v>
      </c>
      <c r="I1223" s="12">
        <f t="shared" si="453"/>
        <v>2.7481270835622964E-3</v>
      </c>
      <c r="J1223" s="37">
        <f t="shared" si="454"/>
        <v>2.407142857142857</v>
      </c>
      <c r="K1223" s="37">
        <f>IF(J1223=0,0,IF(B1223="F",VLOOKUP(I1223,Barem!$G$2:$H$16,2,1),VLOOKUP(I1223,Barem!$G$17:$H$31,2,1)))</f>
        <v>5</v>
      </c>
      <c r="L1223" s="50">
        <v>1.5</v>
      </c>
      <c r="M1223" s="124" t="s">
        <v>207</v>
      </c>
      <c r="N1223" s="10">
        <f t="shared" si="455"/>
        <v>0.25</v>
      </c>
      <c r="O1223" s="10">
        <f t="shared" si="455"/>
        <v>0.25</v>
      </c>
      <c r="P1223" s="10">
        <f t="shared" si="455"/>
        <v>0.5</v>
      </c>
      <c r="Q1223" s="40">
        <f t="shared" si="456"/>
        <v>7.6666666666666661E-2</v>
      </c>
      <c r="R1223" s="21">
        <f>IF(D1223&gt;21,VLOOKUP(D1223,Barem!$T$1:$U$141,2,1),0)</f>
        <v>0</v>
      </c>
      <c r="S1223" s="152">
        <f>IF(D1223&lt;1.609,0,IF(B1223="F",VLOOKUP(I1223,Barem!$X$2:$Z$13,2,1),VLOOKUP(I1223,Barem!$X$14:$Z$25,2,1)))</f>
        <v>0.15000000000000002</v>
      </c>
      <c r="T1223" s="21">
        <f>VLOOKUP(A1223,Participanti!A:C,3,0)</f>
        <v>0</v>
      </c>
      <c r="U1223" s="18">
        <f t="shared" si="457"/>
        <v>2.8284523809523807</v>
      </c>
      <c r="V1223" s="58" t="s">
        <v>515</v>
      </c>
      <c r="W1223" s="77">
        <f t="shared" si="459"/>
        <v>1</v>
      </c>
      <c r="X1223" s="1" t="e">
        <f>VLOOKUP(A1223,Data_Echipe!A:R,18,0)</f>
        <v>#N/A</v>
      </c>
      <c r="Z1223" s="115">
        <f t="shared" si="458"/>
        <v>1</v>
      </c>
    </row>
    <row r="1224" spans="1:26" x14ac:dyDescent="0.3">
      <c r="A1224" s="49" t="s">
        <v>64</v>
      </c>
      <c r="B1224" s="1" t="str">
        <f>VLOOKUP(A1224,Participanti!A:B,2,0)</f>
        <v>F</v>
      </c>
      <c r="C1224" s="74">
        <v>15</v>
      </c>
      <c r="D1224" s="50">
        <v>8.15</v>
      </c>
      <c r="E1224" s="51">
        <v>4.1215277777777774E-2</v>
      </c>
      <c r="F1224" s="51">
        <v>5.8900462962962967E-2</v>
      </c>
      <c r="G1224" s="69">
        <f t="shared" si="452"/>
        <v>5.0057870370370371E-2</v>
      </c>
      <c r="H1224" s="52"/>
      <c r="I1224" s="12">
        <f t="shared" si="453"/>
        <v>6.1420699840945238E-3</v>
      </c>
      <c r="J1224" s="37">
        <f t="shared" si="454"/>
        <v>2.0375000000000001</v>
      </c>
      <c r="K1224" s="37">
        <f>IF(J1224=0,0,IF(B1224="F",VLOOKUP(I1224,Barem!$G$2:$H$16,2,1),VLOOKUP(I1224,Barem!$G$17:$H$31,2,1)))</f>
        <v>0.25</v>
      </c>
      <c r="L1224" s="50">
        <v>2.25</v>
      </c>
      <c r="M1224" s="124" t="s">
        <v>107</v>
      </c>
      <c r="N1224" s="10">
        <f t="shared" si="455"/>
        <v>0.25</v>
      </c>
      <c r="O1224" s="10">
        <f t="shared" si="455"/>
        <v>0.5</v>
      </c>
      <c r="P1224" s="10">
        <f t="shared" si="455"/>
        <v>0.25</v>
      </c>
      <c r="Q1224" s="40">
        <f t="shared" si="456"/>
        <v>0</v>
      </c>
      <c r="R1224" s="21">
        <f>IF(D1224&gt;21,VLOOKUP(D1224,Barem!$T$1:$U$141,2,1),0)</f>
        <v>0</v>
      </c>
      <c r="S1224" s="152">
        <f>IF(D1224&lt;1.609,0,IF(B1224="F",VLOOKUP(I1224,Barem!$X$2:$Z$13,2,1),VLOOKUP(I1224,Barem!$X$14:$Z$25,2,1)))</f>
        <v>0</v>
      </c>
      <c r="T1224" s="21">
        <f>VLOOKUP(A1224,Participanti!A:C,3,0)</f>
        <v>0.7</v>
      </c>
      <c r="U1224" s="18">
        <f t="shared" si="457"/>
        <v>1.8968749999999999</v>
      </c>
      <c r="V1224" s="58" t="s">
        <v>515</v>
      </c>
      <c r="W1224" s="77">
        <f t="shared" si="459"/>
        <v>1</v>
      </c>
      <c r="X1224" s="1" t="str">
        <f>VLOOKUP(A1224,Data_Echipe!A:R,18,0)</f>
        <v>UltraHaita lu' Borcan</v>
      </c>
      <c r="Z1224" s="115">
        <f t="shared" si="458"/>
        <v>1</v>
      </c>
    </row>
    <row r="1225" spans="1:26" x14ac:dyDescent="0.3">
      <c r="A1225" s="49" t="s">
        <v>383</v>
      </c>
      <c r="B1225" s="1" t="str">
        <f>VLOOKUP(A1225,Participanti!A:B,2,0)</f>
        <v>F</v>
      </c>
      <c r="C1225" s="74">
        <v>15</v>
      </c>
      <c r="D1225" s="50">
        <v>10.54</v>
      </c>
      <c r="E1225" s="51">
        <v>4.3321759259259261E-2</v>
      </c>
      <c r="F1225" s="51">
        <v>7.2708333333333333E-2</v>
      </c>
      <c r="G1225" s="69">
        <f t="shared" si="452"/>
        <v>5.8015046296296294E-2</v>
      </c>
      <c r="H1225" s="52"/>
      <c r="I1225" s="12">
        <f t="shared" si="453"/>
        <v>5.5042738421533493E-3</v>
      </c>
      <c r="J1225" s="37">
        <f t="shared" si="454"/>
        <v>2.6349999999999998</v>
      </c>
      <c r="K1225" s="37">
        <f>IF(J1225=0,0,IF(B1225="F",VLOOKUP(I1225,Barem!$G$2:$H$16,2,1),VLOOKUP(I1225,Barem!$G$17:$H$31,2,1)))</f>
        <v>0.25</v>
      </c>
      <c r="L1225" s="50">
        <v>1.25</v>
      </c>
      <c r="M1225" s="124" t="s">
        <v>207</v>
      </c>
      <c r="N1225" s="10">
        <f t="shared" si="455"/>
        <v>0.25</v>
      </c>
      <c r="O1225" s="10">
        <f t="shared" si="455"/>
        <v>0.25</v>
      </c>
      <c r="P1225" s="10">
        <f t="shared" si="455"/>
        <v>0.5</v>
      </c>
      <c r="Q1225" s="40">
        <f t="shared" si="456"/>
        <v>0</v>
      </c>
      <c r="R1225" s="21">
        <f>IF(D1225&gt;21,VLOOKUP(D1225,Barem!$T$1:$U$141,2,1),0)</f>
        <v>0</v>
      </c>
      <c r="S1225" s="152">
        <f>IF(D1225&lt;1.609,0,IF(B1225="F",VLOOKUP(I1225,Barem!$X$2:$Z$13,2,1),VLOOKUP(I1225,Barem!$X$14:$Z$25,2,1)))</f>
        <v>0</v>
      </c>
      <c r="T1225" s="21">
        <f>VLOOKUP(A1225,Participanti!A:C,3,0)</f>
        <v>0</v>
      </c>
      <c r="U1225" s="18">
        <f t="shared" si="457"/>
        <v>1.3462499999999999</v>
      </c>
      <c r="V1225" s="58" t="s">
        <v>515</v>
      </c>
      <c r="W1225" s="77">
        <f t="shared" si="459"/>
        <v>1</v>
      </c>
      <c r="X1225" s="1" t="str">
        <f>VLOOKUP(A1225,Data_Echipe!A:R,18,0)</f>
        <v>The GOATs</v>
      </c>
      <c r="Z1225" s="115">
        <f t="shared" si="458"/>
        <v>1</v>
      </c>
    </row>
    <row r="1226" spans="1:26" x14ac:dyDescent="0.3">
      <c r="A1226" s="49" t="s">
        <v>241</v>
      </c>
      <c r="B1226" s="1" t="str">
        <f>VLOOKUP(A1226,Participanti!A:B,2,0)</f>
        <v>F</v>
      </c>
      <c r="C1226" s="74">
        <v>15</v>
      </c>
      <c r="D1226" s="50">
        <v>7.15</v>
      </c>
      <c r="E1226" s="51">
        <v>3.1469907407407412E-2</v>
      </c>
      <c r="F1226" s="51">
        <v>3.4409722222222223E-2</v>
      </c>
      <c r="G1226" s="69">
        <f t="shared" ref="G1226:G1241" si="460">AVERAGE(E1226:F1226)</f>
        <v>3.2939814814814818E-2</v>
      </c>
      <c r="H1226" s="52">
        <v>62</v>
      </c>
      <c r="I1226" s="12">
        <f t="shared" ref="I1226:I1241" si="461">G1226/D1226</f>
        <v>4.6069671069671071E-3</v>
      </c>
      <c r="J1226" s="37">
        <f t="shared" ref="J1226:J1241" si="462">IF(B1226="F",IF(D1226&lt;2.5,0,IF(D1226&gt;19.99,5,D1226/4)),IF(D1226&lt;3,0, IF(D1226&gt;20.99,5,D1226/4.2)))</f>
        <v>1.7875000000000001</v>
      </c>
      <c r="K1226" s="37">
        <f>IF(J1226=0,0,IF(B1226="F",VLOOKUP(I1226,Barem!$G$2:$H$16,2,1),VLOOKUP(I1226,Barem!$G$17:$H$31,2,1)))</f>
        <v>1.25</v>
      </c>
      <c r="L1226" s="50">
        <v>2.75</v>
      </c>
      <c r="M1226" s="124" t="s">
        <v>207</v>
      </c>
      <c r="N1226" s="10">
        <f t="shared" si="455"/>
        <v>0.25</v>
      </c>
      <c r="O1226" s="10">
        <f t="shared" si="455"/>
        <v>0.25</v>
      </c>
      <c r="P1226" s="10">
        <f t="shared" si="455"/>
        <v>0.5</v>
      </c>
      <c r="Q1226" s="40">
        <f t="shared" ref="Q1226:Q1241" si="463">IF(H1226&gt;49,H1226/1500,0)</f>
        <v>4.1333333333333333E-2</v>
      </c>
      <c r="R1226" s="21">
        <f>IF(D1226&gt;21,VLOOKUP(D1226,Barem!$T$1:$U$141,2,1),0)</f>
        <v>0</v>
      </c>
      <c r="S1226" s="152">
        <f>IF(D1226&lt;1.609,0,IF(B1226="F",VLOOKUP(I1226,Barem!$X$2:$Z$13,2,1),VLOOKUP(I1226,Barem!$X$14:$Z$25,2,1)))</f>
        <v>0</v>
      </c>
      <c r="T1226" s="21">
        <f>VLOOKUP(A1226,Participanti!A:C,3,0)</f>
        <v>0</v>
      </c>
      <c r="U1226" s="18">
        <f t="shared" ref="U1226:U1241" si="464">IF(H1226&lt;0,0,J1226*N1226+K1226*O1226+L1226*P1226+Q1226+R1226+S1226+T1226)</f>
        <v>2.1757083333333331</v>
      </c>
      <c r="V1226" s="58" t="s">
        <v>515</v>
      </c>
      <c r="W1226" s="77">
        <f t="shared" si="459"/>
        <v>1</v>
      </c>
      <c r="X1226" s="1" t="str">
        <f>VLOOKUP(A1226,Data_Echipe!A:R,18,0)</f>
        <v>Almost Kenyan Runners</v>
      </c>
      <c r="Z1226" s="115">
        <f t="shared" ref="Z1226:Z1241" si="465">IF(K1226&gt;0,1,0)</f>
        <v>1</v>
      </c>
    </row>
    <row r="1227" spans="1:26" x14ac:dyDescent="0.3">
      <c r="A1227" s="49" t="s">
        <v>448</v>
      </c>
      <c r="B1227" s="1" t="str">
        <f>VLOOKUP(A1227,Participanti!A:B,2,0)</f>
        <v>M</v>
      </c>
      <c r="C1227" s="74">
        <v>15</v>
      </c>
      <c r="D1227" s="50">
        <v>17.940000000000001</v>
      </c>
      <c r="E1227" s="51">
        <v>6.1793981481481484E-2</v>
      </c>
      <c r="F1227" s="51">
        <v>6.1886574074074073E-2</v>
      </c>
      <c r="G1227" s="69">
        <f t="shared" si="460"/>
        <v>6.1840277777777779E-2</v>
      </c>
      <c r="H1227" s="52">
        <v>88</v>
      </c>
      <c r="I1227" s="12">
        <f t="shared" si="461"/>
        <v>3.4470611916264087E-3</v>
      </c>
      <c r="J1227" s="37">
        <f t="shared" si="462"/>
        <v>4.2714285714285714</v>
      </c>
      <c r="K1227" s="37">
        <f>IF(J1227=0,0,IF(B1227="F",VLOOKUP(I1227,Barem!$G$2:$H$16,2,1),VLOOKUP(I1227,Barem!$G$17:$H$31,2,1)))</f>
        <v>3</v>
      </c>
      <c r="L1227" s="50">
        <v>1.25</v>
      </c>
      <c r="M1227" s="124" t="s">
        <v>107</v>
      </c>
      <c r="N1227" s="10">
        <f t="shared" ref="N1227:P1242" si="466">IF($M1227=N$1,50%,25%)</f>
        <v>0.25</v>
      </c>
      <c r="O1227" s="10">
        <f t="shared" si="466"/>
        <v>0.5</v>
      </c>
      <c r="P1227" s="10">
        <f t="shared" si="466"/>
        <v>0.25</v>
      </c>
      <c r="Q1227" s="40">
        <f t="shared" si="463"/>
        <v>5.8666666666666666E-2</v>
      </c>
      <c r="R1227" s="21">
        <f>IF(D1227&gt;21,VLOOKUP(D1227,Barem!$T$1:$U$141,2,1),0)</f>
        <v>0</v>
      </c>
      <c r="S1227" s="152">
        <f>IF(D1227&lt;1.609,0,IF(B1227="F",VLOOKUP(I1227,Barem!$X$2:$Z$13,2,1),VLOOKUP(I1227,Barem!$X$14:$Z$25,2,1)))</f>
        <v>0</v>
      </c>
      <c r="T1227" s="21">
        <f>VLOOKUP(A1227,Participanti!A:C,3,0)</f>
        <v>0</v>
      </c>
      <c r="U1227" s="18">
        <f t="shared" si="464"/>
        <v>2.9390238095238099</v>
      </c>
      <c r="V1227" s="58" t="s">
        <v>515</v>
      </c>
      <c r="W1227" s="77">
        <f t="shared" si="459"/>
        <v>1</v>
      </c>
      <c r="X1227" s="1" t="e">
        <f>VLOOKUP(A1227,Data_Echipe!A:R,18,0)</f>
        <v>#N/A</v>
      </c>
      <c r="Z1227" s="115">
        <f t="shared" si="465"/>
        <v>1</v>
      </c>
    </row>
    <row r="1228" spans="1:26" x14ac:dyDescent="0.3">
      <c r="A1228" s="49" t="s">
        <v>124</v>
      </c>
      <c r="B1228" s="1" t="str">
        <f>VLOOKUP(A1228,Participanti!A:B,2,0)</f>
        <v>M</v>
      </c>
      <c r="C1228" s="74">
        <v>15</v>
      </c>
      <c r="D1228" s="50">
        <v>33.01</v>
      </c>
      <c r="E1228" s="51">
        <v>8.5173611111111103E-2</v>
      </c>
      <c r="F1228" s="51">
        <v>8.5173611111111103E-2</v>
      </c>
      <c r="G1228" s="69">
        <f t="shared" si="460"/>
        <v>8.5173611111111103E-2</v>
      </c>
      <c r="H1228" s="52"/>
      <c r="I1228" s="12">
        <f t="shared" si="461"/>
        <v>2.5802366286310544E-3</v>
      </c>
      <c r="J1228" s="37">
        <f t="shared" si="462"/>
        <v>5</v>
      </c>
      <c r="K1228" s="37">
        <f>IF(J1228=0,0,IF(B1228="F",VLOOKUP(I1228,Barem!$G$2:$H$16,2,1),VLOOKUP(I1228,Barem!$G$17:$H$31,2,1)))</f>
        <v>5</v>
      </c>
      <c r="L1228" s="50">
        <v>3.25</v>
      </c>
      <c r="M1228" s="124" t="s">
        <v>106</v>
      </c>
      <c r="N1228" s="10">
        <f t="shared" si="466"/>
        <v>0.5</v>
      </c>
      <c r="O1228" s="10">
        <f t="shared" si="466"/>
        <v>0.25</v>
      </c>
      <c r="P1228" s="10">
        <f t="shared" si="466"/>
        <v>0.25</v>
      </c>
      <c r="Q1228" s="40">
        <f t="shared" si="463"/>
        <v>0</v>
      </c>
      <c r="R1228" s="21">
        <f>IF(D1228&gt;21,VLOOKUP(D1228,Barem!$T$1:$U$141,2,1),0)</f>
        <v>0.6</v>
      </c>
      <c r="S1228" s="152">
        <f>IF(D1228&lt;1.609,0,IF(B1228="F",VLOOKUP(I1228,Barem!$X$2:$Z$13,2,1),VLOOKUP(I1228,Barem!$X$14:$Z$25,2,1)))</f>
        <v>1.4999999999999998</v>
      </c>
      <c r="T1228" s="21">
        <f>VLOOKUP(A1228,Participanti!A:C,3,0)</f>
        <v>0</v>
      </c>
      <c r="U1228" s="18">
        <f t="shared" si="464"/>
        <v>6.6624999999999996</v>
      </c>
      <c r="V1228" s="58" t="s">
        <v>515</v>
      </c>
      <c r="W1228" s="77">
        <f t="shared" si="459"/>
        <v>1</v>
      </c>
      <c r="X1228" s="1" t="str">
        <f>VLOOKUP(A1228,Data_Echipe!A:R,18,0)</f>
        <v>#notSYRious</v>
      </c>
      <c r="Z1228" s="115">
        <f t="shared" si="465"/>
        <v>1</v>
      </c>
    </row>
    <row r="1229" spans="1:26" x14ac:dyDescent="0.3">
      <c r="A1229" s="49" t="s">
        <v>283</v>
      </c>
      <c r="B1229" s="1" t="str">
        <f>VLOOKUP(A1229,Participanti!A:B,2,0)</f>
        <v>M</v>
      </c>
      <c r="C1229" s="74">
        <v>15</v>
      </c>
      <c r="D1229" s="50">
        <v>50.37</v>
      </c>
      <c r="E1229" s="51">
        <v>0.22258101851851853</v>
      </c>
      <c r="F1229" s="51">
        <v>0.23680555555555557</v>
      </c>
      <c r="G1229" s="69">
        <f t="shared" si="460"/>
        <v>0.22969328703703706</v>
      </c>
      <c r="H1229" s="52">
        <v>880</v>
      </c>
      <c r="I1229" s="12">
        <f t="shared" si="461"/>
        <v>4.5601208464768131E-3</v>
      </c>
      <c r="J1229" s="37">
        <f t="shared" si="462"/>
        <v>5</v>
      </c>
      <c r="K1229" s="37">
        <f>IF(J1229=0,0,IF(B1229="F",VLOOKUP(I1229,Barem!$G$2:$H$16,2,1),VLOOKUP(I1229,Barem!$G$17:$H$31,2,1)))</f>
        <v>0.75</v>
      </c>
      <c r="L1229" s="50">
        <v>4</v>
      </c>
      <c r="M1229" s="124" t="s">
        <v>107</v>
      </c>
      <c r="N1229" s="10">
        <f t="shared" si="466"/>
        <v>0.25</v>
      </c>
      <c r="O1229" s="10">
        <f t="shared" si="466"/>
        <v>0.5</v>
      </c>
      <c r="P1229" s="10">
        <f t="shared" si="466"/>
        <v>0.25</v>
      </c>
      <c r="Q1229" s="40">
        <f t="shared" si="463"/>
        <v>0.58666666666666667</v>
      </c>
      <c r="R1229" s="21">
        <f>IF(D1229&gt;21,VLOOKUP(D1229,Barem!$T$1:$U$141,2,1),0)</f>
        <v>1.4</v>
      </c>
      <c r="S1229" s="152">
        <f>IF(D1229&lt;1.609,0,IF(B1229="F",VLOOKUP(I1229,Barem!$X$2:$Z$13,2,1),VLOOKUP(I1229,Barem!$X$14:$Z$25,2,1)))</f>
        <v>0</v>
      </c>
      <c r="T1229" s="21">
        <f>VLOOKUP(A1229,Participanti!A:C,3,0)</f>
        <v>0</v>
      </c>
      <c r="U1229" s="18">
        <f t="shared" si="464"/>
        <v>4.6116666666666664</v>
      </c>
      <c r="V1229" s="58" t="s">
        <v>515</v>
      </c>
      <c r="W1229" s="77">
        <f t="shared" si="459"/>
        <v>1</v>
      </c>
      <c r="X1229" s="1" t="str">
        <f>VLOOKUP(A1229,Data_Echipe!A:R,18,0)</f>
        <v>The GOATs</v>
      </c>
      <c r="Z1229" s="115">
        <f t="shared" si="465"/>
        <v>1</v>
      </c>
    </row>
    <row r="1230" spans="1:26" x14ac:dyDescent="0.3">
      <c r="A1230" s="49" t="s">
        <v>291</v>
      </c>
      <c r="B1230" s="1" t="str">
        <f>VLOOKUP(A1230,Participanti!A:B,2,0)</f>
        <v>F</v>
      </c>
      <c r="C1230" s="74">
        <v>15</v>
      </c>
      <c r="D1230" s="50">
        <v>23.19</v>
      </c>
      <c r="E1230" s="51">
        <v>0.18158564814814815</v>
      </c>
      <c r="F1230" s="51">
        <v>0.18597222222222221</v>
      </c>
      <c r="G1230" s="69">
        <f t="shared" si="460"/>
        <v>0.18377893518518518</v>
      </c>
      <c r="H1230" s="52">
        <v>824</v>
      </c>
      <c r="I1230" s="12">
        <f t="shared" si="461"/>
        <v>7.9249217414913836E-3</v>
      </c>
      <c r="J1230" s="37">
        <f t="shared" si="462"/>
        <v>5</v>
      </c>
      <c r="K1230" s="37">
        <f>IF(J1230=0,0,IF(B1230="F",VLOOKUP(I1230,Barem!$G$2:$H$16,2,1),VLOOKUP(I1230,Barem!$G$17:$H$31,2,1)))</f>
        <v>0</v>
      </c>
      <c r="L1230" s="50">
        <v>2.5</v>
      </c>
      <c r="M1230" s="124" t="s">
        <v>107</v>
      </c>
      <c r="N1230" s="10">
        <f t="shared" si="466"/>
        <v>0.25</v>
      </c>
      <c r="O1230" s="10">
        <f t="shared" si="466"/>
        <v>0.5</v>
      </c>
      <c r="P1230" s="10">
        <f t="shared" si="466"/>
        <v>0.25</v>
      </c>
      <c r="Q1230" s="40">
        <f t="shared" si="463"/>
        <v>0.54933333333333334</v>
      </c>
      <c r="R1230" s="21">
        <f>IF(D1230&gt;21,VLOOKUP(D1230,Barem!$T$1:$U$141,2,1),0)</f>
        <v>0.1</v>
      </c>
      <c r="S1230" s="152">
        <f>IF(D1230&lt;1.609,0,IF(B1230="F",VLOOKUP(I1230,Barem!$X$2:$Z$13,2,1),VLOOKUP(I1230,Barem!$X$14:$Z$25,2,1)))</f>
        <v>0</v>
      </c>
      <c r="T1230" s="21">
        <f>VLOOKUP(A1230,Participanti!A:C,3,0)</f>
        <v>0</v>
      </c>
      <c r="U1230" s="18">
        <f t="shared" si="464"/>
        <v>2.5243333333333333</v>
      </c>
      <c r="V1230" s="58" t="s">
        <v>515</v>
      </c>
      <c r="W1230" s="77">
        <f t="shared" si="459"/>
        <v>1</v>
      </c>
      <c r="X1230" s="1" t="str">
        <f>VLOOKUP(A1230,Data_Echipe!A:R,18,0)</f>
        <v>#notSYRious</v>
      </c>
      <c r="Z1230" s="115">
        <f t="shared" si="465"/>
        <v>0</v>
      </c>
    </row>
    <row r="1231" spans="1:26" x14ac:dyDescent="0.3">
      <c r="A1231" s="49" t="s">
        <v>247</v>
      </c>
      <c r="B1231" s="1" t="str">
        <f>VLOOKUP(A1231,Participanti!A:B,2,0)</f>
        <v>M</v>
      </c>
      <c r="C1231" s="74">
        <v>15</v>
      </c>
      <c r="D1231" s="50">
        <v>24.12</v>
      </c>
      <c r="E1231" s="51">
        <v>0.15982638888888889</v>
      </c>
      <c r="F1231" s="51">
        <v>0.1666087962962963</v>
      </c>
      <c r="G1231" s="69">
        <f t="shared" si="460"/>
        <v>0.16321759259259261</v>
      </c>
      <c r="H1231" s="52">
        <v>1044</v>
      </c>
      <c r="I1231" s="12">
        <f t="shared" si="461"/>
        <v>6.7668985320312024E-3</v>
      </c>
      <c r="J1231" s="37">
        <f t="shared" si="462"/>
        <v>5</v>
      </c>
      <c r="K1231" s="37">
        <f>IF(J1231=0,0,IF(B1231="F",VLOOKUP(I1231,Barem!$G$2:$H$16,2,1),VLOOKUP(I1231,Barem!$G$17:$H$31,2,1)))</f>
        <v>0</v>
      </c>
      <c r="L1231" s="50">
        <v>1.5</v>
      </c>
      <c r="M1231" s="124" t="s">
        <v>207</v>
      </c>
      <c r="N1231" s="10">
        <f t="shared" si="466"/>
        <v>0.25</v>
      </c>
      <c r="O1231" s="10">
        <f t="shared" si="466"/>
        <v>0.25</v>
      </c>
      <c r="P1231" s="10">
        <f t="shared" si="466"/>
        <v>0.5</v>
      </c>
      <c r="Q1231" s="40">
        <f t="shared" si="463"/>
        <v>0.69599999999999995</v>
      </c>
      <c r="R1231" s="21">
        <f>IF(D1231&gt;21,VLOOKUP(D1231,Barem!$T$1:$U$141,2,1),0)</f>
        <v>0.1</v>
      </c>
      <c r="S1231" s="152">
        <f>IF(D1231&lt;1.609,0,IF(B1231="F",VLOOKUP(I1231,Barem!$X$2:$Z$13,2,1),VLOOKUP(I1231,Barem!$X$14:$Z$25,2,1)))</f>
        <v>0</v>
      </c>
      <c r="T1231" s="21">
        <f>VLOOKUP(A1231,Participanti!A:C,3,0)</f>
        <v>0</v>
      </c>
      <c r="U1231" s="18">
        <f t="shared" si="464"/>
        <v>2.7959999999999998</v>
      </c>
      <c r="V1231" s="58" t="s">
        <v>515</v>
      </c>
      <c r="W1231" s="77">
        <f t="shared" si="459"/>
        <v>1</v>
      </c>
      <c r="X1231" s="1" t="str">
        <f>VLOOKUP(A1231,Data_Echipe!A:R,18,0)</f>
        <v>UltraHaita lu' Borcan</v>
      </c>
      <c r="Z1231" s="115">
        <f t="shared" si="465"/>
        <v>0</v>
      </c>
    </row>
    <row r="1232" spans="1:26" x14ac:dyDescent="0.3">
      <c r="A1232" s="49" t="s">
        <v>375</v>
      </c>
      <c r="B1232" s="1" t="str">
        <f>VLOOKUP(A1232,Participanti!A:B,2,0)</f>
        <v>M</v>
      </c>
      <c r="C1232" s="74">
        <v>15</v>
      </c>
      <c r="D1232" s="50">
        <v>41.16</v>
      </c>
      <c r="E1232" s="51">
        <v>0.21916666666666665</v>
      </c>
      <c r="F1232" s="51">
        <v>0.22395833333333334</v>
      </c>
      <c r="G1232" s="69">
        <f t="shared" si="460"/>
        <v>0.2215625</v>
      </c>
      <c r="H1232" s="52">
        <v>1756</v>
      </c>
      <c r="I1232" s="12">
        <f t="shared" si="461"/>
        <v>5.3829567541302239E-3</v>
      </c>
      <c r="J1232" s="37">
        <f t="shared" si="462"/>
        <v>5</v>
      </c>
      <c r="K1232" s="37">
        <f>IF(J1232=0,0,IF(B1232="F",VLOOKUP(I1232,Barem!$G$2:$H$16,2,1),VLOOKUP(I1232,Barem!$G$17:$H$31,2,1)))</f>
        <v>0.25</v>
      </c>
      <c r="L1232" s="50">
        <v>2</v>
      </c>
      <c r="M1232" s="124" t="s">
        <v>207</v>
      </c>
      <c r="N1232" s="10">
        <f t="shared" si="466"/>
        <v>0.25</v>
      </c>
      <c r="O1232" s="10">
        <f t="shared" si="466"/>
        <v>0.25</v>
      </c>
      <c r="P1232" s="10">
        <f t="shared" si="466"/>
        <v>0.5</v>
      </c>
      <c r="Q1232" s="40">
        <f t="shared" si="463"/>
        <v>1.1706666666666667</v>
      </c>
      <c r="R1232" s="21">
        <f>IF(D1232&gt;21,VLOOKUP(D1232,Barem!$T$1:$U$141,2,1),0)</f>
        <v>1</v>
      </c>
      <c r="S1232" s="152">
        <f>IF(D1232&lt;1.609,0,IF(B1232="F",VLOOKUP(I1232,Barem!$X$2:$Z$13,2,1),VLOOKUP(I1232,Barem!$X$14:$Z$25,2,1)))</f>
        <v>0</v>
      </c>
      <c r="T1232" s="21">
        <f>VLOOKUP(A1232,Participanti!A:C,3,0)</f>
        <v>0</v>
      </c>
      <c r="U1232" s="18">
        <f t="shared" si="464"/>
        <v>4.4831666666666665</v>
      </c>
      <c r="V1232" s="58" t="s">
        <v>515</v>
      </c>
      <c r="W1232" s="77">
        <f t="shared" si="459"/>
        <v>1</v>
      </c>
      <c r="X1232" s="1" t="e">
        <f>VLOOKUP(A1232,Data_Echipe!A:R,18,0)</f>
        <v>#N/A</v>
      </c>
      <c r="Z1232" s="115">
        <f t="shared" si="465"/>
        <v>1</v>
      </c>
    </row>
    <row r="1233" spans="1:26" x14ac:dyDescent="0.3">
      <c r="A1233" s="49" t="s">
        <v>137</v>
      </c>
      <c r="B1233" s="1" t="str">
        <f>VLOOKUP(A1233,Participanti!A:B,2,0)</f>
        <v>M</v>
      </c>
      <c r="C1233" s="74">
        <v>15</v>
      </c>
      <c r="D1233" s="50">
        <v>21.21</v>
      </c>
      <c r="E1233" s="51">
        <v>7.5266203703703696E-2</v>
      </c>
      <c r="F1233" s="51">
        <v>7.5555555555555556E-2</v>
      </c>
      <c r="G1233" s="69">
        <f t="shared" si="460"/>
        <v>7.5410879629629626E-2</v>
      </c>
      <c r="H1233" s="52">
        <v>239</v>
      </c>
      <c r="I1233" s="12">
        <f t="shared" si="461"/>
        <v>3.5554398693837634E-3</v>
      </c>
      <c r="J1233" s="37">
        <f t="shared" si="462"/>
        <v>5</v>
      </c>
      <c r="K1233" s="37">
        <f>IF(J1233=0,0,IF(B1233="F",VLOOKUP(I1233,Barem!$G$2:$H$16,2,1),VLOOKUP(I1233,Barem!$G$17:$H$31,2,1)))</f>
        <v>2.5</v>
      </c>
      <c r="L1233" s="50">
        <v>3.5</v>
      </c>
      <c r="M1233" s="124" t="s">
        <v>207</v>
      </c>
      <c r="N1233" s="10">
        <f t="shared" si="466"/>
        <v>0.25</v>
      </c>
      <c r="O1233" s="10">
        <f t="shared" si="466"/>
        <v>0.25</v>
      </c>
      <c r="P1233" s="10">
        <f t="shared" si="466"/>
        <v>0.5</v>
      </c>
      <c r="Q1233" s="40">
        <f t="shared" si="463"/>
        <v>0.15933333333333333</v>
      </c>
      <c r="R1233" s="21">
        <f>IF(D1233&gt;21,VLOOKUP(D1233,Barem!$T$1:$U$141,2,1),0)</f>
        <v>0</v>
      </c>
      <c r="S1233" s="152">
        <f>IF(D1233&lt;1.609,0,IF(B1233="F",VLOOKUP(I1233,Barem!$X$2:$Z$13,2,1),VLOOKUP(I1233,Barem!$X$14:$Z$25,2,1)))</f>
        <v>0</v>
      </c>
      <c r="T1233" s="21">
        <f>VLOOKUP(A1233,Participanti!A:C,3,0)</f>
        <v>0</v>
      </c>
      <c r="U1233" s="18">
        <f t="shared" si="464"/>
        <v>3.7843333333333335</v>
      </c>
      <c r="V1233" s="58" t="s">
        <v>515</v>
      </c>
      <c r="W1233" s="77">
        <f t="shared" si="459"/>
        <v>1</v>
      </c>
      <c r="X1233" s="1" t="str">
        <f>VLOOKUP(A1233,Data_Echipe!A:R,18,0)</f>
        <v>The GOATs</v>
      </c>
      <c r="Z1233" s="115">
        <f t="shared" si="465"/>
        <v>1</v>
      </c>
    </row>
    <row r="1234" spans="1:26" x14ac:dyDescent="0.3">
      <c r="A1234" s="49" t="s">
        <v>100</v>
      </c>
      <c r="B1234" s="1" t="str">
        <f>VLOOKUP(A1234,Participanti!A:B,2,0)</f>
        <v>F</v>
      </c>
      <c r="C1234" s="74">
        <v>15</v>
      </c>
      <c r="D1234" s="50">
        <v>9.02</v>
      </c>
      <c r="E1234" s="51">
        <v>3.619212962962963E-2</v>
      </c>
      <c r="F1234" s="51">
        <v>3.6562499999999998E-2</v>
      </c>
      <c r="G1234" s="69">
        <f t="shared" si="460"/>
        <v>3.6377314814814814E-2</v>
      </c>
      <c r="H1234" s="52"/>
      <c r="I1234" s="12">
        <f t="shared" si="461"/>
        <v>4.0329617311324626E-3</v>
      </c>
      <c r="J1234" s="37">
        <f t="shared" si="462"/>
        <v>2.2549999999999999</v>
      </c>
      <c r="K1234" s="37">
        <f>IF(J1234=0,0,IF(B1234="F",VLOOKUP(I1234,Barem!$G$2:$H$16,2,1),VLOOKUP(I1234,Barem!$G$17:$H$31,2,1)))</f>
        <v>2</v>
      </c>
      <c r="L1234" s="50">
        <v>1.5</v>
      </c>
      <c r="M1234" s="124" t="s">
        <v>207</v>
      </c>
      <c r="N1234" s="10">
        <f t="shared" si="466"/>
        <v>0.25</v>
      </c>
      <c r="O1234" s="10">
        <f t="shared" si="466"/>
        <v>0.25</v>
      </c>
      <c r="P1234" s="10">
        <f t="shared" si="466"/>
        <v>0.5</v>
      </c>
      <c r="Q1234" s="40">
        <f t="shared" si="463"/>
        <v>0</v>
      </c>
      <c r="R1234" s="21">
        <f>IF(D1234&gt;21,VLOOKUP(D1234,Barem!$T$1:$U$141,2,1),0)</f>
        <v>0</v>
      </c>
      <c r="S1234" s="152">
        <f>IF(D1234&lt;1.609,0,IF(B1234="F",VLOOKUP(I1234,Barem!$X$2:$Z$13,2,1),VLOOKUP(I1234,Barem!$X$14:$Z$25,2,1)))</f>
        <v>0</v>
      </c>
      <c r="T1234" s="21">
        <f>VLOOKUP(A1234,Participanti!A:C,3,0)</f>
        <v>0</v>
      </c>
      <c r="U1234" s="18">
        <f t="shared" si="464"/>
        <v>1.81375</v>
      </c>
      <c r="V1234" s="58" t="s">
        <v>515</v>
      </c>
      <c r="W1234" s="77">
        <f t="shared" si="459"/>
        <v>1</v>
      </c>
      <c r="X1234" s="1" t="e">
        <f>VLOOKUP(A1234,Data_Echipe!A:R,18,0)</f>
        <v>#N/A</v>
      </c>
      <c r="Z1234" s="115">
        <f t="shared" si="465"/>
        <v>1</v>
      </c>
    </row>
    <row r="1235" spans="1:26" x14ac:dyDescent="0.3">
      <c r="A1235" s="49" t="s">
        <v>359</v>
      </c>
      <c r="B1235" s="1" t="str">
        <f>VLOOKUP(A1235,Participanti!A:B,2,0)</f>
        <v>M</v>
      </c>
      <c r="C1235" s="74">
        <v>15</v>
      </c>
      <c r="D1235" s="50">
        <v>27.01</v>
      </c>
      <c r="E1235" s="51">
        <v>0.15777777777777777</v>
      </c>
      <c r="F1235" s="51">
        <v>0.1746412037037037</v>
      </c>
      <c r="G1235" s="69">
        <f t="shared" si="460"/>
        <v>0.16620949074074073</v>
      </c>
      <c r="H1235" s="52">
        <v>1162</v>
      </c>
      <c r="I1235" s="12">
        <f t="shared" si="461"/>
        <v>6.153627943011504E-3</v>
      </c>
      <c r="J1235" s="37">
        <f t="shared" si="462"/>
        <v>5</v>
      </c>
      <c r="K1235" s="37">
        <f>IF(J1235=0,0,IF(B1235="F",VLOOKUP(I1235,Barem!$G$2:$H$16,2,1),VLOOKUP(I1235,Barem!$G$17:$H$31,2,1)))</f>
        <v>0</v>
      </c>
      <c r="L1235" s="50">
        <v>2</v>
      </c>
      <c r="M1235" s="124" t="s">
        <v>207</v>
      </c>
      <c r="N1235" s="10">
        <f t="shared" si="466"/>
        <v>0.25</v>
      </c>
      <c r="O1235" s="10">
        <f t="shared" si="466"/>
        <v>0.25</v>
      </c>
      <c r="P1235" s="10">
        <f t="shared" si="466"/>
        <v>0.5</v>
      </c>
      <c r="Q1235" s="40">
        <f t="shared" si="463"/>
        <v>0.77466666666666661</v>
      </c>
      <c r="R1235" s="21">
        <f>IF(D1235&gt;21,VLOOKUP(D1235,Barem!$T$1:$U$141,2,1),0)</f>
        <v>0.3</v>
      </c>
      <c r="S1235" s="152">
        <f>IF(D1235&lt;1.609,0,IF(B1235="F",VLOOKUP(I1235,Barem!$X$2:$Z$13,2,1),VLOOKUP(I1235,Barem!$X$14:$Z$25,2,1)))</f>
        <v>0</v>
      </c>
      <c r="T1235" s="21">
        <f>VLOOKUP(A1235,Participanti!A:C,3,0)</f>
        <v>0</v>
      </c>
      <c r="U1235" s="18">
        <f t="shared" si="464"/>
        <v>3.3246666666666664</v>
      </c>
      <c r="V1235" s="58" t="s">
        <v>515</v>
      </c>
      <c r="W1235" s="77">
        <f t="shared" si="459"/>
        <v>1</v>
      </c>
      <c r="X1235" s="1" t="str">
        <f>VLOOKUP(A1235,Data_Echipe!A:R,18,0)</f>
        <v>Almost Kenyan Runners</v>
      </c>
      <c r="Z1235" s="115">
        <f t="shared" si="465"/>
        <v>0</v>
      </c>
    </row>
    <row r="1236" spans="1:26" x14ac:dyDescent="0.3">
      <c r="A1236" s="49" t="s">
        <v>403</v>
      </c>
      <c r="B1236" s="1" t="str">
        <f>VLOOKUP(A1236,Participanti!A:B,2,0)</f>
        <v>M</v>
      </c>
      <c r="C1236" s="74">
        <v>15</v>
      </c>
      <c r="D1236" s="50">
        <v>10.1</v>
      </c>
      <c r="E1236" s="51">
        <v>3.5405092592592592E-2</v>
      </c>
      <c r="F1236" s="51">
        <v>3.5405092592592592E-2</v>
      </c>
      <c r="G1236" s="69">
        <f t="shared" si="460"/>
        <v>3.5405092592592592E-2</v>
      </c>
      <c r="H1236" s="52"/>
      <c r="I1236" s="12">
        <f t="shared" si="461"/>
        <v>3.5054547121378806E-3</v>
      </c>
      <c r="J1236" s="37">
        <f t="shared" si="462"/>
        <v>2.4047619047619047</v>
      </c>
      <c r="K1236" s="37">
        <f>IF(J1236=0,0,IF(B1236="F",VLOOKUP(I1236,Barem!$G$2:$H$16,2,1),VLOOKUP(I1236,Barem!$G$17:$H$31,2,1)))</f>
        <v>2.5</v>
      </c>
      <c r="L1236" s="50">
        <v>1.5</v>
      </c>
      <c r="M1236" s="124" t="s">
        <v>107</v>
      </c>
      <c r="N1236" s="10">
        <f t="shared" si="466"/>
        <v>0.25</v>
      </c>
      <c r="O1236" s="10">
        <f t="shared" si="466"/>
        <v>0.5</v>
      </c>
      <c r="P1236" s="10">
        <f t="shared" si="466"/>
        <v>0.25</v>
      </c>
      <c r="Q1236" s="40">
        <f t="shared" si="463"/>
        <v>0</v>
      </c>
      <c r="R1236" s="21">
        <f>IF(D1236&gt;21,VLOOKUP(D1236,Barem!$T$1:$U$141,2,1),0)</f>
        <v>0</v>
      </c>
      <c r="S1236" s="152">
        <f>IF(D1236&lt;1.609,0,IF(B1236="F",VLOOKUP(I1236,Barem!$X$2:$Z$13,2,1),VLOOKUP(I1236,Barem!$X$14:$Z$25,2,1)))</f>
        <v>0</v>
      </c>
      <c r="T1236" s="21">
        <f>VLOOKUP(A1236,Participanti!A:C,3,0)</f>
        <v>0</v>
      </c>
      <c r="U1236" s="18">
        <f t="shared" si="464"/>
        <v>2.2261904761904763</v>
      </c>
      <c r="V1236" s="58" t="s">
        <v>515</v>
      </c>
      <c r="W1236" s="77">
        <f t="shared" si="459"/>
        <v>1</v>
      </c>
      <c r="X1236" s="1" t="str">
        <f>VLOOKUP(A1236,Data_Echipe!A:R,18,0)</f>
        <v>The GOATs</v>
      </c>
      <c r="Z1236" s="115">
        <f t="shared" si="465"/>
        <v>1</v>
      </c>
    </row>
    <row r="1237" spans="1:26" x14ac:dyDescent="0.3">
      <c r="A1237" s="49" t="s">
        <v>128</v>
      </c>
      <c r="B1237" s="1" t="str">
        <f>VLOOKUP(A1237,Participanti!A:B,2,0)</f>
        <v>M</v>
      </c>
      <c r="C1237" s="74">
        <v>15</v>
      </c>
      <c r="D1237" s="50">
        <v>11</v>
      </c>
      <c r="E1237" s="51">
        <v>4.1782407407407407E-2</v>
      </c>
      <c r="F1237" s="51">
        <v>4.1851851851851855E-2</v>
      </c>
      <c r="G1237" s="69">
        <f t="shared" si="460"/>
        <v>4.1817129629629635E-2</v>
      </c>
      <c r="H1237" s="52"/>
      <c r="I1237" s="12">
        <f t="shared" si="461"/>
        <v>3.8015572390572394E-3</v>
      </c>
      <c r="J1237" s="37">
        <f t="shared" si="462"/>
        <v>2.6190476190476191</v>
      </c>
      <c r="K1237" s="37">
        <f>IF(J1237=0,0,IF(B1237="F",VLOOKUP(I1237,Barem!$G$2:$H$16,2,1),VLOOKUP(I1237,Barem!$G$17:$H$31,2,1)))</f>
        <v>2</v>
      </c>
      <c r="L1237" s="50">
        <v>1.25</v>
      </c>
      <c r="M1237" s="124" t="s">
        <v>207</v>
      </c>
      <c r="N1237" s="10">
        <f t="shared" si="466"/>
        <v>0.25</v>
      </c>
      <c r="O1237" s="10">
        <f t="shared" si="466"/>
        <v>0.25</v>
      </c>
      <c r="P1237" s="10">
        <f t="shared" si="466"/>
        <v>0.5</v>
      </c>
      <c r="Q1237" s="40">
        <f t="shared" si="463"/>
        <v>0</v>
      </c>
      <c r="R1237" s="21">
        <f>IF(D1237&gt;21,VLOOKUP(D1237,Barem!$T$1:$U$141,2,1),0)</f>
        <v>0</v>
      </c>
      <c r="S1237" s="152">
        <f>IF(D1237&lt;1.609,0,IF(B1237="F",VLOOKUP(I1237,Barem!$X$2:$Z$13,2,1),VLOOKUP(I1237,Barem!$X$14:$Z$25,2,1)))</f>
        <v>0</v>
      </c>
      <c r="T1237" s="21">
        <f>VLOOKUP(A1237,Participanti!A:C,3,0)</f>
        <v>0</v>
      </c>
      <c r="U1237" s="18">
        <f t="shared" si="464"/>
        <v>1.7797619047619047</v>
      </c>
      <c r="V1237" s="58" t="s">
        <v>515</v>
      </c>
      <c r="W1237" s="77">
        <f t="shared" si="459"/>
        <v>1</v>
      </c>
      <c r="X1237" s="1" t="str">
        <f>VLOOKUP(A1237,Data_Echipe!A:R,18,0)</f>
        <v>Almost Kenyan Runners</v>
      </c>
      <c r="Z1237" s="115">
        <f t="shared" si="465"/>
        <v>1</v>
      </c>
    </row>
    <row r="1238" spans="1:26" x14ac:dyDescent="0.3">
      <c r="A1238" s="49" t="s">
        <v>378</v>
      </c>
      <c r="B1238" s="1" t="str">
        <f>VLOOKUP(A1238,Participanti!A:B,2,0)</f>
        <v>F</v>
      </c>
      <c r="C1238" s="74">
        <v>15</v>
      </c>
      <c r="D1238" s="50">
        <v>12.02</v>
      </c>
      <c r="E1238" s="51">
        <v>4.0532407407407406E-2</v>
      </c>
      <c r="F1238" s="51">
        <v>4.1770833333333333E-2</v>
      </c>
      <c r="G1238" s="69">
        <f t="shared" si="460"/>
        <v>4.1151620370370373E-2</v>
      </c>
      <c r="H1238" s="52"/>
      <c r="I1238" s="12">
        <f t="shared" si="461"/>
        <v>3.4235957046897152E-3</v>
      </c>
      <c r="J1238" s="37">
        <f t="shared" si="462"/>
        <v>3.0049999999999999</v>
      </c>
      <c r="K1238" s="37">
        <f>IF(J1238=0,0,IF(B1238="F",VLOOKUP(I1238,Barem!$G$2:$H$16,2,1),VLOOKUP(I1238,Barem!$G$17:$H$31,2,1)))</f>
        <v>4</v>
      </c>
      <c r="L1238" s="50">
        <v>2.75</v>
      </c>
      <c r="M1238" s="124" t="s">
        <v>207</v>
      </c>
      <c r="N1238" s="10">
        <f t="shared" si="466"/>
        <v>0.25</v>
      </c>
      <c r="O1238" s="10">
        <f t="shared" si="466"/>
        <v>0.25</v>
      </c>
      <c r="P1238" s="10">
        <f t="shared" si="466"/>
        <v>0.5</v>
      </c>
      <c r="Q1238" s="40">
        <f t="shared" si="463"/>
        <v>0</v>
      </c>
      <c r="R1238" s="21">
        <f>IF(D1238&gt;21,VLOOKUP(D1238,Barem!$T$1:$U$141,2,1),0)</f>
        <v>0</v>
      </c>
      <c r="S1238" s="152">
        <f>IF(D1238&lt;1.609,0,IF(B1238="F",VLOOKUP(I1238,Barem!$X$2:$Z$13,2,1),VLOOKUP(I1238,Barem!$X$14:$Z$25,2,1)))</f>
        <v>0</v>
      </c>
      <c r="T1238" s="21">
        <f>VLOOKUP(A1238,Participanti!A:C,3,0)</f>
        <v>0</v>
      </c>
      <c r="U1238" s="18">
        <f t="shared" si="464"/>
        <v>3.1262499999999998</v>
      </c>
      <c r="V1238" s="58" t="s">
        <v>515</v>
      </c>
      <c r="W1238" s="77">
        <f t="shared" si="459"/>
        <v>1</v>
      </c>
      <c r="X1238" s="1" t="str">
        <f>VLOOKUP(A1238,Data_Echipe!A:R,18,0)</f>
        <v>MedgidiaRunning</v>
      </c>
      <c r="Z1238" s="115">
        <f t="shared" si="465"/>
        <v>1</v>
      </c>
    </row>
    <row r="1239" spans="1:26" x14ac:dyDescent="0.3">
      <c r="A1239" s="49" t="s">
        <v>347</v>
      </c>
      <c r="B1239" s="1" t="str">
        <f>VLOOKUP(A1239,Participanti!A:B,2,0)</f>
        <v>F</v>
      </c>
      <c r="C1239" s="74">
        <v>15</v>
      </c>
      <c r="D1239" s="50">
        <v>10.25</v>
      </c>
      <c r="E1239" s="51">
        <v>3.8495370370370367E-2</v>
      </c>
      <c r="F1239" s="51">
        <v>4.0231481481481479E-2</v>
      </c>
      <c r="G1239" s="69">
        <f t="shared" si="460"/>
        <v>3.9363425925925927E-2</v>
      </c>
      <c r="H1239" s="52">
        <v>99</v>
      </c>
      <c r="I1239" s="12">
        <f t="shared" si="461"/>
        <v>3.8403342366757002E-3</v>
      </c>
      <c r="J1239" s="37">
        <f t="shared" si="462"/>
        <v>2.5625</v>
      </c>
      <c r="K1239" s="37">
        <f>IF(J1239=0,0,IF(B1239="F",VLOOKUP(I1239,Barem!$G$2:$H$16,2,1),VLOOKUP(I1239,Barem!$G$17:$H$31,2,1)))</f>
        <v>2.5</v>
      </c>
      <c r="L1239" s="50">
        <v>2.5</v>
      </c>
      <c r="M1239" s="124" t="s">
        <v>207</v>
      </c>
      <c r="N1239" s="10">
        <f t="shared" si="466"/>
        <v>0.25</v>
      </c>
      <c r="O1239" s="10">
        <f t="shared" si="466"/>
        <v>0.25</v>
      </c>
      <c r="P1239" s="10">
        <f t="shared" si="466"/>
        <v>0.5</v>
      </c>
      <c r="Q1239" s="40">
        <f t="shared" si="463"/>
        <v>6.6000000000000003E-2</v>
      </c>
      <c r="R1239" s="21">
        <f>IF(D1239&gt;21,VLOOKUP(D1239,Barem!$T$1:$U$141,2,1),0)</f>
        <v>0</v>
      </c>
      <c r="S1239" s="152">
        <f>IF(D1239&lt;1.609,0,IF(B1239="F",VLOOKUP(I1239,Barem!$X$2:$Z$13,2,1),VLOOKUP(I1239,Barem!$X$14:$Z$25,2,1)))</f>
        <v>0</v>
      </c>
      <c r="T1239" s="21">
        <f>VLOOKUP(A1239,Participanti!A:C,3,0)</f>
        <v>0</v>
      </c>
      <c r="U1239" s="18">
        <f t="shared" si="464"/>
        <v>2.5816249999999998</v>
      </c>
      <c r="V1239" s="58" t="s">
        <v>515</v>
      </c>
      <c r="W1239" s="77">
        <f t="shared" si="459"/>
        <v>1</v>
      </c>
      <c r="X1239" s="1" t="str">
        <f>VLOOKUP(A1239,Data_Echipe!A:R,18,0)</f>
        <v>MedgidiaRunning</v>
      </c>
      <c r="Z1239" s="115">
        <f t="shared" si="465"/>
        <v>1</v>
      </c>
    </row>
    <row r="1240" spans="1:26" x14ac:dyDescent="0.3">
      <c r="A1240" s="49" t="s">
        <v>108</v>
      </c>
      <c r="B1240" s="1" t="str">
        <f>VLOOKUP(A1240,Participanti!A:B,2,0)</f>
        <v>M</v>
      </c>
      <c r="C1240" s="74">
        <v>15</v>
      </c>
      <c r="D1240" s="50">
        <v>31.31</v>
      </c>
      <c r="E1240" s="51">
        <v>0.11398148148148148</v>
      </c>
      <c r="F1240" s="51">
        <v>0.12197916666666668</v>
      </c>
      <c r="G1240" s="69">
        <f t="shared" si="460"/>
        <v>0.11798032407407408</v>
      </c>
      <c r="H1240" s="52">
        <v>71</v>
      </c>
      <c r="I1240" s="12">
        <f t="shared" si="461"/>
        <v>3.7681355501141514E-3</v>
      </c>
      <c r="J1240" s="37">
        <f t="shared" si="462"/>
        <v>5</v>
      </c>
      <c r="K1240" s="37">
        <f>IF(J1240=0,0,IF(B1240="F",VLOOKUP(I1240,Barem!$G$2:$H$16,2,1),VLOOKUP(I1240,Barem!$G$17:$H$31,2,1)))</f>
        <v>2</v>
      </c>
      <c r="L1240" s="50">
        <v>3.5</v>
      </c>
      <c r="M1240" s="124" t="s">
        <v>107</v>
      </c>
      <c r="N1240" s="10">
        <f t="shared" si="466"/>
        <v>0.25</v>
      </c>
      <c r="O1240" s="10">
        <f t="shared" si="466"/>
        <v>0.5</v>
      </c>
      <c r="P1240" s="10">
        <f t="shared" si="466"/>
        <v>0.25</v>
      </c>
      <c r="Q1240" s="40">
        <f t="shared" si="463"/>
        <v>4.7333333333333331E-2</v>
      </c>
      <c r="R1240" s="21">
        <f>IF(D1240&gt;21,VLOOKUP(D1240,Barem!$T$1:$U$141,2,1),0)</f>
        <v>0.5</v>
      </c>
      <c r="S1240" s="152">
        <f>IF(D1240&lt;1.609,0,IF(B1240="F",VLOOKUP(I1240,Barem!$X$2:$Z$13,2,1),VLOOKUP(I1240,Barem!$X$14:$Z$25,2,1)))</f>
        <v>0</v>
      </c>
      <c r="T1240" s="21">
        <f>VLOOKUP(A1240,Participanti!A:C,3,0)</f>
        <v>0</v>
      </c>
      <c r="U1240" s="18">
        <f t="shared" si="464"/>
        <v>3.6723333333333334</v>
      </c>
      <c r="V1240" s="58" t="s">
        <v>515</v>
      </c>
      <c r="W1240" s="77">
        <f t="shared" si="459"/>
        <v>1</v>
      </c>
      <c r="X1240" s="1" t="str">
        <f>VLOOKUP(A1240,Data_Echipe!A:R,18,0)</f>
        <v>UltraHaita lu' Borcan</v>
      </c>
      <c r="Z1240" s="115">
        <f t="shared" si="465"/>
        <v>1</v>
      </c>
    </row>
    <row r="1241" spans="1:26" x14ac:dyDescent="0.3">
      <c r="A1241" s="49" t="s">
        <v>288</v>
      </c>
      <c r="B1241" s="1" t="str">
        <f>VLOOKUP(A1241,Participanti!A:B,2,0)</f>
        <v>M</v>
      </c>
      <c r="C1241" s="74">
        <v>15</v>
      </c>
      <c r="D1241" s="50">
        <v>10.15</v>
      </c>
      <c r="E1241" s="51">
        <v>3.2627314814814817E-2</v>
      </c>
      <c r="F1241" s="51">
        <v>3.2627314814814817E-2</v>
      </c>
      <c r="G1241" s="69">
        <f t="shared" si="460"/>
        <v>3.2627314814814817E-2</v>
      </c>
      <c r="H1241" s="52">
        <v>118</v>
      </c>
      <c r="I1241" s="12">
        <f t="shared" si="461"/>
        <v>3.2145137748586026E-3</v>
      </c>
      <c r="J1241" s="37">
        <f t="shared" si="462"/>
        <v>2.4166666666666665</v>
      </c>
      <c r="K1241" s="37">
        <f>IF(J1241=0,0,IF(B1241="F",VLOOKUP(I1241,Barem!$G$2:$H$16,2,1),VLOOKUP(I1241,Barem!$G$17:$H$31,2,1)))</f>
        <v>3.5</v>
      </c>
      <c r="L1241" s="50">
        <v>2.25</v>
      </c>
      <c r="M1241" s="124" t="s">
        <v>106</v>
      </c>
      <c r="N1241" s="10">
        <f t="shared" si="466"/>
        <v>0.5</v>
      </c>
      <c r="O1241" s="10">
        <f t="shared" si="466"/>
        <v>0.25</v>
      </c>
      <c r="P1241" s="10">
        <f t="shared" si="466"/>
        <v>0.25</v>
      </c>
      <c r="Q1241" s="40">
        <f t="shared" si="463"/>
        <v>7.8666666666666663E-2</v>
      </c>
      <c r="R1241" s="21">
        <f>IF(D1241&gt;21,VLOOKUP(D1241,Barem!$T$1:$U$141,2,1),0)</f>
        <v>0</v>
      </c>
      <c r="S1241" s="152">
        <f>IF(D1241&lt;1.609,0,IF(B1241="F",VLOOKUP(I1241,Barem!$X$2:$Z$13,2,1),VLOOKUP(I1241,Barem!$X$14:$Z$25,2,1)))</f>
        <v>0</v>
      </c>
      <c r="T1241" s="21">
        <f>VLOOKUP(A1241,Participanti!A:C,3,0)</f>
        <v>0</v>
      </c>
      <c r="U1241" s="18">
        <f t="shared" si="464"/>
        <v>2.7244999999999999</v>
      </c>
      <c r="V1241" s="58" t="s">
        <v>515</v>
      </c>
      <c r="W1241" s="77">
        <f t="shared" si="459"/>
        <v>1</v>
      </c>
      <c r="X1241" s="1" t="e">
        <f>VLOOKUP(A1241,Data_Echipe!A:R,18,0)</f>
        <v>#N/A</v>
      </c>
      <c r="Z1241" s="115">
        <f t="shared" si="465"/>
        <v>1</v>
      </c>
    </row>
    <row r="1242" spans="1:26" x14ac:dyDescent="0.3">
      <c r="A1242" s="49" t="s">
        <v>303</v>
      </c>
      <c r="B1242" s="1" t="str">
        <f>VLOOKUP(A1242,Participanti!A:B,2,0)</f>
        <v>F</v>
      </c>
      <c r="C1242" s="74">
        <v>15</v>
      </c>
      <c r="D1242" s="50">
        <v>11.52</v>
      </c>
      <c r="E1242" s="51">
        <v>5.4490740740740735E-2</v>
      </c>
      <c r="F1242" s="51">
        <v>5.4791666666666662E-2</v>
      </c>
      <c r="G1242" s="69">
        <f t="shared" ref="G1242:G1252" si="467">AVERAGE(E1242:F1242)</f>
        <v>5.4641203703703699E-2</v>
      </c>
      <c r="H1242" s="52">
        <v>277</v>
      </c>
      <c r="I1242" s="12">
        <f t="shared" ref="I1242:I1252" si="468">G1242/D1242</f>
        <v>4.74316004372428E-3</v>
      </c>
      <c r="J1242" s="37">
        <f t="shared" ref="J1242:J1252" si="469">IF(B1242="F",IF(D1242&lt;2.5,0,IF(D1242&gt;19.99,5,D1242/4)),IF(D1242&lt;3,0, IF(D1242&gt;20.99,5,D1242/4.2)))</f>
        <v>2.88</v>
      </c>
      <c r="K1242" s="37">
        <f>IF(J1242=0,0,IF(B1242="F",VLOOKUP(I1242,Barem!$G$2:$H$16,2,1),VLOOKUP(I1242,Barem!$G$17:$H$31,2,1)))</f>
        <v>1</v>
      </c>
      <c r="L1242" s="50">
        <v>1.5</v>
      </c>
      <c r="M1242" s="124" t="s">
        <v>207</v>
      </c>
      <c r="N1242" s="10">
        <f t="shared" si="466"/>
        <v>0.25</v>
      </c>
      <c r="O1242" s="10">
        <f t="shared" si="466"/>
        <v>0.25</v>
      </c>
      <c r="P1242" s="10">
        <f t="shared" si="466"/>
        <v>0.5</v>
      </c>
      <c r="Q1242" s="40">
        <f t="shared" ref="Q1242:Q1252" si="470">IF(H1242&gt;49,H1242/1500,0)</f>
        <v>0.18466666666666667</v>
      </c>
      <c r="R1242" s="21">
        <f>IF(D1242&gt;21,VLOOKUP(D1242,Barem!$T$1:$U$141,2,1),0)</f>
        <v>0</v>
      </c>
      <c r="S1242" s="152">
        <f>IF(D1242&lt;1.609,0,IF(B1242="F",VLOOKUP(I1242,Barem!$X$2:$Z$13,2,1),VLOOKUP(I1242,Barem!$X$14:$Z$25,2,1)))</f>
        <v>0</v>
      </c>
      <c r="T1242" s="21">
        <f>VLOOKUP(A1242,Participanti!A:C,3,0)</f>
        <v>0</v>
      </c>
      <c r="U1242" s="18">
        <f t="shared" ref="U1242:U1252" si="471">IF(H1242&lt;0,0,J1242*N1242+K1242*O1242+L1242*P1242+Q1242+R1242+S1242+T1242)</f>
        <v>1.9046666666666667</v>
      </c>
      <c r="V1242" s="58" t="s">
        <v>515</v>
      </c>
      <c r="W1242" s="77">
        <f t="shared" si="459"/>
        <v>1</v>
      </c>
      <c r="X1242" s="1" t="e">
        <f>VLOOKUP(A1242,Data_Echipe!A:R,18,0)</f>
        <v>#N/A</v>
      </c>
      <c r="Z1242" s="115">
        <f t="shared" ref="Z1242:Z1252" si="472">IF(K1242&gt;0,1,0)</f>
        <v>1</v>
      </c>
    </row>
    <row r="1243" spans="1:26" x14ac:dyDescent="0.3">
      <c r="A1243" s="49" t="s">
        <v>357</v>
      </c>
      <c r="B1243" s="1" t="str">
        <f>VLOOKUP(A1243,Participanti!A:B,2,0)</f>
        <v>M</v>
      </c>
      <c r="C1243" s="74">
        <v>15</v>
      </c>
      <c r="D1243" s="50">
        <v>20.52</v>
      </c>
      <c r="E1243" s="51">
        <v>0.11390046296296297</v>
      </c>
      <c r="F1243" s="51">
        <v>0.11670138888888888</v>
      </c>
      <c r="G1243" s="69">
        <f t="shared" si="467"/>
        <v>0.11530092592592592</v>
      </c>
      <c r="H1243" s="52">
        <v>694</v>
      </c>
      <c r="I1243" s="12">
        <f t="shared" si="468"/>
        <v>5.6189535051620818E-3</v>
      </c>
      <c r="J1243" s="37">
        <f t="shared" si="469"/>
        <v>4.8857142857142852</v>
      </c>
      <c r="K1243" s="37">
        <f>IF(J1243=0,0,IF(B1243="F",VLOOKUP(I1243,Barem!$G$2:$H$16,2,1),VLOOKUP(I1243,Barem!$G$17:$H$31,2,1)))</f>
        <v>0</v>
      </c>
      <c r="L1243" s="50">
        <v>1</v>
      </c>
      <c r="M1243" s="124" t="s">
        <v>107</v>
      </c>
      <c r="N1243" s="10">
        <f t="shared" ref="N1243:P1258" si="473">IF($M1243=N$1,50%,25%)</f>
        <v>0.25</v>
      </c>
      <c r="O1243" s="10">
        <f t="shared" si="473"/>
        <v>0.5</v>
      </c>
      <c r="P1243" s="10">
        <f t="shared" si="473"/>
        <v>0.25</v>
      </c>
      <c r="Q1243" s="40">
        <f t="shared" si="470"/>
        <v>0.46266666666666667</v>
      </c>
      <c r="R1243" s="21">
        <f>IF(D1243&gt;21,VLOOKUP(D1243,Barem!$T$1:$U$141,2,1),0)</f>
        <v>0</v>
      </c>
      <c r="S1243" s="152">
        <f>IF(D1243&lt;1.609,0,IF(B1243="F",VLOOKUP(I1243,Barem!$X$2:$Z$13,2,1),VLOOKUP(I1243,Barem!$X$14:$Z$25,2,1)))</f>
        <v>0</v>
      </c>
      <c r="T1243" s="21">
        <f>VLOOKUP(A1243,Participanti!A:C,3,0)</f>
        <v>0</v>
      </c>
      <c r="U1243" s="18">
        <f t="shared" si="471"/>
        <v>1.9340952380952379</v>
      </c>
      <c r="V1243" s="58" t="s">
        <v>515</v>
      </c>
      <c r="W1243" s="77">
        <f t="shared" si="459"/>
        <v>1</v>
      </c>
      <c r="X1243" s="1" t="e">
        <f>VLOOKUP(A1243,Data_Echipe!A:R,18,0)</f>
        <v>#N/A</v>
      </c>
      <c r="Z1243" s="115">
        <f t="shared" si="472"/>
        <v>0</v>
      </c>
    </row>
    <row r="1244" spans="1:26" x14ac:dyDescent="0.3">
      <c r="A1244" s="49" t="s">
        <v>226</v>
      </c>
      <c r="B1244" s="1" t="str">
        <f>VLOOKUP(A1244,Participanti!A:B,2,0)</f>
        <v>M</v>
      </c>
      <c r="C1244" s="74">
        <v>15</v>
      </c>
      <c r="D1244" s="50">
        <v>12.84</v>
      </c>
      <c r="E1244" s="51">
        <v>6.267361111111111E-2</v>
      </c>
      <c r="F1244" s="51">
        <v>6.2754629629629632E-2</v>
      </c>
      <c r="G1244" s="69">
        <f t="shared" si="467"/>
        <v>6.2714120370370371E-2</v>
      </c>
      <c r="H1244" s="52"/>
      <c r="I1244" s="12">
        <f t="shared" si="468"/>
        <v>4.8842772874120224E-3</v>
      </c>
      <c r="J1244" s="37">
        <f t="shared" si="469"/>
        <v>3.0571428571428569</v>
      </c>
      <c r="K1244" s="37">
        <f>IF(J1244=0,0,IF(B1244="F",VLOOKUP(I1244,Barem!$G$2:$H$16,2,1),VLOOKUP(I1244,Barem!$G$17:$H$31,2,1)))</f>
        <v>0.25</v>
      </c>
      <c r="L1244" s="50">
        <v>0.25</v>
      </c>
      <c r="M1244" s="124" t="s">
        <v>207</v>
      </c>
      <c r="N1244" s="10">
        <f t="shared" si="473"/>
        <v>0.25</v>
      </c>
      <c r="O1244" s="10">
        <f t="shared" si="473"/>
        <v>0.25</v>
      </c>
      <c r="P1244" s="10">
        <f t="shared" si="473"/>
        <v>0.5</v>
      </c>
      <c r="Q1244" s="40">
        <f t="shared" si="470"/>
        <v>0</v>
      </c>
      <c r="R1244" s="21">
        <f>IF(D1244&gt;21,VLOOKUP(D1244,Barem!$T$1:$U$141,2,1),0)</f>
        <v>0</v>
      </c>
      <c r="S1244" s="152">
        <f>IF(D1244&lt;1.609,0,IF(B1244="F",VLOOKUP(I1244,Barem!$X$2:$Z$13,2,1),VLOOKUP(I1244,Barem!$X$14:$Z$25,2,1)))</f>
        <v>0</v>
      </c>
      <c r="T1244" s="21">
        <f>VLOOKUP(A1244,Participanti!A:C,3,0)</f>
        <v>0</v>
      </c>
      <c r="U1244" s="18">
        <f t="shared" si="471"/>
        <v>0.95178571428571423</v>
      </c>
      <c r="V1244" s="58" t="s">
        <v>515</v>
      </c>
      <c r="W1244" s="77">
        <f t="shared" si="459"/>
        <v>1</v>
      </c>
      <c r="X1244" s="1" t="e">
        <f>VLOOKUP(A1244,Data_Echipe!A:R,18,0)</f>
        <v>#N/A</v>
      </c>
      <c r="Z1244" s="115">
        <f t="shared" si="472"/>
        <v>1</v>
      </c>
    </row>
    <row r="1245" spans="1:26" x14ac:dyDescent="0.3">
      <c r="A1245" s="49" t="s">
        <v>170</v>
      </c>
      <c r="B1245" s="1" t="str">
        <f>VLOOKUP(A1245,Participanti!A:B,2,0)</f>
        <v>F</v>
      </c>
      <c r="C1245" s="74">
        <v>15</v>
      </c>
      <c r="D1245" s="50">
        <v>10.09</v>
      </c>
      <c r="E1245" s="51">
        <v>4.0196759259259258E-2</v>
      </c>
      <c r="F1245" s="51">
        <v>4.0289351851851847E-2</v>
      </c>
      <c r="G1245" s="69">
        <f t="shared" si="467"/>
        <v>4.0243055555555553E-2</v>
      </c>
      <c r="H1245" s="52"/>
      <c r="I1245" s="12">
        <f t="shared" si="468"/>
        <v>3.9884098667547626E-3</v>
      </c>
      <c r="J1245" s="37">
        <f t="shared" si="469"/>
        <v>2.5225</v>
      </c>
      <c r="K1245" s="37">
        <f>IF(J1245=0,0,IF(B1245="F",VLOOKUP(I1245,Barem!$G$2:$H$16,2,1),VLOOKUP(I1245,Barem!$G$17:$H$31,2,1)))</f>
        <v>2.5</v>
      </c>
      <c r="L1245" s="50">
        <v>2.75</v>
      </c>
      <c r="M1245" s="124" t="s">
        <v>107</v>
      </c>
      <c r="N1245" s="10">
        <f t="shared" si="473"/>
        <v>0.25</v>
      </c>
      <c r="O1245" s="10">
        <f t="shared" si="473"/>
        <v>0.5</v>
      </c>
      <c r="P1245" s="10">
        <f t="shared" si="473"/>
        <v>0.25</v>
      </c>
      <c r="Q1245" s="40">
        <f t="shared" si="470"/>
        <v>0</v>
      </c>
      <c r="R1245" s="21">
        <f>IF(D1245&gt;21,VLOOKUP(D1245,Barem!$T$1:$U$141,2,1),0)</f>
        <v>0</v>
      </c>
      <c r="S1245" s="152">
        <f>IF(D1245&lt;1.609,0,IF(B1245="F",VLOOKUP(I1245,Barem!$X$2:$Z$13,2,1),VLOOKUP(I1245,Barem!$X$14:$Z$25,2,1)))</f>
        <v>0</v>
      </c>
      <c r="T1245" s="21">
        <f>VLOOKUP(A1245,Participanti!A:C,3,0)</f>
        <v>0</v>
      </c>
      <c r="U1245" s="18">
        <f t="shared" si="471"/>
        <v>2.5681250000000002</v>
      </c>
      <c r="V1245" s="58" t="s">
        <v>515</v>
      </c>
      <c r="W1245" s="77">
        <f t="shared" si="459"/>
        <v>1</v>
      </c>
      <c r="X1245" s="1" t="str">
        <f>VLOOKUP(A1245,Data_Echipe!A:R,18,0)</f>
        <v>Almost Kenyan Runners</v>
      </c>
      <c r="Z1245" s="115">
        <f t="shared" si="472"/>
        <v>1</v>
      </c>
    </row>
    <row r="1246" spans="1:26" x14ac:dyDescent="0.3">
      <c r="A1246" s="49" t="s">
        <v>45</v>
      </c>
      <c r="B1246" s="1" t="str">
        <f>VLOOKUP(A1246,Participanti!A:B,2,0)</f>
        <v>F</v>
      </c>
      <c r="C1246" s="74">
        <v>15</v>
      </c>
      <c r="D1246" s="50">
        <v>6.11</v>
      </c>
      <c r="E1246" s="51">
        <v>2.5347222222222219E-2</v>
      </c>
      <c r="F1246" s="51">
        <v>3.6550925925925924E-2</v>
      </c>
      <c r="G1246" s="69">
        <f t="shared" si="467"/>
        <v>3.0949074074074073E-2</v>
      </c>
      <c r="H1246" s="52"/>
      <c r="I1246" s="12">
        <f t="shared" si="468"/>
        <v>5.0653149057404371E-3</v>
      </c>
      <c r="J1246" s="37">
        <f t="shared" si="469"/>
        <v>1.5275000000000001</v>
      </c>
      <c r="K1246" s="37">
        <f>IF(J1246=0,0,IF(B1246="F",VLOOKUP(I1246,Barem!$G$2:$H$16,2,1),VLOOKUP(I1246,Barem!$G$17:$H$31,2,1)))</f>
        <v>0.5</v>
      </c>
      <c r="L1246" s="50">
        <v>2.5</v>
      </c>
      <c r="M1246" s="124" t="s">
        <v>207</v>
      </c>
      <c r="N1246" s="10">
        <f t="shared" si="473"/>
        <v>0.25</v>
      </c>
      <c r="O1246" s="10">
        <f t="shared" si="473"/>
        <v>0.25</v>
      </c>
      <c r="P1246" s="10">
        <f t="shared" si="473"/>
        <v>0.5</v>
      </c>
      <c r="Q1246" s="40">
        <f t="shared" si="470"/>
        <v>0</v>
      </c>
      <c r="R1246" s="21">
        <f>IF(D1246&gt;21,VLOOKUP(D1246,Barem!$T$1:$U$141,2,1),0)</f>
        <v>0</v>
      </c>
      <c r="S1246" s="152">
        <f>IF(D1246&lt;1.609,0,IF(B1246="F",VLOOKUP(I1246,Barem!$X$2:$Z$13,2,1),VLOOKUP(I1246,Barem!$X$14:$Z$25,2,1)))</f>
        <v>0</v>
      </c>
      <c r="T1246" s="21">
        <f>VLOOKUP(A1246,Participanti!A:C,3,0)</f>
        <v>0</v>
      </c>
      <c r="U1246" s="18">
        <f t="shared" si="471"/>
        <v>1.756875</v>
      </c>
      <c r="V1246" s="58" t="s">
        <v>515</v>
      </c>
      <c r="W1246" s="77">
        <f t="shared" si="459"/>
        <v>1</v>
      </c>
      <c r="X1246" s="1" t="e">
        <f>VLOOKUP(A1246,Data_Echipe!A:R,18,0)</f>
        <v>#N/A</v>
      </c>
      <c r="Z1246" s="115">
        <f t="shared" si="472"/>
        <v>1</v>
      </c>
    </row>
    <row r="1247" spans="1:26" x14ac:dyDescent="0.3">
      <c r="A1247" s="49" t="s">
        <v>205</v>
      </c>
      <c r="B1247" s="1" t="str">
        <f>VLOOKUP(A1247,Participanti!A:B,2,0)</f>
        <v>M</v>
      </c>
      <c r="C1247" s="74">
        <v>15</v>
      </c>
      <c r="D1247" s="50">
        <v>12.37</v>
      </c>
      <c r="E1247" s="51">
        <v>4.8449074074074082E-2</v>
      </c>
      <c r="F1247" s="51">
        <v>4.8449074074074082E-2</v>
      </c>
      <c r="G1247" s="69">
        <f t="shared" si="467"/>
        <v>4.8449074074074082E-2</v>
      </c>
      <c r="H1247" s="52">
        <v>729</v>
      </c>
      <c r="I1247" s="12">
        <f t="shared" si="468"/>
        <v>3.9166591814126179E-3</v>
      </c>
      <c r="J1247" s="37">
        <f t="shared" si="469"/>
        <v>2.945238095238095</v>
      </c>
      <c r="K1247" s="37">
        <f>IF(J1247=0,0,IF(B1247="F",VLOOKUP(I1247,Barem!$G$2:$H$16,2,1),VLOOKUP(I1247,Barem!$G$17:$H$31,2,1)))</f>
        <v>1.75</v>
      </c>
      <c r="L1247" s="50">
        <v>3.75</v>
      </c>
      <c r="M1247" s="124" t="s">
        <v>106</v>
      </c>
      <c r="N1247" s="10">
        <f t="shared" si="473"/>
        <v>0.5</v>
      </c>
      <c r="O1247" s="10">
        <f t="shared" si="473"/>
        <v>0.25</v>
      </c>
      <c r="P1247" s="10">
        <f t="shared" si="473"/>
        <v>0.25</v>
      </c>
      <c r="Q1247" s="40">
        <f t="shared" si="470"/>
        <v>0.48599999999999999</v>
      </c>
      <c r="R1247" s="21">
        <f>IF(D1247&gt;21,VLOOKUP(D1247,Barem!$T$1:$U$141,2,1),0)</f>
        <v>0</v>
      </c>
      <c r="S1247" s="152">
        <f>IF(D1247&lt;1.609,0,IF(B1247="F",VLOOKUP(I1247,Barem!$X$2:$Z$13,2,1),VLOOKUP(I1247,Barem!$X$14:$Z$25,2,1)))</f>
        <v>0</v>
      </c>
      <c r="T1247" s="21">
        <f>VLOOKUP(A1247,Participanti!A:C,3,0)</f>
        <v>0</v>
      </c>
      <c r="U1247" s="18">
        <f t="shared" si="471"/>
        <v>3.333619047619047</v>
      </c>
      <c r="V1247" s="58" t="s">
        <v>515</v>
      </c>
      <c r="W1247" s="77">
        <f t="shared" si="459"/>
        <v>1</v>
      </c>
      <c r="X1247" s="1" t="str">
        <f>VLOOKUP(A1247,Data_Echipe!A:R,18,0)</f>
        <v>Almost Kenyan Runners</v>
      </c>
      <c r="Z1247" s="115">
        <f t="shared" si="472"/>
        <v>1</v>
      </c>
    </row>
    <row r="1248" spans="1:26" x14ac:dyDescent="0.3">
      <c r="A1248" s="49" t="s">
        <v>361</v>
      </c>
      <c r="B1248" s="1" t="str">
        <f>VLOOKUP(A1248,Participanti!A:B,2,0)</f>
        <v>M</v>
      </c>
      <c r="C1248" s="74">
        <v>15</v>
      </c>
      <c r="D1248" s="50">
        <v>17.71</v>
      </c>
      <c r="E1248" s="51">
        <v>5.2187499999999998E-2</v>
      </c>
      <c r="F1248" s="51">
        <v>5.2187499999999998E-2</v>
      </c>
      <c r="G1248" s="69">
        <f t="shared" si="467"/>
        <v>5.2187499999999998E-2</v>
      </c>
      <c r="H1248" s="52">
        <v>82</v>
      </c>
      <c r="I1248" s="12">
        <f t="shared" si="468"/>
        <v>2.9467814793901746E-3</v>
      </c>
      <c r="J1248" s="37">
        <f t="shared" si="469"/>
        <v>4.2166666666666668</v>
      </c>
      <c r="K1248" s="37">
        <f>IF(J1248=0,0,IF(B1248="F",VLOOKUP(I1248,Barem!$G$2:$H$16,2,1),VLOOKUP(I1248,Barem!$G$17:$H$31,2,1)))</f>
        <v>4.5</v>
      </c>
      <c r="L1248" s="50">
        <v>1.25</v>
      </c>
      <c r="M1248" s="124" t="s">
        <v>107</v>
      </c>
      <c r="N1248" s="10">
        <f t="shared" si="473"/>
        <v>0.25</v>
      </c>
      <c r="O1248" s="10">
        <f t="shared" si="473"/>
        <v>0.5</v>
      </c>
      <c r="P1248" s="10">
        <f t="shared" si="473"/>
        <v>0.25</v>
      </c>
      <c r="Q1248" s="40">
        <f t="shared" si="470"/>
        <v>5.4666666666666669E-2</v>
      </c>
      <c r="R1248" s="21">
        <f>IF(D1248&gt;21,VLOOKUP(D1248,Barem!$T$1:$U$141,2,1),0)</f>
        <v>0</v>
      </c>
      <c r="S1248" s="152">
        <f>IF(D1248&lt;1.609,0,IF(B1248="F",VLOOKUP(I1248,Barem!$X$2:$Z$13,2,1),VLOOKUP(I1248,Barem!$X$14:$Z$25,2,1)))</f>
        <v>0</v>
      </c>
      <c r="T1248" s="21">
        <f>VLOOKUP(A1248,Participanti!A:C,3,0)</f>
        <v>0</v>
      </c>
      <c r="U1248" s="18">
        <f t="shared" si="471"/>
        <v>3.6713333333333336</v>
      </c>
      <c r="V1248" s="58" t="s">
        <v>515</v>
      </c>
      <c r="W1248" s="77">
        <f t="shared" si="459"/>
        <v>1</v>
      </c>
      <c r="X1248" s="1" t="str">
        <f>VLOOKUP(A1248,Data_Echipe!A:R,18,0)</f>
        <v>UltraHaita lu' Borcan</v>
      </c>
      <c r="Z1248" s="115">
        <f t="shared" si="472"/>
        <v>1</v>
      </c>
    </row>
    <row r="1249" spans="1:26" x14ac:dyDescent="0.3">
      <c r="A1249" s="49" t="s">
        <v>114</v>
      </c>
      <c r="B1249" s="1" t="str">
        <f>VLOOKUP(A1249,Participanti!A:B,2,0)</f>
        <v>M</v>
      </c>
      <c r="C1249" s="74">
        <v>15</v>
      </c>
      <c r="D1249" s="50">
        <v>6.09</v>
      </c>
      <c r="E1249" s="51">
        <v>2.2372685185185186E-2</v>
      </c>
      <c r="F1249" s="51">
        <v>2.2534722222222223E-2</v>
      </c>
      <c r="G1249" s="69">
        <f t="shared" si="467"/>
        <v>2.2453703703703705E-2</v>
      </c>
      <c r="H1249" s="52"/>
      <c r="I1249" s="12">
        <f t="shared" si="468"/>
        <v>3.6869792616919055E-3</v>
      </c>
      <c r="J1249" s="37">
        <f t="shared" si="469"/>
        <v>1.45</v>
      </c>
      <c r="K1249" s="37">
        <f>IF(J1249=0,0,IF(B1249="F",VLOOKUP(I1249,Barem!$G$2:$H$16,2,1),VLOOKUP(I1249,Barem!$G$17:$H$31,2,1)))</f>
        <v>2</v>
      </c>
      <c r="L1249" s="50">
        <v>2.75</v>
      </c>
      <c r="M1249" s="124" t="s">
        <v>107</v>
      </c>
      <c r="N1249" s="10">
        <f t="shared" si="473"/>
        <v>0.25</v>
      </c>
      <c r="O1249" s="10">
        <f t="shared" si="473"/>
        <v>0.5</v>
      </c>
      <c r="P1249" s="10">
        <f t="shared" si="473"/>
        <v>0.25</v>
      </c>
      <c r="Q1249" s="40">
        <f t="shared" si="470"/>
        <v>0</v>
      </c>
      <c r="R1249" s="21">
        <f>IF(D1249&gt;21,VLOOKUP(D1249,Barem!$T$1:$U$141,2,1),0)</f>
        <v>0</v>
      </c>
      <c r="S1249" s="152">
        <f>IF(D1249&lt;1.609,0,IF(B1249="F",VLOOKUP(I1249,Barem!$X$2:$Z$13,2,1),VLOOKUP(I1249,Barem!$X$14:$Z$25,2,1)))</f>
        <v>0</v>
      </c>
      <c r="T1249" s="21">
        <f>VLOOKUP(A1249,Participanti!A:C,3,0)</f>
        <v>0</v>
      </c>
      <c r="U1249" s="18">
        <f t="shared" si="471"/>
        <v>2.0499999999999998</v>
      </c>
      <c r="V1249" s="58" t="s">
        <v>515</v>
      </c>
      <c r="W1249" s="77">
        <f t="shared" si="459"/>
        <v>1</v>
      </c>
      <c r="X1249" s="1" t="str">
        <f>VLOOKUP(A1249,Data_Echipe!A:R,18,0)</f>
        <v>#notSYRious</v>
      </c>
      <c r="Z1249" s="115">
        <f t="shared" si="472"/>
        <v>1</v>
      </c>
    </row>
    <row r="1250" spans="1:26" x14ac:dyDescent="0.3">
      <c r="A1250" s="49" t="s">
        <v>366</v>
      </c>
      <c r="B1250" s="1" t="str">
        <f>VLOOKUP(A1250,Participanti!A:B,2,0)</f>
        <v>M</v>
      </c>
      <c r="C1250" s="74">
        <v>15</v>
      </c>
      <c r="D1250" s="50">
        <v>10.039999999999999</v>
      </c>
      <c r="E1250" s="51">
        <v>2.7789351851851853E-2</v>
      </c>
      <c r="F1250" s="51">
        <v>2.7789351851851853E-2</v>
      </c>
      <c r="G1250" s="69">
        <f t="shared" si="467"/>
        <v>2.7789351851851853E-2</v>
      </c>
      <c r="H1250" s="52"/>
      <c r="I1250" s="12">
        <f t="shared" si="468"/>
        <v>2.7678637302641289E-3</v>
      </c>
      <c r="J1250" s="37">
        <f t="shared" si="469"/>
        <v>2.39047619047619</v>
      </c>
      <c r="K1250" s="37">
        <f>IF(J1250=0,0,IF(B1250="F",VLOOKUP(I1250,Barem!$G$2:$H$16,2,1),VLOOKUP(I1250,Barem!$G$17:$H$31,2,1)))</f>
        <v>5</v>
      </c>
      <c r="L1250" s="50">
        <v>3</v>
      </c>
      <c r="M1250" s="124" t="s">
        <v>107</v>
      </c>
      <c r="N1250" s="10">
        <f t="shared" si="473"/>
        <v>0.25</v>
      </c>
      <c r="O1250" s="10">
        <f t="shared" si="473"/>
        <v>0.5</v>
      </c>
      <c r="P1250" s="10">
        <f t="shared" si="473"/>
        <v>0.25</v>
      </c>
      <c r="Q1250" s="40">
        <f t="shared" si="470"/>
        <v>0</v>
      </c>
      <c r="R1250" s="21">
        <f>IF(D1250&gt;21,VLOOKUP(D1250,Barem!$T$1:$U$141,2,1),0)</f>
        <v>0</v>
      </c>
      <c r="S1250" s="152">
        <f>IF(D1250&lt;1.609,0,IF(B1250="F",VLOOKUP(I1250,Barem!$X$2:$Z$13,2,1),VLOOKUP(I1250,Barem!$X$14:$Z$25,2,1)))</f>
        <v>0.15000000000000002</v>
      </c>
      <c r="T1250" s="21">
        <f>VLOOKUP(A1250,Participanti!A:C,3,0)</f>
        <v>0</v>
      </c>
      <c r="U1250" s="18">
        <f t="shared" si="471"/>
        <v>3.9976190476190472</v>
      </c>
      <c r="V1250" s="58" t="s">
        <v>515</v>
      </c>
      <c r="W1250" s="77">
        <f t="shared" si="459"/>
        <v>1</v>
      </c>
      <c r="X1250" s="1" t="str">
        <f>VLOOKUP(A1250,Data_Echipe!A:R,18,0)</f>
        <v>The GOATs</v>
      </c>
      <c r="Z1250" s="115">
        <f t="shared" si="472"/>
        <v>1</v>
      </c>
    </row>
    <row r="1251" spans="1:26" x14ac:dyDescent="0.3">
      <c r="A1251" s="49" t="s">
        <v>203</v>
      </c>
      <c r="B1251" s="1" t="str">
        <f>VLOOKUP(A1251,Participanti!A:B,2,0)</f>
        <v>M</v>
      </c>
      <c r="C1251" s="74">
        <v>15</v>
      </c>
      <c r="D1251" s="50">
        <v>21.36</v>
      </c>
      <c r="E1251" s="51">
        <v>6.4895833333333333E-2</v>
      </c>
      <c r="F1251" s="51">
        <v>6.5057870370370363E-2</v>
      </c>
      <c r="G1251" s="69">
        <f t="shared" si="467"/>
        <v>6.4976851851851841E-2</v>
      </c>
      <c r="H1251" s="52"/>
      <c r="I1251" s="12">
        <f t="shared" si="468"/>
        <v>3.0419874462477453E-3</v>
      </c>
      <c r="J1251" s="37">
        <f t="shared" si="469"/>
        <v>5</v>
      </c>
      <c r="K1251" s="37">
        <f>IF(J1251=0,0,IF(B1251="F",VLOOKUP(I1251,Barem!$G$2:$H$16,2,1),VLOOKUP(I1251,Barem!$G$17:$H$31,2,1)))</f>
        <v>4</v>
      </c>
      <c r="L1251" s="50">
        <v>4</v>
      </c>
      <c r="M1251" s="124" t="s">
        <v>106</v>
      </c>
      <c r="N1251" s="10">
        <f t="shared" si="473"/>
        <v>0.5</v>
      </c>
      <c r="O1251" s="10">
        <f t="shared" si="473"/>
        <v>0.25</v>
      </c>
      <c r="P1251" s="10">
        <f t="shared" si="473"/>
        <v>0.25</v>
      </c>
      <c r="Q1251" s="40">
        <f t="shared" si="470"/>
        <v>0</v>
      </c>
      <c r="R1251" s="21">
        <f>IF(D1251&gt;21,VLOOKUP(D1251,Barem!$T$1:$U$141,2,1),0)</f>
        <v>0</v>
      </c>
      <c r="S1251" s="152">
        <f>IF(D1251&lt;1.609,0,IF(B1251="F",VLOOKUP(I1251,Barem!$X$2:$Z$13,2,1),VLOOKUP(I1251,Barem!$X$14:$Z$25,2,1)))</f>
        <v>0</v>
      </c>
      <c r="T1251" s="21">
        <f>VLOOKUP(A1251,Participanti!A:C,3,0)</f>
        <v>0</v>
      </c>
      <c r="U1251" s="18">
        <f t="shared" si="471"/>
        <v>4.5</v>
      </c>
      <c r="V1251" s="58" t="s">
        <v>515</v>
      </c>
      <c r="W1251" s="77">
        <f t="shared" si="459"/>
        <v>1</v>
      </c>
      <c r="X1251" s="1" t="str">
        <f>VLOOKUP(A1251,Data_Echipe!A:R,18,0)</f>
        <v>The GOATs</v>
      </c>
      <c r="Z1251" s="115">
        <f t="shared" si="472"/>
        <v>1</v>
      </c>
    </row>
    <row r="1252" spans="1:26" x14ac:dyDescent="0.3">
      <c r="A1252" s="49" t="s">
        <v>376</v>
      </c>
      <c r="B1252" s="1" t="str">
        <f>VLOOKUP(A1252,Participanti!A:B,2,0)</f>
        <v>M</v>
      </c>
      <c r="C1252" s="74">
        <v>15</v>
      </c>
      <c r="D1252" s="50">
        <v>100.02</v>
      </c>
      <c r="E1252" s="51">
        <v>0.3034722222222222</v>
      </c>
      <c r="F1252" s="51">
        <v>0.33118055555555553</v>
      </c>
      <c r="G1252" s="69">
        <f t="shared" si="467"/>
        <v>0.31732638888888887</v>
      </c>
      <c r="H1252" s="52"/>
      <c r="I1252" s="12">
        <f t="shared" si="468"/>
        <v>3.1726293630162856E-3</v>
      </c>
      <c r="J1252" s="37">
        <f t="shared" si="469"/>
        <v>5</v>
      </c>
      <c r="K1252" s="37">
        <f>IF(J1252=0,0,IF(B1252="F",VLOOKUP(I1252,Barem!$G$2:$H$16,2,1),VLOOKUP(I1252,Barem!$G$17:$H$31,2,1)))</f>
        <v>3.5</v>
      </c>
      <c r="L1252" s="50">
        <v>4.5</v>
      </c>
      <c r="M1252" s="124" t="s">
        <v>207</v>
      </c>
      <c r="N1252" s="10">
        <f t="shared" si="473"/>
        <v>0.25</v>
      </c>
      <c r="O1252" s="10">
        <f t="shared" si="473"/>
        <v>0.25</v>
      </c>
      <c r="P1252" s="10">
        <f t="shared" si="473"/>
        <v>0.5</v>
      </c>
      <c r="Q1252" s="40">
        <f t="shared" si="470"/>
        <v>0</v>
      </c>
      <c r="R1252" s="21">
        <f>IF(D1252&gt;21,VLOOKUP(D1252,Barem!$T$1:$U$141,2,1),0)</f>
        <v>3.9</v>
      </c>
      <c r="S1252" s="152">
        <f>IF(D1252&lt;1.609,0,IF(B1252="F",VLOOKUP(I1252,Barem!$X$2:$Z$13,2,1),VLOOKUP(I1252,Barem!$X$14:$Z$25,2,1)))</f>
        <v>0</v>
      </c>
      <c r="T1252" s="21">
        <f>VLOOKUP(A1252,Participanti!A:C,3,0)</f>
        <v>0</v>
      </c>
      <c r="U1252" s="18">
        <f t="shared" si="471"/>
        <v>8.2750000000000004</v>
      </c>
      <c r="V1252" s="58" t="s">
        <v>515</v>
      </c>
      <c r="W1252" s="77">
        <f t="shared" si="459"/>
        <v>1</v>
      </c>
      <c r="X1252" s="1" t="e">
        <f>VLOOKUP(A1252,Data_Echipe!A:R,18,0)</f>
        <v>#N/A</v>
      </c>
      <c r="Z1252" s="115">
        <f t="shared" si="472"/>
        <v>1</v>
      </c>
    </row>
    <row r="1253" spans="1:26" x14ac:dyDescent="0.3">
      <c r="A1253" s="49" t="s">
        <v>120</v>
      </c>
      <c r="B1253" s="1" t="str">
        <f>VLOOKUP(A1253,Participanti!A:B,2,0)</f>
        <v>M</v>
      </c>
      <c r="C1253" s="74">
        <v>15</v>
      </c>
      <c r="D1253" s="50">
        <v>9.86</v>
      </c>
      <c r="E1253" s="51">
        <v>2.6921296296296294E-2</v>
      </c>
      <c r="F1253" s="51">
        <v>2.8391203703703707E-2</v>
      </c>
      <c r="G1253" s="69">
        <f t="shared" ref="G1253:G1270" si="474">AVERAGE(E1253:F1253)</f>
        <v>2.765625E-2</v>
      </c>
      <c r="H1253" s="52"/>
      <c r="I1253" s="12">
        <f t="shared" ref="I1253:I1270" si="475">G1253/D1253</f>
        <v>2.8048935091277891E-3</v>
      </c>
      <c r="J1253" s="37">
        <f t="shared" ref="J1253:J1270" si="476">IF(B1253="F",IF(D1253&lt;2.5,0,IF(D1253&gt;19.99,5,D1253/4)),IF(D1253&lt;3,0, IF(D1253&gt;20.99,5,D1253/4.2)))</f>
        <v>2.3476190476190473</v>
      </c>
      <c r="K1253" s="37">
        <f>IF(J1253=0,0,IF(B1253="F",VLOOKUP(I1253,Barem!$G$2:$H$16,2,1),VLOOKUP(I1253,Barem!$G$17:$H$31,2,1)))</f>
        <v>4.5</v>
      </c>
      <c r="L1253" s="50">
        <v>2.5</v>
      </c>
      <c r="M1253" s="124" t="s">
        <v>207</v>
      </c>
      <c r="N1253" s="10">
        <f t="shared" si="473"/>
        <v>0.25</v>
      </c>
      <c r="O1253" s="10">
        <f t="shared" si="473"/>
        <v>0.25</v>
      </c>
      <c r="P1253" s="10">
        <f t="shared" si="473"/>
        <v>0.5</v>
      </c>
      <c r="Q1253" s="40">
        <f t="shared" ref="Q1253:Q1270" si="477">IF(H1253&gt;49,H1253/1500,0)</f>
        <v>0</v>
      </c>
      <c r="R1253" s="21">
        <f>IF(D1253&gt;21,VLOOKUP(D1253,Barem!$T$1:$U$141,2,1),0)</f>
        <v>0</v>
      </c>
      <c r="S1253" s="152">
        <f>IF(D1253&lt;1.609,0,IF(B1253="F",VLOOKUP(I1253,Barem!$X$2:$Z$13,2,1),VLOOKUP(I1253,Barem!$X$14:$Z$25,2,1)))</f>
        <v>0</v>
      </c>
      <c r="T1253" s="21">
        <f>VLOOKUP(A1253,Participanti!A:C,3,0)</f>
        <v>0</v>
      </c>
      <c r="U1253" s="18">
        <f t="shared" ref="U1253:U1270" si="478">IF(H1253&lt;0,0,J1253*N1253+K1253*O1253+L1253*P1253+Q1253+R1253+S1253+T1253)</f>
        <v>2.961904761904762</v>
      </c>
      <c r="V1253" s="58" t="s">
        <v>515</v>
      </c>
      <c r="W1253" s="77">
        <f t="shared" si="459"/>
        <v>1</v>
      </c>
      <c r="X1253" s="1" t="str">
        <f>VLOOKUP(A1253,Data_Echipe!A:R,18,0)</f>
        <v>Almost Kenyan Runners</v>
      </c>
      <c r="Z1253" s="115">
        <f t="shared" ref="Z1253:Z1270" si="479">IF(K1253&gt;0,1,0)</f>
        <v>1</v>
      </c>
    </row>
    <row r="1254" spans="1:26" x14ac:dyDescent="0.3">
      <c r="A1254" s="49" t="s">
        <v>122</v>
      </c>
      <c r="B1254" s="1" t="str">
        <f>VLOOKUP(A1254,Participanti!A:B,2,0)</f>
        <v>M</v>
      </c>
      <c r="C1254" s="74">
        <v>15</v>
      </c>
      <c r="D1254" s="50">
        <v>11.05</v>
      </c>
      <c r="E1254" s="51">
        <v>4.5000000000000005E-2</v>
      </c>
      <c r="F1254" s="51">
        <v>5.2118055555555563E-2</v>
      </c>
      <c r="G1254" s="69">
        <f t="shared" si="474"/>
        <v>4.8559027777777784E-2</v>
      </c>
      <c r="H1254" s="52">
        <v>140</v>
      </c>
      <c r="I1254" s="12">
        <f t="shared" si="475"/>
        <v>4.394482151835093E-3</v>
      </c>
      <c r="J1254" s="37">
        <f t="shared" si="476"/>
        <v>2.6309523809523809</v>
      </c>
      <c r="K1254" s="37">
        <f>IF(J1254=0,0,IF(B1254="F",VLOOKUP(I1254,Barem!$G$2:$H$16,2,1),VLOOKUP(I1254,Barem!$G$17:$H$31,2,1)))</f>
        <v>1</v>
      </c>
      <c r="L1254" s="50">
        <v>1.5</v>
      </c>
      <c r="M1254" s="124" t="s">
        <v>107</v>
      </c>
      <c r="N1254" s="10">
        <f t="shared" si="473"/>
        <v>0.25</v>
      </c>
      <c r="O1254" s="10">
        <f t="shared" si="473"/>
        <v>0.5</v>
      </c>
      <c r="P1254" s="10">
        <f t="shared" si="473"/>
        <v>0.25</v>
      </c>
      <c r="Q1254" s="40">
        <f t="shared" si="477"/>
        <v>9.3333333333333338E-2</v>
      </c>
      <c r="R1254" s="21">
        <f>IF(D1254&gt;21,VLOOKUP(D1254,Barem!$T$1:$U$141,2,1),0)</f>
        <v>0</v>
      </c>
      <c r="S1254" s="152">
        <f>IF(D1254&lt;1.609,0,IF(B1254="F",VLOOKUP(I1254,Barem!$X$2:$Z$13,2,1),VLOOKUP(I1254,Barem!$X$14:$Z$25,2,1)))</f>
        <v>0</v>
      </c>
      <c r="T1254" s="21">
        <f>VLOOKUP(A1254,Participanti!A:C,3,0)</f>
        <v>0</v>
      </c>
      <c r="U1254" s="18">
        <f t="shared" si="478"/>
        <v>1.6260714285714286</v>
      </c>
      <c r="V1254" s="58" t="s">
        <v>515</v>
      </c>
      <c r="W1254" s="77">
        <f t="shared" si="459"/>
        <v>1</v>
      </c>
      <c r="X1254" s="1" t="str">
        <f>VLOOKUP(A1254,Data_Echipe!A:R,18,0)</f>
        <v>#notSYRious</v>
      </c>
      <c r="Z1254" s="115">
        <f t="shared" si="479"/>
        <v>1</v>
      </c>
    </row>
    <row r="1255" spans="1:26" x14ac:dyDescent="0.3">
      <c r="A1255" s="49" t="s">
        <v>63</v>
      </c>
      <c r="B1255" s="1" t="str">
        <f>VLOOKUP(A1255,Participanti!A:B,2,0)</f>
        <v>M</v>
      </c>
      <c r="C1255" s="74">
        <v>15</v>
      </c>
      <c r="D1255" s="50">
        <v>40.119999999999997</v>
      </c>
      <c r="E1255" s="51">
        <v>0.27297453703703706</v>
      </c>
      <c r="F1255" s="51">
        <v>0.29596064814814815</v>
      </c>
      <c r="G1255" s="69">
        <f t="shared" si="474"/>
        <v>0.28446759259259258</v>
      </c>
      <c r="H1255" s="52">
        <v>1740</v>
      </c>
      <c r="I1255" s="12">
        <f t="shared" si="475"/>
        <v>7.0904185591374024E-3</v>
      </c>
      <c r="J1255" s="37">
        <f t="shared" si="476"/>
        <v>5</v>
      </c>
      <c r="K1255" s="37">
        <f>IF(J1255=0,0,IF(B1255="F",VLOOKUP(I1255,Barem!$G$2:$H$16,2,1),VLOOKUP(I1255,Barem!$G$17:$H$31,2,1)))</f>
        <v>0</v>
      </c>
      <c r="L1255" s="50">
        <v>4</v>
      </c>
      <c r="M1255" s="124" t="s">
        <v>207</v>
      </c>
      <c r="N1255" s="10">
        <f t="shared" si="473"/>
        <v>0.25</v>
      </c>
      <c r="O1255" s="10">
        <f t="shared" si="473"/>
        <v>0.25</v>
      </c>
      <c r="P1255" s="10">
        <f t="shared" si="473"/>
        <v>0.5</v>
      </c>
      <c r="Q1255" s="40">
        <f t="shared" si="477"/>
        <v>1.1599999999999999</v>
      </c>
      <c r="R1255" s="21">
        <f>IF(D1255&gt;21,VLOOKUP(D1255,Barem!$T$1:$U$141,2,1),0)</f>
        <v>0.9</v>
      </c>
      <c r="S1255" s="152">
        <f>IF(D1255&lt;1.609,0,IF(B1255="F",VLOOKUP(I1255,Barem!$X$2:$Z$13,2,1),VLOOKUP(I1255,Barem!$X$14:$Z$25,2,1)))</f>
        <v>0</v>
      </c>
      <c r="T1255" s="21">
        <f>VLOOKUP(A1255,Participanti!A:C,3,0)</f>
        <v>0</v>
      </c>
      <c r="U1255" s="18">
        <f t="shared" si="478"/>
        <v>5.3100000000000005</v>
      </c>
      <c r="V1255" s="58" t="s">
        <v>515</v>
      </c>
      <c r="W1255" s="77">
        <f t="shared" si="459"/>
        <v>1</v>
      </c>
      <c r="X1255" s="1" t="str">
        <f>VLOOKUP(A1255,Data_Echipe!A:R,18,0)</f>
        <v>#notSYRious</v>
      </c>
      <c r="Z1255" s="115">
        <f t="shared" si="479"/>
        <v>0</v>
      </c>
    </row>
    <row r="1256" spans="1:26" x14ac:dyDescent="0.3">
      <c r="A1256" s="49" t="s">
        <v>78</v>
      </c>
      <c r="B1256" s="1" t="str">
        <f>VLOOKUP(A1256,Participanti!A:B,2,0)</f>
        <v>M</v>
      </c>
      <c r="C1256" s="74">
        <v>15</v>
      </c>
      <c r="D1256" s="50">
        <v>41.02</v>
      </c>
      <c r="E1256" s="51">
        <v>0.3213657407407407</v>
      </c>
      <c r="F1256" s="51">
        <v>0.34120370370370368</v>
      </c>
      <c r="G1256" s="69">
        <f t="shared" si="474"/>
        <v>0.33128472222222216</v>
      </c>
      <c r="H1256" s="52">
        <v>1672</v>
      </c>
      <c r="I1256" s="12">
        <f t="shared" si="475"/>
        <v>8.0761755783086819E-3</v>
      </c>
      <c r="J1256" s="37">
        <f t="shared" si="476"/>
        <v>5</v>
      </c>
      <c r="K1256" s="37">
        <f>IF(J1256=0,0,IF(B1256="F",VLOOKUP(I1256,Barem!$G$2:$H$16,2,1),VLOOKUP(I1256,Barem!$G$17:$H$31,2,1)))</f>
        <v>0</v>
      </c>
      <c r="L1256" s="50">
        <v>3.75</v>
      </c>
      <c r="M1256" s="124" t="s">
        <v>106</v>
      </c>
      <c r="N1256" s="10">
        <f t="shared" si="473"/>
        <v>0.5</v>
      </c>
      <c r="O1256" s="10">
        <f t="shared" si="473"/>
        <v>0.25</v>
      </c>
      <c r="P1256" s="10">
        <f t="shared" si="473"/>
        <v>0.25</v>
      </c>
      <c r="Q1256" s="40">
        <f t="shared" si="477"/>
        <v>1.1146666666666667</v>
      </c>
      <c r="R1256" s="21">
        <f>IF(D1256&gt;21,VLOOKUP(D1256,Barem!$T$1:$U$141,2,1),0)</f>
        <v>1</v>
      </c>
      <c r="S1256" s="152">
        <f>IF(D1256&lt;1.609,0,IF(B1256="F",VLOOKUP(I1256,Barem!$X$2:$Z$13,2,1),VLOOKUP(I1256,Barem!$X$14:$Z$25,2,1)))</f>
        <v>0</v>
      </c>
      <c r="T1256" s="21">
        <f>VLOOKUP(A1256,Participanti!A:C,3,0)</f>
        <v>0.4</v>
      </c>
      <c r="U1256" s="18">
        <f t="shared" si="478"/>
        <v>5.9521666666666668</v>
      </c>
      <c r="V1256" s="58" t="s">
        <v>515</v>
      </c>
      <c r="W1256" s="77">
        <f t="shared" si="459"/>
        <v>1</v>
      </c>
      <c r="X1256" s="1" t="str">
        <f>VLOOKUP(A1256,Data_Echipe!A:R,18,0)</f>
        <v>Almost Kenyan Runners</v>
      </c>
      <c r="Z1256" s="115">
        <f t="shared" si="479"/>
        <v>0</v>
      </c>
    </row>
    <row r="1257" spans="1:26" x14ac:dyDescent="0.3">
      <c r="A1257" s="49" t="s">
        <v>248</v>
      </c>
      <c r="B1257" s="1" t="str">
        <f>VLOOKUP(A1257,Participanti!A:B,2,0)</f>
        <v>M</v>
      </c>
      <c r="C1257" s="74">
        <v>15</v>
      </c>
      <c r="D1257" s="50">
        <v>12.6</v>
      </c>
      <c r="E1257" s="51">
        <v>4.1666666666666664E-2</v>
      </c>
      <c r="F1257" s="51">
        <v>4.2627314814814819E-2</v>
      </c>
      <c r="G1257" s="69">
        <f t="shared" si="474"/>
        <v>4.2146990740740742E-2</v>
      </c>
      <c r="H1257" s="52">
        <v>50</v>
      </c>
      <c r="I1257" s="12">
        <f t="shared" si="475"/>
        <v>3.344999265138154E-3</v>
      </c>
      <c r="J1257" s="37">
        <f t="shared" si="476"/>
        <v>3</v>
      </c>
      <c r="K1257" s="37">
        <f>IF(J1257=0,0,IF(B1257="F",VLOOKUP(I1257,Barem!$G$2:$H$16,2,1),VLOOKUP(I1257,Barem!$G$17:$H$31,2,1)))</f>
        <v>3</v>
      </c>
      <c r="L1257" s="50">
        <v>0.5</v>
      </c>
      <c r="M1257" s="124" t="s">
        <v>207</v>
      </c>
      <c r="N1257" s="10">
        <f t="shared" si="473"/>
        <v>0.25</v>
      </c>
      <c r="O1257" s="10">
        <f t="shared" si="473"/>
        <v>0.25</v>
      </c>
      <c r="P1257" s="10">
        <f t="shared" si="473"/>
        <v>0.5</v>
      </c>
      <c r="Q1257" s="40">
        <f t="shared" si="477"/>
        <v>3.3333333333333333E-2</v>
      </c>
      <c r="R1257" s="21">
        <f>IF(D1257&gt;21,VLOOKUP(D1257,Barem!$T$1:$U$141,2,1),0)</f>
        <v>0</v>
      </c>
      <c r="S1257" s="152">
        <f>IF(D1257&lt;1.609,0,IF(B1257="F",VLOOKUP(I1257,Barem!$X$2:$Z$13,2,1),VLOOKUP(I1257,Barem!$X$14:$Z$25,2,1)))</f>
        <v>0</v>
      </c>
      <c r="T1257" s="21">
        <f>VLOOKUP(A1257,Participanti!A:C,3,0)</f>
        <v>0</v>
      </c>
      <c r="U1257" s="18">
        <f t="shared" si="478"/>
        <v>1.7833333333333334</v>
      </c>
      <c r="V1257" s="58" t="s">
        <v>515</v>
      </c>
      <c r="W1257" s="77">
        <f t="shared" si="459"/>
        <v>1</v>
      </c>
      <c r="X1257" s="1" t="str">
        <f>VLOOKUP(A1257,Data_Echipe!A:R,18,0)</f>
        <v>Almost Kenyan Runners</v>
      </c>
      <c r="Z1257" s="115">
        <f t="shared" si="479"/>
        <v>1</v>
      </c>
    </row>
    <row r="1258" spans="1:26" x14ac:dyDescent="0.3">
      <c r="A1258" s="49" t="s">
        <v>51</v>
      </c>
      <c r="B1258" s="1" t="str">
        <f>VLOOKUP(A1258,Participanti!A:B,2,0)</f>
        <v>M</v>
      </c>
      <c r="C1258" s="74">
        <v>15</v>
      </c>
      <c r="D1258" s="50">
        <v>20.28</v>
      </c>
      <c r="E1258" s="51">
        <v>7.8125E-2</v>
      </c>
      <c r="F1258" s="51">
        <v>7.8414351851851846E-2</v>
      </c>
      <c r="G1258" s="69">
        <f t="shared" si="474"/>
        <v>7.826967592592593E-2</v>
      </c>
      <c r="H1258" s="52">
        <v>665</v>
      </c>
      <c r="I1258" s="12">
        <f t="shared" si="475"/>
        <v>3.8594514756373731E-3</v>
      </c>
      <c r="J1258" s="37">
        <f t="shared" si="476"/>
        <v>4.8285714285714283</v>
      </c>
      <c r="K1258" s="37">
        <f>IF(J1258=0,0,IF(B1258="F",VLOOKUP(I1258,Barem!$G$2:$H$16,2,1),VLOOKUP(I1258,Barem!$G$17:$H$31,2,1)))</f>
        <v>1.75</v>
      </c>
      <c r="L1258" s="50">
        <v>3.5</v>
      </c>
      <c r="M1258" s="124" t="s">
        <v>107</v>
      </c>
      <c r="N1258" s="10">
        <f t="shared" si="473"/>
        <v>0.25</v>
      </c>
      <c r="O1258" s="10">
        <f t="shared" si="473"/>
        <v>0.5</v>
      </c>
      <c r="P1258" s="10">
        <f t="shared" si="473"/>
        <v>0.25</v>
      </c>
      <c r="Q1258" s="40">
        <f t="shared" si="477"/>
        <v>0.44333333333333336</v>
      </c>
      <c r="R1258" s="21">
        <f>IF(D1258&gt;21,VLOOKUP(D1258,Barem!$T$1:$U$141,2,1),0)</f>
        <v>0</v>
      </c>
      <c r="S1258" s="152">
        <f>IF(D1258&lt;1.609,0,IF(B1258="F",VLOOKUP(I1258,Barem!$X$2:$Z$13,2,1),VLOOKUP(I1258,Barem!$X$14:$Z$25,2,1)))</f>
        <v>0</v>
      </c>
      <c r="T1258" s="21">
        <f>VLOOKUP(A1258,Participanti!A:C,3,0)</f>
        <v>0</v>
      </c>
      <c r="U1258" s="18">
        <f t="shared" si="478"/>
        <v>3.4004761904761907</v>
      </c>
      <c r="V1258" s="58" t="s">
        <v>515</v>
      </c>
      <c r="W1258" s="77">
        <f t="shared" si="459"/>
        <v>1</v>
      </c>
      <c r="X1258" s="1" t="str">
        <f>VLOOKUP(A1258,Data_Echipe!A:R,18,0)</f>
        <v>The GOATs</v>
      </c>
      <c r="Z1258" s="115">
        <f t="shared" si="479"/>
        <v>1</v>
      </c>
    </row>
    <row r="1259" spans="1:26" x14ac:dyDescent="0.3">
      <c r="A1259" s="49" t="s">
        <v>177</v>
      </c>
      <c r="B1259" s="1" t="str">
        <f>VLOOKUP(A1259,Participanti!A:B,2,0)</f>
        <v>F</v>
      </c>
      <c r="C1259" s="74">
        <v>15</v>
      </c>
      <c r="D1259" s="50">
        <v>3.61</v>
      </c>
      <c r="E1259" s="51">
        <v>1.4976851851851852E-2</v>
      </c>
      <c r="F1259" s="51">
        <v>1.4976851851851852E-2</v>
      </c>
      <c r="G1259" s="69">
        <f t="shared" si="474"/>
        <v>1.4976851851851852E-2</v>
      </c>
      <c r="H1259" s="52"/>
      <c r="I1259" s="12">
        <f t="shared" si="475"/>
        <v>4.148712424335693E-3</v>
      </c>
      <c r="J1259" s="37">
        <f t="shared" si="476"/>
        <v>0.90249999999999997</v>
      </c>
      <c r="K1259" s="37">
        <f>IF(J1259=0,0,IF(B1259="F",VLOOKUP(I1259,Barem!$G$2:$H$16,2,1),VLOOKUP(I1259,Barem!$G$17:$H$31,2,1)))</f>
        <v>2</v>
      </c>
      <c r="L1259" s="50">
        <v>3</v>
      </c>
      <c r="M1259" s="124" t="s">
        <v>107</v>
      </c>
      <c r="N1259" s="10">
        <f t="shared" ref="N1259:P1270" si="480">IF($M1259=N$1,50%,25%)</f>
        <v>0.25</v>
      </c>
      <c r="O1259" s="10">
        <f t="shared" si="480"/>
        <v>0.5</v>
      </c>
      <c r="P1259" s="10">
        <f t="shared" si="480"/>
        <v>0.25</v>
      </c>
      <c r="Q1259" s="40">
        <f t="shared" si="477"/>
        <v>0</v>
      </c>
      <c r="R1259" s="21">
        <f>IF(D1259&gt;21,VLOOKUP(D1259,Barem!$T$1:$U$141,2,1),0)</f>
        <v>0</v>
      </c>
      <c r="S1259" s="152">
        <f>IF(D1259&lt;1.609,0,IF(B1259="F",VLOOKUP(I1259,Barem!$X$2:$Z$13,2,1),VLOOKUP(I1259,Barem!$X$14:$Z$25,2,1)))</f>
        <v>0</v>
      </c>
      <c r="T1259" s="21">
        <f>VLOOKUP(A1259,Participanti!A:C,3,0)</f>
        <v>0</v>
      </c>
      <c r="U1259" s="18">
        <f t="shared" si="478"/>
        <v>1.975625</v>
      </c>
      <c r="V1259" s="58" t="s">
        <v>515</v>
      </c>
      <c r="W1259" s="77">
        <f t="shared" si="459"/>
        <v>1</v>
      </c>
      <c r="X1259" s="1" t="str">
        <f>VLOOKUP(A1259,Data_Echipe!A:R,18,0)</f>
        <v>UltraHaita lu' Borcan</v>
      </c>
      <c r="Z1259" s="115">
        <f t="shared" si="479"/>
        <v>1</v>
      </c>
    </row>
    <row r="1260" spans="1:26" x14ac:dyDescent="0.3">
      <c r="A1260" s="49" t="s">
        <v>41</v>
      </c>
      <c r="B1260" s="1" t="str">
        <f>VLOOKUP(A1260,Participanti!A:B,2,0)</f>
        <v>M</v>
      </c>
      <c r="C1260" s="74">
        <v>15</v>
      </c>
      <c r="D1260" s="50">
        <v>10.08</v>
      </c>
      <c r="E1260" s="51">
        <v>3.2581018518518516E-2</v>
      </c>
      <c r="F1260" s="51">
        <v>3.2581018518518516E-2</v>
      </c>
      <c r="G1260" s="69">
        <f t="shared" si="474"/>
        <v>3.2581018518518516E-2</v>
      </c>
      <c r="H1260" s="52"/>
      <c r="I1260" s="12">
        <f t="shared" si="475"/>
        <v>3.232243900646678E-3</v>
      </c>
      <c r="J1260" s="37">
        <f t="shared" si="476"/>
        <v>2.4</v>
      </c>
      <c r="K1260" s="37">
        <f>IF(J1260=0,0,IF(B1260="F",VLOOKUP(I1260,Barem!$G$2:$H$16,2,1),VLOOKUP(I1260,Barem!$G$17:$H$31,2,1)))</f>
        <v>3.5</v>
      </c>
      <c r="L1260" s="50">
        <v>3</v>
      </c>
      <c r="M1260" s="124" t="s">
        <v>207</v>
      </c>
      <c r="N1260" s="10">
        <f t="shared" si="480"/>
        <v>0.25</v>
      </c>
      <c r="O1260" s="10">
        <f t="shared" si="480"/>
        <v>0.25</v>
      </c>
      <c r="P1260" s="10">
        <f t="shared" si="480"/>
        <v>0.5</v>
      </c>
      <c r="Q1260" s="40">
        <f t="shared" si="477"/>
        <v>0</v>
      </c>
      <c r="R1260" s="21">
        <f>IF(D1260&gt;21,VLOOKUP(D1260,Barem!$T$1:$U$141,2,1),0)</f>
        <v>0</v>
      </c>
      <c r="S1260" s="152">
        <f>IF(D1260&lt;1.609,0,IF(B1260="F",VLOOKUP(I1260,Barem!$X$2:$Z$13,2,1),VLOOKUP(I1260,Barem!$X$14:$Z$25,2,1)))</f>
        <v>0</v>
      </c>
      <c r="T1260" s="21">
        <f>VLOOKUP(A1260,Participanti!A:C,3,0)</f>
        <v>0</v>
      </c>
      <c r="U1260" s="18">
        <f t="shared" si="478"/>
        <v>2.9750000000000001</v>
      </c>
      <c r="V1260" s="58" t="s">
        <v>515</v>
      </c>
      <c r="W1260" s="77">
        <f t="shared" si="459"/>
        <v>1</v>
      </c>
      <c r="X1260" s="1" t="str">
        <f>VLOOKUP(A1260,Data_Echipe!A:R,18,0)</f>
        <v>Almost Kenyan Runners</v>
      </c>
      <c r="Z1260" s="115">
        <f t="shared" si="479"/>
        <v>1</v>
      </c>
    </row>
    <row r="1261" spans="1:26" x14ac:dyDescent="0.3">
      <c r="A1261" s="49" t="s">
        <v>58</v>
      </c>
      <c r="B1261" s="1" t="str">
        <f>VLOOKUP(A1261,Participanti!A:B,2,0)</f>
        <v>M</v>
      </c>
      <c r="C1261" s="74">
        <v>15</v>
      </c>
      <c r="D1261" s="50">
        <v>24.42</v>
      </c>
      <c r="E1261" s="51">
        <v>0.21004629629629631</v>
      </c>
      <c r="F1261" s="51">
        <v>0.21009259259259261</v>
      </c>
      <c r="G1261" s="69">
        <f t="shared" si="474"/>
        <v>0.21006944444444448</v>
      </c>
      <c r="H1261" s="52">
        <v>972</v>
      </c>
      <c r="I1261" s="12">
        <f t="shared" si="475"/>
        <v>8.6023523523523528E-3</v>
      </c>
      <c r="J1261" s="37">
        <f t="shared" si="476"/>
        <v>5</v>
      </c>
      <c r="K1261" s="37">
        <f>IF(J1261=0,0,IF(B1261="F",VLOOKUP(I1261,Barem!$G$2:$H$16,2,1),VLOOKUP(I1261,Barem!$G$17:$H$31,2,1)))</f>
        <v>0</v>
      </c>
      <c r="L1261" s="50">
        <v>1.5</v>
      </c>
      <c r="M1261" s="124" t="s">
        <v>207</v>
      </c>
      <c r="N1261" s="10">
        <f t="shared" si="480"/>
        <v>0.25</v>
      </c>
      <c r="O1261" s="10">
        <f t="shared" si="480"/>
        <v>0.25</v>
      </c>
      <c r="P1261" s="10">
        <f t="shared" si="480"/>
        <v>0.5</v>
      </c>
      <c r="Q1261" s="40">
        <f t="shared" si="477"/>
        <v>0.64800000000000002</v>
      </c>
      <c r="R1261" s="21">
        <f>IF(D1261&gt;21,VLOOKUP(D1261,Barem!$T$1:$U$141,2,1),0)</f>
        <v>0.1</v>
      </c>
      <c r="S1261" s="152">
        <f>IF(D1261&lt;1.609,0,IF(B1261="F",VLOOKUP(I1261,Barem!$X$2:$Z$13,2,1),VLOOKUP(I1261,Barem!$X$14:$Z$25,2,1)))</f>
        <v>0</v>
      </c>
      <c r="T1261" s="21">
        <f>VLOOKUP(A1261,Participanti!A:C,3,0)</f>
        <v>0</v>
      </c>
      <c r="U1261" s="18">
        <f t="shared" si="478"/>
        <v>2.7480000000000002</v>
      </c>
      <c r="V1261" s="58" t="s">
        <v>515</v>
      </c>
      <c r="W1261" s="77">
        <f t="shared" si="459"/>
        <v>1</v>
      </c>
      <c r="X1261" s="1" t="e">
        <f>VLOOKUP(A1261,Data_Echipe!A:R,18,0)</f>
        <v>#N/A</v>
      </c>
      <c r="Z1261" s="115">
        <f t="shared" si="479"/>
        <v>0</v>
      </c>
    </row>
    <row r="1262" spans="1:26" x14ac:dyDescent="0.3">
      <c r="A1262" s="49" t="s">
        <v>49</v>
      </c>
      <c r="B1262" s="1" t="str">
        <f>VLOOKUP(A1262,Participanti!A:B,2,0)</f>
        <v>M</v>
      </c>
      <c r="C1262" s="74">
        <v>15</v>
      </c>
      <c r="D1262" s="50">
        <v>18.010000000000002</v>
      </c>
      <c r="E1262" s="51">
        <v>5.8576388888888886E-2</v>
      </c>
      <c r="F1262" s="51">
        <v>5.8622685185185187E-2</v>
      </c>
      <c r="G1262" s="69">
        <f t="shared" si="474"/>
        <v>5.8599537037037033E-2</v>
      </c>
      <c r="H1262" s="52"/>
      <c r="I1262" s="12">
        <f t="shared" si="475"/>
        <v>3.2537222119398681E-3</v>
      </c>
      <c r="J1262" s="37">
        <f t="shared" si="476"/>
        <v>4.288095238095238</v>
      </c>
      <c r="K1262" s="37">
        <f>IF(J1262=0,0,IF(B1262="F",VLOOKUP(I1262,Barem!$G$2:$H$16,2,1),VLOOKUP(I1262,Barem!$G$17:$H$31,2,1)))</f>
        <v>3.5</v>
      </c>
      <c r="L1262" s="50">
        <v>3.25</v>
      </c>
      <c r="M1262" s="124" t="s">
        <v>107</v>
      </c>
      <c r="N1262" s="10">
        <f t="shared" si="480"/>
        <v>0.25</v>
      </c>
      <c r="O1262" s="10">
        <f t="shared" si="480"/>
        <v>0.5</v>
      </c>
      <c r="P1262" s="10">
        <f t="shared" si="480"/>
        <v>0.25</v>
      </c>
      <c r="Q1262" s="40">
        <f t="shared" si="477"/>
        <v>0</v>
      </c>
      <c r="R1262" s="21">
        <f>IF(D1262&gt;21,VLOOKUP(D1262,Barem!$T$1:$U$141,2,1),0)</f>
        <v>0</v>
      </c>
      <c r="S1262" s="152">
        <f>IF(D1262&lt;1.609,0,IF(B1262="F",VLOOKUP(I1262,Barem!$X$2:$Z$13,2,1),VLOOKUP(I1262,Barem!$X$14:$Z$25,2,1)))</f>
        <v>0</v>
      </c>
      <c r="T1262" s="21">
        <f>VLOOKUP(A1262,Participanti!A:C,3,0)</f>
        <v>0</v>
      </c>
      <c r="U1262" s="18">
        <f t="shared" si="478"/>
        <v>3.6345238095238095</v>
      </c>
      <c r="V1262" s="58" t="s">
        <v>515</v>
      </c>
      <c r="W1262" s="77">
        <f t="shared" si="459"/>
        <v>1</v>
      </c>
      <c r="X1262" s="1" t="str">
        <f>VLOOKUP(A1262,Data_Echipe!A:R,18,0)</f>
        <v>The GOATs</v>
      </c>
      <c r="Z1262" s="115">
        <f t="shared" si="479"/>
        <v>1</v>
      </c>
    </row>
    <row r="1263" spans="1:26" x14ac:dyDescent="0.3">
      <c r="A1263" s="49" t="s">
        <v>47</v>
      </c>
      <c r="B1263" s="1" t="str">
        <f>VLOOKUP(A1263,Participanti!A:B,2,0)</f>
        <v>M</v>
      </c>
      <c r="C1263" s="74">
        <v>15</v>
      </c>
      <c r="D1263" s="50">
        <v>13.02</v>
      </c>
      <c r="E1263" s="51">
        <v>4.372685185185185E-2</v>
      </c>
      <c r="F1263" s="51">
        <v>4.386574074074074E-2</v>
      </c>
      <c r="G1263" s="69">
        <f t="shared" si="474"/>
        <v>4.3796296296296292E-2</v>
      </c>
      <c r="H1263" s="52">
        <v>115</v>
      </c>
      <c r="I1263" s="12">
        <f t="shared" si="475"/>
        <v>3.363770836889116E-3</v>
      </c>
      <c r="J1263" s="37">
        <f t="shared" si="476"/>
        <v>3.0999999999999996</v>
      </c>
      <c r="K1263" s="37">
        <f>IF(J1263=0,0,IF(B1263="F",VLOOKUP(I1263,Barem!$G$2:$H$16,2,1),VLOOKUP(I1263,Barem!$G$17:$H$31,2,1)))</f>
        <v>3</v>
      </c>
      <c r="L1263" s="50">
        <v>1</v>
      </c>
      <c r="M1263" s="124" t="s">
        <v>207</v>
      </c>
      <c r="N1263" s="10">
        <f t="shared" si="480"/>
        <v>0.25</v>
      </c>
      <c r="O1263" s="10">
        <f t="shared" si="480"/>
        <v>0.25</v>
      </c>
      <c r="P1263" s="10">
        <f t="shared" si="480"/>
        <v>0.5</v>
      </c>
      <c r="Q1263" s="40">
        <f t="shared" si="477"/>
        <v>7.6666666666666661E-2</v>
      </c>
      <c r="R1263" s="21">
        <f>IF(D1263&gt;21,VLOOKUP(D1263,Barem!$T$1:$U$141,2,1),0)</f>
        <v>0</v>
      </c>
      <c r="S1263" s="152">
        <f>IF(D1263&lt;1.609,0,IF(B1263="F",VLOOKUP(I1263,Barem!$X$2:$Z$13,2,1),VLOOKUP(I1263,Barem!$X$14:$Z$25,2,1)))</f>
        <v>0</v>
      </c>
      <c r="T1263" s="21">
        <f>VLOOKUP(A1263,Participanti!A:C,3,0)</f>
        <v>0</v>
      </c>
      <c r="U1263" s="18">
        <f t="shared" si="478"/>
        <v>2.1016666666666666</v>
      </c>
      <c r="V1263" s="58" t="s">
        <v>515</v>
      </c>
      <c r="W1263" s="77">
        <f t="shared" si="459"/>
        <v>1</v>
      </c>
      <c r="X1263" s="1" t="str">
        <f>VLOOKUP(A1263,Data_Echipe!A:R,18,0)</f>
        <v>The GOATs</v>
      </c>
      <c r="Z1263" s="115">
        <f t="shared" si="479"/>
        <v>1</v>
      </c>
    </row>
    <row r="1264" spans="1:26" x14ac:dyDescent="0.3">
      <c r="A1264" s="49"/>
      <c r="B1264" s="1" t="e">
        <f>VLOOKUP(A1264,Participanti!A:B,2,0)</f>
        <v>#N/A</v>
      </c>
      <c r="C1264" s="74">
        <v>15</v>
      </c>
      <c r="D1264" s="50"/>
      <c r="E1264" s="51"/>
      <c r="F1264" s="51"/>
      <c r="G1264" s="69" t="e">
        <f t="shared" si="474"/>
        <v>#DIV/0!</v>
      </c>
      <c r="H1264" s="52"/>
      <c r="I1264" s="12" t="e">
        <f t="shared" si="475"/>
        <v>#DIV/0!</v>
      </c>
      <c r="J1264" s="37" t="e">
        <f t="shared" si="476"/>
        <v>#N/A</v>
      </c>
      <c r="K1264" s="37" t="e">
        <f>IF(J1264=0,0,IF(B1264="F",VLOOKUP(I1264,Barem!$G$2:$H$16,2,1),VLOOKUP(I1264,Barem!$G$17:$H$31,2,1)))</f>
        <v>#N/A</v>
      </c>
      <c r="L1264" s="50"/>
      <c r="M1264" s="124" t="s">
        <v>207</v>
      </c>
      <c r="N1264" s="10">
        <f t="shared" si="480"/>
        <v>0.25</v>
      </c>
      <c r="O1264" s="10">
        <f t="shared" si="480"/>
        <v>0.25</v>
      </c>
      <c r="P1264" s="10">
        <f t="shared" si="480"/>
        <v>0.5</v>
      </c>
      <c r="Q1264" s="40">
        <f t="shared" si="477"/>
        <v>0</v>
      </c>
      <c r="R1264" s="21">
        <f>IF(D1264&gt;21,VLOOKUP(D1264,Barem!$T$1:$U$141,2,1),0)</f>
        <v>0</v>
      </c>
      <c r="S1264" s="152">
        <f>IF(D1264&lt;1.609,0,IF(B1264="F",VLOOKUP(I1264,Barem!$X$2:$Z$13,2,1),VLOOKUP(I1264,Barem!$X$14:$Z$25,2,1)))</f>
        <v>0</v>
      </c>
      <c r="T1264" s="21" t="e">
        <f>VLOOKUP(A1264,Participanti!A:C,3,0)</f>
        <v>#N/A</v>
      </c>
      <c r="U1264" s="18" t="e">
        <f t="shared" si="478"/>
        <v>#N/A</v>
      </c>
      <c r="V1264" s="58" t="s">
        <v>515</v>
      </c>
      <c r="W1264" s="77">
        <f t="shared" si="459"/>
        <v>0</v>
      </c>
      <c r="X1264" s="1" t="e">
        <f>VLOOKUP(A1264,Data_Echipe!A:R,18,0)</f>
        <v>#N/A</v>
      </c>
      <c r="Z1264" s="115" t="e">
        <f t="shared" si="479"/>
        <v>#N/A</v>
      </c>
    </row>
    <row r="1265" spans="1:26" x14ac:dyDescent="0.3">
      <c r="A1265" s="49"/>
      <c r="B1265" s="1" t="e">
        <f>VLOOKUP(A1265,Participanti!A:B,2,0)</f>
        <v>#N/A</v>
      </c>
      <c r="C1265" s="74">
        <v>15</v>
      </c>
      <c r="D1265" s="50"/>
      <c r="E1265" s="51"/>
      <c r="F1265" s="51"/>
      <c r="G1265" s="69" t="e">
        <f t="shared" si="474"/>
        <v>#DIV/0!</v>
      </c>
      <c r="H1265" s="52"/>
      <c r="I1265" s="12" t="e">
        <f t="shared" si="475"/>
        <v>#DIV/0!</v>
      </c>
      <c r="J1265" s="37" t="e">
        <f t="shared" si="476"/>
        <v>#N/A</v>
      </c>
      <c r="K1265" s="37" t="e">
        <f>IF(J1265=0,0,IF(B1265="F",VLOOKUP(I1265,Barem!$G$2:$H$16,2,1),VLOOKUP(I1265,Barem!$G$17:$H$31,2,1)))</f>
        <v>#N/A</v>
      </c>
      <c r="L1265" s="50"/>
      <c r="M1265" s="124" t="s">
        <v>207</v>
      </c>
      <c r="N1265" s="10">
        <f t="shared" si="480"/>
        <v>0.25</v>
      </c>
      <c r="O1265" s="10">
        <f t="shared" si="480"/>
        <v>0.25</v>
      </c>
      <c r="P1265" s="10">
        <f t="shared" si="480"/>
        <v>0.5</v>
      </c>
      <c r="Q1265" s="40">
        <f t="shared" si="477"/>
        <v>0</v>
      </c>
      <c r="R1265" s="21">
        <f>IF(D1265&gt;21,VLOOKUP(D1265,Barem!$T$1:$U$141,2,1),0)</f>
        <v>0</v>
      </c>
      <c r="S1265" s="152">
        <f>IF(D1265&lt;1.609,0,IF(B1265="F",VLOOKUP(I1265,Barem!$X$2:$Z$13,2,1),VLOOKUP(I1265,Barem!$X$14:$Z$25,2,1)))</f>
        <v>0</v>
      </c>
      <c r="T1265" s="21" t="e">
        <f>VLOOKUP(A1265,Participanti!A:C,3,0)</f>
        <v>#N/A</v>
      </c>
      <c r="U1265" s="18" t="e">
        <f t="shared" si="478"/>
        <v>#N/A</v>
      </c>
      <c r="V1265" s="58" t="s">
        <v>515</v>
      </c>
      <c r="W1265" s="77">
        <f t="shared" si="459"/>
        <v>0</v>
      </c>
      <c r="X1265" s="1" t="e">
        <f>VLOOKUP(A1265,Data_Echipe!A:R,18,0)</f>
        <v>#N/A</v>
      </c>
      <c r="Z1265" s="115" t="e">
        <f t="shared" si="479"/>
        <v>#N/A</v>
      </c>
    </row>
    <row r="1266" spans="1:26" x14ac:dyDescent="0.3">
      <c r="A1266" s="49"/>
      <c r="B1266" s="1" t="e">
        <f>VLOOKUP(A1266,Participanti!A:B,2,0)</f>
        <v>#N/A</v>
      </c>
      <c r="C1266" s="74">
        <v>15</v>
      </c>
      <c r="D1266" s="50"/>
      <c r="E1266" s="51"/>
      <c r="F1266" s="51"/>
      <c r="G1266" s="69" t="e">
        <f t="shared" si="474"/>
        <v>#DIV/0!</v>
      </c>
      <c r="H1266" s="52"/>
      <c r="I1266" s="12" t="e">
        <f t="shared" si="475"/>
        <v>#DIV/0!</v>
      </c>
      <c r="J1266" s="37" t="e">
        <f t="shared" si="476"/>
        <v>#N/A</v>
      </c>
      <c r="K1266" s="37" t="e">
        <f>IF(J1266=0,0,IF(B1266="F",VLOOKUP(I1266,Barem!$G$2:$H$16,2,1),VLOOKUP(I1266,Barem!$G$17:$H$31,2,1)))</f>
        <v>#N/A</v>
      </c>
      <c r="L1266" s="50"/>
      <c r="M1266" s="124" t="s">
        <v>207</v>
      </c>
      <c r="N1266" s="10">
        <f t="shared" si="480"/>
        <v>0.25</v>
      </c>
      <c r="O1266" s="10">
        <f t="shared" si="480"/>
        <v>0.25</v>
      </c>
      <c r="P1266" s="10">
        <f t="shared" si="480"/>
        <v>0.5</v>
      </c>
      <c r="Q1266" s="40">
        <f t="shared" si="477"/>
        <v>0</v>
      </c>
      <c r="R1266" s="21">
        <f>IF(D1266&gt;21,VLOOKUP(D1266,Barem!$T$1:$U$141,2,1),0)</f>
        <v>0</v>
      </c>
      <c r="S1266" s="152">
        <f>IF(D1266&lt;1.609,0,IF(B1266="F",VLOOKUP(I1266,Barem!$X$2:$Z$13,2,1),VLOOKUP(I1266,Barem!$X$14:$Z$25,2,1)))</f>
        <v>0</v>
      </c>
      <c r="T1266" s="21" t="e">
        <f>VLOOKUP(A1266,Participanti!A:C,3,0)</f>
        <v>#N/A</v>
      </c>
      <c r="U1266" s="18" t="e">
        <f t="shared" si="478"/>
        <v>#N/A</v>
      </c>
      <c r="V1266" s="58" t="s">
        <v>515</v>
      </c>
      <c r="W1266" s="77">
        <f t="shared" si="459"/>
        <v>0</v>
      </c>
      <c r="X1266" s="1" t="e">
        <f>VLOOKUP(A1266,Data_Echipe!A:R,18,0)</f>
        <v>#N/A</v>
      </c>
      <c r="Z1266" s="115" t="e">
        <f t="shared" si="479"/>
        <v>#N/A</v>
      </c>
    </row>
    <row r="1267" spans="1:26" x14ac:dyDescent="0.3">
      <c r="A1267" s="49"/>
      <c r="B1267" s="1" t="e">
        <f>VLOOKUP(A1267,Participanti!A:B,2,0)</f>
        <v>#N/A</v>
      </c>
      <c r="C1267" s="74">
        <v>15</v>
      </c>
      <c r="D1267" s="50"/>
      <c r="E1267" s="51"/>
      <c r="F1267" s="51"/>
      <c r="G1267" s="69" t="e">
        <f t="shared" si="474"/>
        <v>#DIV/0!</v>
      </c>
      <c r="H1267" s="52"/>
      <c r="I1267" s="12" t="e">
        <f t="shared" si="475"/>
        <v>#DIV/0!</v>
      </c>
      <c r="J1267" s="37" t="e">
        <f t="shared" si="476"/>
        <v>#N/A</v>
      </c>
      <c r="K1267" s="37" t="e">
        <f>IF(J1267=0,0,IF(B1267="F",VLOOKUP(I1267,Barem!$G$2:$H$16,2,1),VLOOKUP(I1267,Barem!$G$17:$H$31,2,1)))</f>
        <v>#N/A</v>
      </c>
      <c r="L1267" s="50"/>
      <c r="M1267" s="124" t="s">
        <v>207</v>
      </c>
      <c r="N1267" s="10">
        <f t="shared" si="480"/>
        <v>0.25</v>
      </c>
      <c r="O1267" s="10">
        <f t="shared" si="480"/>
        <v>0.25</v>
      </c>
      <c r="P1267" s="10">
        <f t="shared" si="480"/>
        <v>0.5</v>
      </c>
      <c r="Q1267" s="40">
        <f t="shared" si="477"/>
        <v>0</v>
      </c>
      <c r="R1267" s="21">
        <f>IF(D1267&gt;21,VLOOKUP(D1267,Barem!$T$1:$U$141,2,1),0)</f>
        <v>0</v>
      </c>
      <c r="S1267" s="152">
        <f>IF(D1267&lt;1.609,0,IF(B1267="F",VLOOKUP(I1267,Barem!$X$2:$Z$13,2,1),VLOOKUP(I1267,Barem!$X$14:$Z$25,2,1)))</f>
        <v>0</v>
      </c>
      <c r="T1267" s="21" t="e">
        <f>VLOOKUP(A1267,Participanti!A:C,3,0)</f>
        <v>#N/A</v>
      </c>
      <c r="U1267" s="18" t="e">
        <f t="shared" si="478"/>
        <v>#N/A</v>
      </c>
      <c r="V1267" s="58" t="s">
        <v>515</v>
      </c>
      <c r="W1267" s="77">
        <f t="shared" si="459"/>
        <v>0</v>
      </c>
      <c r="X1267" s="1" t="e">
        <f>VLOOKUP(A1267,Data_Echipe!A:R,18,0)</f>
        <v>#N/A</v>
      </c>
      <c r="Z1267" s="115" t="e">
        <f t="shared" si="479"/>
        <v>#N/A</v>
      </c>
    </row>
    <row r="1268" spans="1:26" x14ac:dyDescent="0.3">
      <c r="A1268" s="49"/>
      <c r="B1268" s="1" t="e">
        <f>VLOOKUP(A1268,Participanti!A:B,2,0)</f>
        <v>#N/A</v>
      </c>
      <c r="C1268" s="74">
        <v>15</v>
      </c>
      <c r="D1268" s="50"/>
      <c r="E1268" s="51"/>
      <c r="F1268" s="51"/>
      <c r="G1268" s="69" t="e">
        <f t="shared" si="474"/>
        <v>#DIV/0!</v>
      </c>
      <c r="H1268" s="52"/>
      <c r="I1268" s="12" t="e">
        <f t="shared" si="475"/>
        <v>#DIV/0!</v>
      </c>
      <c r="J1268" s="37" t="e">
        <f t="shared" si="476"/>
        <v>#N/A</v>
      </c>
      <c r="K1268" s="37" t="e">
        <f>IF(J1268=0,0,IF(B1268="F",VLOOKUP(I1268,Barem!$G$2:$H$16,2,1),VLOOKUP(I1268,Barem!$G$17:$H$31,2,1)))</f>
        <v>#N/A</v>
      </c>
      <c r="L1268" s="50"/>
      <c r="M1268" s="124" t="s">
        <v>207</v>
      </c>
      <c r="N1268" s="10">
        <f t="shared" si="480"/>
        <v>0.25</v>
      </c>
      <c r="O1268" s="10">
        <f t="shared" si="480"/>
        <v>0.25</v>
      </c>
      <c r="P1268" s="10">
        <f t="shared" si="480"/>
        <v>0.5</v>
      </c>
      <c r="Q1268" s="40">
        <f t="shared" si="477"/>
        <v>0</v>
      </c>
      <c r="R1268" s="21">
        <f>IF(D1268&gt;21,VLOOKUP(D1268,Barem!$T$1:$U$141,2,1),0)</f>
        <v>0</v>
      </c>
      <c r="S1268" s="152">
        <f>IF(D1268&lt;1.609,0,IF(B1268="F",VLOOKUP(I1268,Barem!$X$2:$Z$13,2,1),VLOOKUP(I1268,Barem!$X$14:$Z$25,2,1)))</f>
        <v>0</v>
      </c>
      <c r="T1268" s="21" t="e">
        <f>VLOOKUP(A1268,Participanti!A:C,3,0)</f>
        <v>#N/A</v>
      </c>
      <c r="U1268" s="18" t="e">
        <f t="shared" si="478"/>
        <v>#N/A</v>
      </c>
      <c r="V1268" s="58" t="s">
        <v>515</v>
      </c>
      <c r="W1268" s="77">
        <f t="shared" si="459"/>
        <v>0</v>
      </c>
      <c r="X1268" s="1" t="e">
        <f>VLOOKUP(A1268,Data_Echipe!A:R,18,0)</f>
        <v>#N/A</v>
      </c>
      <c r="Z1268" s="115" t="e">
        <f t="shared" si="479"/>
        <v>#N/A</v>
      </c>
    </row>
    <row r="1269" spans="1:26" x14ac:dyDescent="0.3">
      <c r="A1269" s="49"/>
      <c r="B1269" s="1" t="e">
        <f>VLOOKUP(A1269,Participanti!A:B,2,0)</f>
        <v>#N/A</v>
      </c>
      <c r="C1269" s="74">
        <v>15</v>
      </c>
      <c r="D1269" s="50"/>
      <c r="E1269" s="51"/>
      <c r="F1269" s="51"/>
      <c r="G1269" s="69" t="e">
        <f t="shared" si="474"/>
        <v>#DIV/0!</v>
      </c>
      <c r="H1269" s="52"/>
      <c r="I1269" s="12" t="e">
        <f t="shared" si="475"/>
        <v>#DIV/0!</v>
      </c>
      <c r="J1269" s="37" t="e">
        <f t="shared" si="476"/>
        <v>#N/A</v>
      </c>
      <c r="K1269" s="37" t="e">
        <f>IF(J1269=0,0,IF(B1269="F",VLOOKUP(I1269,Barem!$G$2:$H$16,2,1),VLOOKUP(I1269,Barem!$G$17:$H$31,2,1)))</f>
        <v>#N/A</v>
      </c>
      <c r="L1269" s="50"/>
      <c r="M1269" s="124" t="s">
        <v>207</v>
      </c>
      <c r="N1269" s="10">
        <f t="shared" si="480"/>
        <v>0.25</v>
      </c>
      <c r="O1269" s="10">
        <f t="shared" si="480"/>
        <v>0.25</v>
      </c>
      <c r="P1269" s="10">
        <f t="shared" si="480"/>
        <v>0.5</v>
      </c>
      <c r="Q1269" s="40">
        <f t="shared" si="477"/>
        <v>0</v>
      </c>
      <c r="R1269" s="21">
        <f>IF(D1269&gt;21,VLOOKUP(D1269,Barem!$T$1:$U$141,2,1),0)</f>
        <v>0</v>
      </c>
      <c r="S1269" s="152">
        <f>IF(D1269&lt;1.609,0,IF(B1269="F",VLOOKUP(I1269,Barem!$X$2:$Z$13,2,1),VLOOKUP(I1269,Barem!$X$14:$Z$25,2,1)))</f>
        <v>0</v>
      </c>
      <c r="T1269" s="21" t="e">
        <f>VLOOKUP(A1269,Participanti!A:C,3,0)</f>
        <v>#N/A</v>
      </c>
      <c r="U1269" s="18" t="e">
        <f t="shared" si="478"/>
        <v>#N/A</v>
      </c>
      <c r="V1269" s="58" t="s">
        <v>515</v>
      </c>
      <c r="W1269" s="77">
        <f t="shared" si="459"/>
        <v>0</v>
      </c>
      <c r="X1269" s="1" t="e">
        <f>VLOOKUP(A1269,Data_Echipe!A:R,18,0)</f>
        <v>#N/A</v>
      </c>
      <c r="Z1269" s="115" t="e">
        <f t="shared" si="479"/>
        <v>#N/A</v>
      </c>
    </row>
    <row r="1270" spans="1:26" x14ac:dyDescent="0.3">
      <c r="A1270" s="49"/>
      <c r="B1270" s="1" t="e">
        <f>VLOOKUP(A1270,Participanti!A:B,2,0)</f>
        <v>#N/A</v>
      </c>
      <c r="C1270" s="74">
        <v>15</v>
      </c>
      <c r="D1270" s="50"/>
      <c r="E1270" s="51"/>
      <c r="F1270" s="51"/>
      <c r="G1270" s="69" t="e">
        <f t="shared" si="474"/>
        <v>#DIV/0!</v>
      </c>
      <c r="H1270" s="52"/>
      <c r="I1270" s="12" t="e">
        <f t="shared" si="475"/>
        <v>#DIV/0!</v>
      </c>
      <c r="J1270" s="37" t="e">
        <f t="shared" si="476"/>
        <v>#N/A</v>
      </c>
      <c r="K1270" s="37" t="e">
        <f>IF(J1270=0,0,IF(B1270="F",VLOOKUP(I1270,Barem!$G$2:$H$16,2,1),VLOOKUP(I1270,Barem!$G$17:$H$31,2,1)))</f>
        <v>#N/A</v>
      </c>
      <c r="L1270" s="50"/>
      <c r="M1270" s="124" t="s">
        <v>207</v>
      </c>
      <c r="N1270" s="10">
        <f t="shared" si="480"/>
        <v>0.25</v>
      </c>
      <c r="O1270" s="10">
        <f t="shared" si="480"/>
        <v>0.25</v>
      </c>
      <c r="P1270" s="10">
        <f t="shared" si="480"/>
        <v>0.5</v>
      </c>
      <c r="Q1270" s="40">
        <f t="shared" si="477"/>
        <v>0</v>
      </c>
      <c r="R1270" s="21">
        <f>IF(D1270&gt;21,VLOOKUP(D1270,Barem!$T$1:$U$141,2,1),0)</f>
        <v>0</v>
      </c>
      <c r="S1270" s="152">
        <f>IF(D1270&lt;1.609,0,IF(B1270="F",VLOOKUP(I1270,Barem!$X$2:$Z$13,2,1),VLOOKUP(I1270,Barem!$X$14:$Z$25,2,1)))</f>
        <v>0</v>
      </c>
      <c r="T1270" s="21" t="e">
        <f>VLOOKUP(A1270,Participanti!A:C,3,0)</f>
        <v>#N/A</v>
      </c>
      <c r="U1270" s="18" t="e">
        <f t="shared" si="478"/>
        <v>#N/A</v>
      </c>
      <c r="V1270" s="58" t="s">
        <v>515</v>
      </c>
      <c r="W1270" s="77">
        <f t="shared" si="459"/>
        <v>0</v>
      </c>
      <c r="X1270" s="1" t="e">
        <f>VLOOKUP(A1270,Data_Echipe!A:R,18,0)</f>
        <v>#N/A</v>
      </c>
      <c r="Z1270" s="115" t="e">
        <f t="shared" si="479"/>
        <v>#N/A</v>
      </c>
    </row>
  </sheetData>
  <autoFilter ref="A1:Z1270" xr:uid="{48306ECA-B23A-4B13-903E-B609F7DEA574}"/>
  <sortState xmlns:xlrd2="http://schemas.microsoft.com/office/spreadsheetml/2017/richdata2" ref="A1113:AA1183">
    <sortCondition ref="A1113:A1183"/>
  </sortState>
  <phoneticPr fontId="20" type="noConversion"/>
  <hyperlinks>
    <hyperlink ref="E1173" r:id="rId1" display="0@" xr:uid="{557D39A6-0C5E-4C7E-8CF2-41DFF5DE7028}"/>
  </hyperlink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030A0"/>
  </sheetPr>
  <dimension ref="A1:AI119"/>
  <sheetViews>
    <sheetView zoomScaleNormal="100" workbookViewId="0">
      <pane ySplit="1" topLeftCell="A2" activePane="bottomLeft" state="frozen"/>
      <selection activeCell="A31" sqref="A31"/>
      <selection pane="bottomLeft" activeCell="B2" sqref="B2"/>
    </sheetView>
  </sheetViews>
  <sheetFormatPr defaultColWidth="9.1796875" defaultRowHeight="12" x14ac:dyDescent="0.3"/>
  <cols>
    <col min="1" max="1" width="7.81640625" style="80" customWidth="1"/>
    <col min="2" max="2" width="23.54296875" style="23" bestFit="1" customWidth="1"/>
    <col min="3" max="17" width="5.453125" style="24" customWidth="1"/>
    <col min="18" max="18" width="7.1796875" style="24" customWidth="1"/>
    <col min="19" max="19" width="10.453125" style="24" bestFit="1" customWidth="1"/>
    <col min="20" max="20" width="10.81640625" style="24" customWidth="1"/>
    <col min="21" max="21" width="3.81640625" style="1" customWidth="1"/>
    <col min="22" max="22" width="7" style="1" customWidth="1"/>
    <col min="23" max="23" width="9.1796875" style="1" customWidth="1"/>
    <col min="24" max="25" width="9.1796875" style="1" hidden="1" customWidth="1"/>
    <col min="26" max="26" width="10" style="1" hidden="1" customWidth="1"/>
    <col min="27" max="31" width="9.1796875" style="1" hidden="1" customWidth="1"/>
    <col min="32" max="34" width="9.1796875" style="1" customWidth="1"/>
    <col min="35" max="35" width="9.1796875" style="158" customWidth="1"/>
    <col min="36" max="38" width="9.1796875" style="1" customWidth="1"/>
    <col min="39" max="16384" width="9.1796875" style="1"/>
  </cols>
  <sheetData>
    <row r="1" spans="1:33" ht="13" x14ac:dyDescent="0.3">
      <c r="A1" s="78" t="s">
        <v>67</v>
      </c>
      <c r="B1" s="28" t="s">
        <v>31</v>
      </c>
      <c r="C1" s="36">
        <v>1</v>
      </c>
      <c r="D1" s="36">
        <v>2</v>
      </c>
      <c r="E1" s="36">
        <v>3</v>
      </c>
      <c r="F1" s="36">
        <v>4</v>
      </c>
      <c r="G1" s="36">
        <v>5</v>
      </c>
      <c r="H1" s="36">
        <v>6</v>
      </c>
      <c r="I1" s="36">
        <v>7</v>
      </c>
      <c r="J1" s="36">
        <v>8</v>
      </c>
      <c r="K1" s="36">
        <v>9</v>
      </c>
      <c r="L1" s="36">
        <v>10</v>
      </c>
      <c r="M1" s="36">
        <v>11</v>
      </c>
      <c r="N1" s="36">
        <v>12</v>
      </c>
      <c r="O1" s="36">
        <v>13</v>
      </c>
      <c r="P1" s="36">
        <v>14</v>
      </c>
      <c r="Q1" s="36">
        <v>15</v>
      </c>
      <c r="R1" s="70" t="s">
        <v>83</v>
      </c>
      <c r="S1" s="29" t="s">
        <v>69</v>
      </c>
      <c r="T1" s="29" t="s">
        <v>68</v>
      </c>
      <c r="U1" s="35" t="s">
        <v>103</v>
      </c>
      <c r="V1" s="35"/>
      <c r="W1" s="101" t="s">
        <v>309</v>
      </c>
      <c r="X1" s="35" t="s">
        <v>311</v>
      </c>
      <c r="Y1" s="35" t="s">
        <v>308</v>
      </c>
      <c r="Z1" s="35" t="s">
        <v>310</v>
      </c>
      <c r="AA1" s="35" t="s">
        <v>307</v>
      </c>
      <c r="AB1" s="35" t="s">
        <v>298</v>
      </c>
      <c r="AC1" s="35" t="s">
        <v>271</v>
      </c>
      <c r="AD1" s="35" t="s">
        <v>297</v>
      </c>
      <c r="AE1" s="35" t="s">
        <v>315</v>
      </c>
      <c r="AF1" s="35" t="s">
        <v>316</v>
      </c>
      <c r="AG1" s="35"/>
    </row>
    <row r="2" spans="1:33" ht="13" x14ac:dyDescent="0.3">
      <c r="A2" s="79">
        <v>1</v>
      </c>
      <c r="B2" s="30" t="s">
        <v>124</v>
      </c>
      <c r="C2" s="31">
        <f>IF(SUMIFS(Data!$U:$U,Data!$A:$A,$B2,Data!$C:$C,C$1)=0,"",SUMIFS(Data!$U:$U,Data!$A:$A,$B2,Data!$C:$C,C$1))</f>
        <v>6.5250000000000004</v>
      </c>
      <c r="D2" s="31">
        <f>IF(SUMIFS(Data!$U:$U,Data!$A:$A,$B2,Data!$C:$C,D$1)=0,"",SUMIFS(Data!$U:$U,Data!$A:$A,$B2,Data!$C:$C,D$1))</f>
        <v>4.6096666666666666</v>
      </c>
      <c r="E2" s="31">
        <f>IF(SUMIFS(Data!$U:$U,Data!$A:$A,$B2,Data!$C:$C,E$1)=0,"",SUMIFS(Data!$U:$U,Data!$A:$A,$B2,Data!$C:$C,E$1))</f>
        <v>5.8646666666666665</v>
      </c>
      <c r="F2" s="31">
        <f>IF(SUMIFS(Data!$U:$U,Data!$A:$A,$B2,Data!$C:$C,F$1)=0,"",SUMIFS(Data!$U:$U,Data!$A:$A,$B2,Data!$C:$C,F$1))</f>
        <v>4.4729999999999999</v>
      </c>
      <c r="G2" s="31">
        <f>IF(SUMIFS(Data!$U:$U,Data!$A:$A,$B2,Data!$C:$C,G$1)=0,"",SUMIFS(Data!$U:$U,Data!$A:$A,$B2,Data!$C:$C,G$1))</f>
        <v>5.8625000000000007</v>
      </c>
      <c r="H2" s="31">
        <f>IF(SUMIFS(Data!$U:$U,Data!$A:$A,$B2,Data!$C:$C,H$1)=0,"",SUMIFS(Data!$U:$U,Data!$A:$A,$B2,Data!$C:$C,H$1))</f>
        <v>5.65</v>
      </c>
      <c r="I2" s="31">
        <f>IF(SUMIFS(Data!$U:$U,Data!$A:$A,$B2,Data!$C:$C,I$1)=0,"",SUMIFS(Data!$U:$U,Data!$A:$A,$B2,Data!$C:$C,I$1))</f>
        <v>5.7267380952380957</v>
      </c>
      <c r="J2" s="31">
        <f>IF(SUMIFS(Data!$U:$U,Data!$A:$A,$B2,Data!$C:$C,J$1)=0,"",SUMIFS(Data!$U:$U,Data!$A:$A,$B2,Data!$C:$C,J$1))</f>
        <v>10.658333333333333</v>
      </c>
      <c r="K2" s="31">
        <f>IF(SUMIFS(Data!$U:$U,Data!$A:$A,$B2,Data!$C:$C,K$1)=0,"",SUMIFS(Data!$U:$U,Data!$A:$A,$B2,Data!$C:$C,K$1))</f>
        <v>6.75</v>
      </c>
      <c r="L2" s="31">
        <f>IF(SUMIFS(Data!$U:$U,Data!$A:$A,$B2,Data!$C:$C,L$1)=0,"",SUMIFS(Data!$U:$U,Data!$A:$A,$B2,Data!$C:$C,L$1))</f>
        <v>7.4749999999999996</v>
      </c>
      <c r="M2" s="31">
        <f>IF(SUMIFS(Data!$U:$U,Data!$A:$A,$B2,Data!$C:$C,M$1)=0,"",SUMIFS(Data!$U:$U,Data!$A:$A,$B2,Data!$C:$C,M$1))</f>
        <v>13.329166666666666</v>
      </c>
      <c r="N2" s="31">
        <f>IF(SUMIFS(Data!$U:$U,Data!$A:$A,$B2,Data!$C:$C,N$1)=0,"",SUMIFS(Data!$U:$U,Data!$A:$A,$B2,Data!$C:$C,N$1))</f>
        <v>7.1606666666666676</v>
      </c>
      <c r="O2" s="31">
        <f>IF(SUMIFS(Data!$U:$U,Data!$A:$A,$B2,Data!$C:$C,O$1)=0,"",SUMIFS(Data!$U:$U,Data!$A:$A,$B2,Data!$C:$C,O$1))</f>
        <v>5.5</v>
      </c>
      <c r="P2" s="31">
        <f>IF(SUMIFS(Data!$U:$U,Data!$A:$A,$B2,Data!$C:$C,P$1)=0,"",SUMIFS(Data!$U:$U,Data!$A:$A,$B2,Data!$C:$C,P$1))</f>
        <v>9.9651190476190479</v>
      </c>
      <c r="Q2" s="31">
        <f>IF(SUMIFS(Data!$U:$U,Data!$A:$A,$B2,Data!$C:$C,Q$1)=0,"",SUMIFS(Data!$U:$U,Data!$A:$A,$B2,Data!$C:$C,Q$1))</f>
        <v>6.6624999999999996</v>
      </c>
      <c r="R2" s="31">
        <f>VLOOKUP(W2,Barem!$W$39:$X$54,2,0)</f>
        <v>5</v>
      </c>
      <c r="S2" s="31">
        <f>SUM(C2:R2)</f>
        <v>111.21235714285714</v>
      </c>
      <c r="T2" s="31">
        <f>SUMIFS(Data!D:D,Data!A:A,'#ligaSYR'!B3)</f>
        <v>773.94000000000017</v>
      </c>
      <c r="U2" s="1" t="str">
        <f>IF(VLOOKUP(B2,Participanti!A:D,4,0)=0," ","New")</f>
        <v xml:space="preserve"> </v>
      </c>
      <c r="W2" s="116">
        <f>SUMIFS(Data!Z:Z,Data!A:A,'#ligaSYR'!B2)</f>
        <v>15</v>
      </c>
      <c r="X2" s="116"/>
      <c r="AF2" s="1" t="str">
        <f>VLOOKUP(B2,Data_Echipe!A:R,18,0)</f>
        <v>#notSYRious</v>
      </c>
    </row>
    <row r="3" spans="1:33" ht="13" x14ac:dyDescent="0.3">
      <c r="A3" s="79">
        <v>2</v>
      </c>
      <c r="B3" s="30" t="s">
        <v>227</v>
      </c>
      <c r="C3" s="31">
        <f>IF(SUMIFS(Data!$U:$U,Data!$A:$A,$B3,Data!$C:$C,C$1)=0,"",SUMIFS(Data!$U:$U,Data!$A:$A,$B3,Data!$C:$C,C$1))</f>
        <v>4.6403333333333334</v>
      </c>
      <c r="D3" s="31">
        <f>IF(SUMIFS(Data!$U:$U,Data!$A:$A,$B3,Data!$C:$C,D$1)=0,"",SUMIFS(Data!$U:$U,Data!$A:$A,$B3,Data!$C:$C,D$1))</f>
        <v>5.0066666666666659</v>
      </c>
      <c r="E3" s="31">
        <f>IF(SUMIFS(Data!$U:$U,Data!$A:$A,$B3,Data!$C:$C,E$1)=0,"",SUMIFS(Data!$U:$U,Data!$A:$A,$B3,Data!$C:$C,E$1))</f>
        <v>5.8216666666666672</v>
      </c>
      <c r="F3" s="31">
        <f>IF(SUMIFS(Data!$U:$U,Data!$A:$A,$B3,Data!$C:$C,F$1)=0,"",SUMIFS(Data!$U:$U,Data!$A:$A,$B3,Data!$C:$C,F$1))</f>
        <v>6.315833333333333</v>
      </c>
      <c r="G3" s="31">
        <f>IF(SUMIFS(Data!$U:$U,Data!$A:$A,$B3,Data!$C:$C,G$1)=0,"",SUMIFS(Data!$U:$U,Data!$A:$A,$B3,Data!$C:$C,G$1))</f>
        <v>7.3274999999999997</v>
      </c>
      <c r="H3" s="31">
        <f>IF(SUMIFS(Data!$U:$U,Data!$A:$A,$B3,Data!$C:$C,H$1)=0,"",SUMIFS(Data!$U:$U,Data!$A:$A,$B3,Data!$C:$C,H$1))</f>
        <v>4.3624999999999998</v>
      </c>
      <c r="I3" s="31">
        <f>IF(SUMIFS(Data!$U:$U,Data!$A:$A,$B3,Data!$C:$C,I$1)=0,"",SUMIFS(Data!$U:$U,Data!$A:$A,$B3,Data!$C:$C,I$1))</f>
        <v>4.4836666666666662</v>
      </c>
      <c r="J3" s="31">
        <f>IF(SUMIFS(Data!$U:$U,Data!$A:$A,$B3,Data!$C:$C,J$1)=0,"",SUMIFS(Data!$U:$U,Data!$A:$A,$B3,Data!$C:$C,J$1))</f>
        <v>6.0914999999999999</v>
      </c>
      <c r="K3" s="31">
        <f>IF(SUMIFS(Data!$U:$U,Data!$A:$A,$B3,Data!$C:$C,K$1)=0,"",SUMIFS(Data!$U:$U,Data!$A:$A,$B3,Data!$C:$C,K$1))</f>
        <v>4.359</v>
      </c>
      <c r="L3" s="31">
        <f>IF(SUMIFS(Data!$U:$U,Data!$A:$A,$B3,Data!$C:$C,L$1)=0,"",SUMIFS(Data!$U:$U,Data!$A:$A,$B3,Data!$C:$C,L$1))</f>
        <v>7.9773333333333341</v>
      </c>
      <c r="M3" s="31">
        <f>IF(SUMIFS(Data!$U:$U,Data!$A:$A,$B3,Data!$C:$C,M$1)=0,"",SUMIFS(Data!$U:$U,Data!$A:$A,$B3,Data!$C:$C,M$1))</f>
        <v>6.8031666666666668</v>
      </c>
      <c r="N3" s="31">
        <f>IF(SUMIFS(Data!$U:$U,Data!$A:$A,$B3,Data!$C:$C,N$1)=0,"",SUMIFS(Data!$U:$U,Data!$A:$A,$B3,Data!$C:$C,N$1))</f>
        <v>4.5625</v>
      </c>
      <c r="O3" s="31">
        <f>IF(SUMIFS(Data!$U:$U,Data!$A:$A,$B3,Data!$C:$C,O$1)=0,"",SUMIFS(Data!$U:$U,Data!$A:$A,$B3,Data!$C:$C,O$1))</f>
        <v>6.070333333333334</v>
      </c>
      <c r="P3" s="31">
        <f>IF(SUMIFS(Data!$U:$U,Data!$A:$A,$B3,Data!$C:$C,P$1)=0,"",SUMIFS(Data!$U:$U,Data!$A:$A,$B3,Data!$C:$C,P$1))</f>
        <v>4.4863333333333326</v>
      </c>
      <c r="Q3" s="31">
        <f>IF(SUMIFS(Data!$U:$U,Data!$A:$A,$B3,Data!$C:$C,Q$1)=0,"",SUMIFS(Data!$U:$U,Data!$A:$A,$B3,Data!$C:$C,Q$1))</f>
        <v>5.9919999999999991</v>
      </c>
      <c r="R3" s="31">
        <f>VLOOKUP(W3,Barem!$W$39:$X$54,2,0)</f>
        <v>5</v>
      </c>
      <c r="S3" s="31">
        <f>SUM(C3:R3)</f>
        <v>89.300333333333342</v>
      </c>
      <c r="T3" s="31">
        <f>SUMIFS(Data!D:D,Data!A:A,'#ligaSYR'!B9)</f>
        <v>362.96000000000004</v>
      </c>
      <c r="U3" s="1" t="str">
        <f>IF(VLOOKUP(B3,Participanti!A:D,4,0)=0," ","New")</f>
        <v xml:space="preserve"> </v>
      </c>
      <c r="W3" s="116">
        <f>SUMIFS(Data!Z:Z,Data!A:A,'#ligaSYR'!B3)</f>
        <v>15</v>
      </c>
      <c r="X3" s="116"/>
      <c r="Z3" s="1" t="s">
        <v>312</v>
      </c>
      <c r="AC3" s="1" t="s">
        <v>312</v>
      </c>
      <c r="AE3" s="1" t="str">
        <f>VLOOKUP(B3,Participanti!A:B,2,0)</f>
        <v>M</v>
      </c>
      <c r="AF3" s="1" t="str">
        <f>VLOOKUP(B3,Data_Echipe!A:R,18,0)</f>
        <v>UltraHaita lu' Borcan</v>
      </c>
    </row>
    <row r="4" spans="1:33" ht="13" x14ac:dyDescent="0.3">
      <c r="A4" s="79">
        <v>3</v>
      </c>
      <c r="B4" s="30" t="s">
        <v>376</v>
      </c>
      <c r="C4" s="31">
        <f>IF(SUMIFS(Data!$U:$U,Data!$A:$A,$B4,Data!$C:$C,C$1)=0,"",SUMIFS(Data!$U:$U,Data!$A:$A,$B4,Data!$C:$C,C$1))</f>
        <v>3.95</v>
      </c>
      <c r="D4" s="31">
        <f>IF(SUMIFS(Data!$U:$U,Data!$A:$A,$B4,Data!$C:$C,D$1)=0,"",SUMIFS(Data!$U:$U,Data!$A:$A,$B4,Data!$C:$C,D$1))</f>
        <v>4.3250000000000002</v>
      </c>
      <c r="E4" s="31">
        <f>IF(SUMIFS(Data!$U:$U,Data!$A:$A,$B4,Data!$C:$C,E$1)=0,"",SUMIFS(Data!$U:$U,Data!$A:$A,$B4,Data!$C:$C,E$1))</f>
        <v>7.5553571428571438</v>
      </c>
      <c r="F4" s="31">
        <f>IF(SUMIFS(Data!$U:$U,Data!$A:$A,$B4,Data!$C:$C,F$1)=0,"",SUMIFS(Data!$U:$U,Data!$A:$A,$B4,Data!$C:$C,F$1))</f>
        <v>3.4273809523809522</v>
      </c>
      <c r="G4" s="31">
        <f>IF(SUMIFS(Data!$U:$U,Data!$A:$A,$B4,Data!$C:$C,G$1)=0,"",SUMIFS(Data!$U:$U,Data!$A:$A,$B4,Data!$C:$C,G$1))</f>
        <v>1.5</v>
      </c>
      <c r="H4" s="31">
        <f>IF(SUMIFS(Data!$U:$U,Data!$A:$A,$B4,Data!$C:$C,H$1)=0,"",SUMIFS(Data!$U:$U,Data!$A:$A,$B4,Data!$C:$C,H$1))</f>
        <v>7.0826666666666664</v>
      </c>
      <c r="I4" s="31">
        <f>IF(SUMIFS(Data!$U:$U,Data!$A:$A,$B4,Data!$C:$C,I$1)=0,"",SUMIFS(Data!$U:$U,Data!$A:$A,$B4,Data!$C:$C,I$1))</f>
        <v>3.75</v>
      </c>
      <c r="J4" s="31">
        <f>IF(SUMIFS(Data!$U:$U,Data!$A:$A,$B4,Data!$C:$C,J$1)=0,"",SUMIFS(Data!$U:$U,Data!$A:$A,$B4,Data!$C:$C,J$1))</f>
        <v>8.15</v>
      </c>
      <c r="K4" s="31">
        <f>IF(SUMIFS(Data!$U:$U,Data!$A:$A,$B4,Data!$C:$C,K$1)=0,"",SUMIFS(Data!$U:$U,Data!$A:$A,$B4,Data!$C:$C,K$1))</f>
        <v>2.4695952380952386</v>
      </c>
      <c r="L4" s="31">
        <f>IF(SUMIFS(Data!$U:$U,Data!$A:$A,$B4,Data!$C:$C,L$1)=0,"",SUMIFS(Data!$U:$U,Data!$A:$A,$B4,Data!$C:$C,L$1))</f>
        <v>4.9000000000000004</v>
      </c>
      <c r="M4" s="31">
        <f>IF(SUMIFS(Data!$U:$U,Data!$A:$A,$B4,Data!$C:$C,M$1)=0,"",SUMIFS(Data!$U:$U,Data!$A:$A,$B4,Data!$C:$C,M$1))</f>
        <v>4.4000000000000004</v>
      </c>
      <c r="N4" s="31">
        <f>IF(SUMIFS(Data!$U:$U,Data!$A:$A,$B4,Data!$C:$C,N$1)=0,"",SUMIFS(Data!$U:$U,Data!$A:$A,$B4,Data!$C:$C,N$1))</f>
        <v>5.0289999999999999</v>
      </c>
      <c r="O4" s="31">
        <f>IF(SUMIFS(Data!$U:$U,Data!$A:$A,$B4,Data!$C:$C,O$1)=0,"",SUMIFS(Data!$U:$U,Data!$A:$A,$B4,Data!$C:$C,O$1))</f>
        <v>3.7651190476190473</v>
      </c>
      <c r="P4" s="31">
        <f>IF(SUMIFS(Data!$U:$U,Data!$A:$A,$B4,Data!$C:$C,P$1)=0,"",SUMIFS(Data!$U:$U,Data!$A:$A,$B4,Data!$C:$C,P$1))</f>
        <v>4.3746666666666671</v>
      </c>
      <c r="Q4" s="31">
        <f>IF(SUMIFS(Data!$U:$U,Data!$A:$A,$B4,Data!$C:$C,Q$1)=0,"",SUMIFS(Data!$U:$U,Data!$A:$A,$B4,Data!$C:$C,Q$1))</f>
        <v>8.2750000000000004</v>
      </c>
      <c r="R4" s="31">
        <f>VLOOKUP(W4,Barem!$W$39:$X$54,2,0)</f>
        <v>5</v>
      </c>
      <c r="S4" s="31">
        <f>SUM(C4:R4)</f>
        <v>77.953785714285715</v>
      </c>
      <c r="T4" s="31">
        <f>SUMIFS(Data!D:D,Data!A:A,'#ligaSYR'!B13)</f>
        <v>711.7600000000001</v>
      </c>
      <c r="U4" s="1" t="str">
        <f>IF(VLOOKUP(B4,Participanti!A:D,4,0)=0," ","New")</f>
        <v>New</v>
      </c>
      <c r="W4" s="116">
        <f>SUMIFS(Data!Z:Z,Data!A:A,'#ligaSYR'!B4)</f>
        <v>14</v>
      </c>
      <c r="X4" s="116"/>
      <c r="AE4" s="1" t="str">
        <f>VLOOKUP(B4,Participanti!A:B,2,0)</f>
        <v>M</v>
      </c>
      <c r="AF4" s="1" t="e">
        <f>VLOOKUP(B4,Data_Echipe!A:R,18,0)</f>
        <v>#N/A</v>
      </c>
    </row>
    <row r="5" spans="1:33" ht="13" x14ac:dyDescent="0.3">
      <c r="A5" s="79">
        <v>4</v>
      </c>
      <c r="B5" s="30" t="s">
        <v>283</v>
      </c>
      <c r="C5" s="31">
        <f>IF(SUMIFS(Data!$U:$U,Data!$A:$A,$B5,Data!$C:$C,C$1)=0,"",SUMIFS(Data!$U:$U,Data!$A:$A,$B5,Data!$C:$C,C$1))</f>
        <v>3.9144999999999999</v>
      </c>
      <c r="D5" s="31">
        <f>IF(SUMIFS(Data!$U:$U,Data!$A:$A,$B5,Data!$C:$C,D$1)=0,"",SUMIFS(Data!$U:$U,Data!$A:$A,$B5,Data!$C:$C,D$1))</f>
        <v>2.5880476190476194</v>
      </c>
      <c r="E5" s="31">
        <f>IF(SUMIFS(Data!$U:$U,Data!$A:$A,$B5,Data!$C:$C,E$1)=0,"",SUMIFS(Data!$U:$U,Data!$A:$A,$B5,Data!$C:$C,E$1))</f>
        <v>3.8173333333333335</v>
      </c>
      <c r="F5" s="31">
        <f>IF(SUMIFS(Data!$U:$U,Data!$A:$A,$B5,Data!$C:$C,F$1)=0,"",SUMIFS(Data!$U:$U,Data!$A:$A,$B5,Data!$C:$C,F$1))</f>
        <v>5.1546666666666665</v>
      </c>
      <c r="G5" s="31">
        <f>IF(SUMIFS(Data!$U:$U,Data!$A:$A,$B5,Data!$C:$C,G$1)=0,"",SUMIFS(Data!$U:$U,Data!$A:$A,$B5,Data!$C:$C,G$1))</f>
        <v>6.1755000000000004</v>
      </c>
      <c r="H5" s="31">
        <f>IF(SUMIFS(Data!$U:$U,Data!$A:$A,$B5,Data!$C:$C,H$1)=0,"",SUMIFS(Data!$U:$U,Data!$A:$A,$B5,Data!$C:$C,H$1))</f>
        <v>4.4089999999999998</v>
      </c>
      <c r="I5" s="31">
        <f>IF(SUMIFS(Data!$U:$U,Data!$A:$A,$B5,Data!$C:$C,I$1)=0,"",SUMIFS(Data!$U:$U,Data!$A:$A,$B5,Data!$C:$C,I$1))</f>
        <v>8.1646666666666672</v>
      </c>
      <c r="J5" s="31">
        <f>IF(SUMIFS(Data!$U:$U,Data!$A:$A,$B5,Data!$C:$C,J$1)=0,"",SUMIFS(Data!$U:$U,Data!$A:$A,$B5,Data!$C:$C,J$1))</f>
        <v>4.3896666666666668</v>
      </c>
      <c r="K5" s="31">
        <f>IF(SUMIFS(Data!$U:$U,Data!$A:$A,$B5,Data!$C:$C,K$1)=0,"",SUMIFS(Data!$U:$U,Data!$A:$A,$B5,Data!$C:$C,K$1))</f>
        <v>4.8441666666666663</v>
      </c>
      <c r="L5" s="31">
        <f>IF(SUMIFS(Data!$U:$U,Data!$A:$A,$B5,Data!$C:$C,L$1)=0,"",SUMIFS(Data!$U:$U,Data!$A:$A,$B5,Data!$C:$C,L$1))</f>
        <v>5.8573333333333331</v>
      </c>
      <c r="M5" s="31">
        <f>IF(SUMIFS(Data!$U:$U,Data!$A:$A,$B5,Data!$C:$C,M$1)=0,"",SUMIFS(Data!$U:$U,Data!$A:$A,$B5,Data!$C:$C,M$1))</f>
        <v>4.8555000000000001</v>
      </c>
      <c r="N5" s="31">
        <f>IF(SUMIFS(Data!$U:$U,Data!$A:$A,$B5,Data!$C:$C,N$1)=0,"",SUMIFS(Data!$U:$U,Data!$A:$A,$B5,Data!$C:$C,N$1))</f>
        <v>4</v>
      </c>
      <c r="O5" s="31">
        <f>IF(SUMIFS(Data!$U:$U,Data!$A:$A,$B5,Data!$C:$C,O$1)=0,"",SUMIFS(Data!$U:$U,Data!$A:$A,$B5,Data!$C:$C,O$1))</f>
        <v>2.7322380952380954</v>
      </c>
      <c r="P5" s="31">
        <f>IF(SUMIFS(Data!$U:$U,Data!$A:$A,$B5,Data!$C:$C,P$1)=0,"",SUMIFS(Data!$U:$U,Data!$A:$A,$B5,Data!$C:$C,P$1))</f>
        <v>4.7923333333333336</v>
      </c>
      <c r="Q5" s="31">
        <f>IF(SUMIFS(Data!$U:$U,Data!$A:$A,$B5,Data!$C:$C,Q$1)=0,"",SUMIFS(Data!$U:$U,Data!$A:$A,$B5,Data!$C:$C,Q$1))</f>
        <v>4.6116666666666664</v>
      </c>
      <c r="R5" s="31">
        <f>VLOOKUP(W5,Barem!$W$39:$X$54,2,0)</f>
        <v>5</v>
      </c>
      <c r="S5" s="31">
        <f>SUM(C5:R5)</f>
        <v>75.306619047619037</v>
      </c>
      <c r="T5" s="31">
        <f>SUMIFS(Data!D:D,Data!A:A,'#ligaSYR'!B31)</f>
        <v>164.8</v>
      </c>
      <c r="U5" s="1" t="str">
        <f>IF(VLOOKUP(B5,Participanti!A:D,4,0)=0," ","New")</f>
        <v xml:space="preserve"> </v>
      </c>
      <c r="W5" s="116">
        <f>SUMIFS(Data!Z:Z,Data!A:A,'#ligaSYR'!B5)</f>
        <v>14</v>
      </c>
      <c r="X5" s="116"/>
      <c r="AE5" s="1" t="str">
        <f>VLOOKUP(B5,Participanti!A:B,2,0)</f>
        <v>M</v>
      </c>
      <c r="AF5" s="1" t="str">
        <f>VLOOKUP(B5,Data_Echipe!A:R,18,0)</f>
        <v>The GOATs</v>
      </c>
    </row>
    <row r="6" spans="1:33" ht="13" x14ac:dyDescent="0.3">
      <c r="A6" s="79">
        <v>5</v>
      </c>
      <c r="B6" s="30" t="s">
        <v>78</v>
      </c>
      <c r="C6" s="31">
        <f>IF(SUMIFS(Data!$U:$U,Data!$A:$A,$B6,Data!$C:$C,C$1)=0,"",SUMIFS(Data!$U:$U,Data!$A:$A,$B6,Data!$C:$C,C$1))</f>
        <v>5.6566666666666672</v>
      </c>
      <c r="D6" s="31">
        <f>IF(SUMIFS(Data!$U:$U,Data!$A:$A,$B6,Data!$C:$C,D$1)=0,"",SUMIFS(Data!$U:$U,Data!$A:$A,$B6,Data!$C:$C,D$1))</f>
        <v>5.522333333333334</v>
      </c>
      <c r="E6" s="31">
        <f>IF(SUMIFS(Data!$U:$U,Data!$A:$A,$B6,Data!$C:$C,E$1)=0,"",SUMIFS(Data!$U:$U,Data!$A:$A,$B6,Data!$C:$C,E$1))</f>
        <v>4.7116666666666669</v>
      </c>
      <c r="F6" s="31">
        <f>IF(SUMIFS(Data!$U:$U,Data!$A:$A,$B6,Data!$C:$C,F$1)=0,"",SUMIFS(Data!$U:$U,Data!$A:$A,$B6,Data!$C:$C,F$1))</f>
        <v>5.8560000000000008</v>
      </c>
      <c r="G6" s="31">
        <f>IF(SUMIFS(Data!$U:$U,Data!$A:$A,$B6,Data!$C:$C,G$1)=0,"",SUMIFS(Data!$U:$U,Data!$A:$A,$B6,Data!$C:$C,G$1))</f>
        <v>5.5136666666666674</v>
      </c>
      <c r="H6" s="31">
        <f>IF(SUMIFS(Data!$U:$U,Data!$A:$A,$B6,Data!$C:$C,H$1)=0,"",SUMIFS(Data!$U:$U,Data!$A:$A,$B6,Data!$C:$C,H$1))</f>
        <v>3.0956666666666668</v>
      </c>
      <c r="I6" s="31">
        <f>IF(SUMIFS(Data!$U:$U,Data!$A:$A,$B6,Data!$C:$C,I$1)=0,"",SUMIFS(Data!$U:$U,Data!$A:$A,$B6,Data!$C:$C,I$1))</f>
        <v>3.7384999999999997</v>
      </c>
      <c r="J6" s="31">
        <f>IF(SUMIFS(Data!$U:$U,Data!$A:$A,$B6,Data!$C:$C,J$1)=0,"",SUMIFS(Data!$U:$U,Data!$A:$A,$B6,Data!$C:$C,J$1))</f>
        <v>3.5054999999999996</v>
      </c>
      <c r="K6" s="31">
        <f>IF(SUMIFS(Data!$U:$U,Data!$A:$A,$B6,Data!$C:$C,K$1)=0,"",SUMIFS(Data!$U:$U,Data!$A:$A,$B6,Data!$C:$C,K$1))</f>
        <v>3.1413333333333333</v>
      </c>
      <c r="L6" s="31">
        <f>IF(SUMIFS(Data!$U:$U,Data!$A:$A,$B6,Data!$C:$C,L$1)=0,"",SUMIFS(Data!$U:$U,Data!$A:$A,$B6,Data!$C:$C,L$1))</f>
        <v>3.3116666666666665</v>
      </c>
      <c r="M6" s="31">
        <f>IF(SUMIFS(Data!$U:$U,Data!$A:$A,$B6,Data!$C:$C,M$1)=0,"",SUMIFS(Data!$U:$U,Data!$A:$A,$B6,Data!$C:$C,M$1))</f>
        <v>4.9138333333333337</v>
      </c>
      <c r="N6" s="31">
        <f>IF(SUMIFS(Data!$U:$U,Data!$A:$A,$B6,Data!$C:$C,N$1)=0,"",SUMIFS(Data!$U:$U,Data!$A:$A,$B6,Data!$C:$C,N$1))</f>
        <v>8.4996666666666663</v>
      </c>
      <c r="O6" s="31">
        <f>IF(SUMIFS(Data!$U:$U,Data!$A:$A,$B6,Data!$C:$C,O$1)=0,"",SUMIFS(Data!$U:$U,Data!$A:$A,$B6,Data!$C:$C,O$1))</f>
        <v>5.6431666666666667</v>
      </c>
      <c r="P6" s="31">
        <f>IF(SUMIFS(Data!$U:$U,Data!$A:$A,$B6,Data!$C:$C,P$1)=0,"",SUMIFS(Data!$U:$U,Data!$A:$A,$B6,Data!$C:$C,P$1))</f>
        <v>5.5873333333333335</v>
      </c>
      <c r="Q6" s="31">
        <f>IF(SUMIFS(Data!$U:$U,Data!$A:$A,$B6,Data!$C:$C,Q$1)=0,"",SUMIFS(Data!$U:$U,Data!$A:$A,$B6,Data!$C:$C,Q$1))</f>
        <v>5.9521666666666668</v>
      </c>
      <c r="R6" s="31">
        <f>VLOOKUP(W6,Barem!$W$39:$X$54,2,0)</f>
        <v>0</v>
      </c>
      <c r="S6" s="31">
        <f>SUM(C6:R6)</f>
        <v>74.649166666666673</v>
      </c>
      <c r="T6" s="31">
        <f>SUMIFS(Data!D:D,Data!A:A,'#ligaSYR'!B2)</f>
        <v>393.19999999999993</v>
      </c>
      <c r="U6" s="1" t="str">
        <f>IF(VLOOKUP(B6,Participanti!A:D,4,0)=0," ","New")</f>
        <v xml:space="preserve"> </v>
      </c>
      <c r="W6" s="116">
        <f>SUMIFS(Data!Z:Z,Data!A:A,'#ligaSYR'!B6)</f>
        <v>0</v>
      </c>
      <c r="X6" s="116"/>
      <c r="AF6" s="1" t="str">
        <f>VLOOKUP(B6,Data_Echipe!A:R,18,0)</f>
        <v>Almost Kenyan Runners</v>
      </c>
    </row>
    <row r="7" spans="1:33" ht="13" x14ac:dyDescent="0.3">
      <c r="A7" s="79">
        <v>6</v>
      </c>
      <c r="B7" s="30" t="s">
        <v>341</v>
      </c>
      <c r="C7" s="31">
        <f>IF(SUMIFS(Data!$U:$U,Data!$A:$A,$B7,Data!$C:$C,C$1)=0,"",SUMIFS(Data!$U:$U,Data!$A:$A,$B7,Data!$C:$C,C$1))</f>
        <v>5.1166666666666671</v>
      </c>
      <c r="D7" s="31">
        <f>IF(SUMIFS(Data!$U:$U,Data!$A:$A,$B7,Data!$C:$C,D$1)=0,"",SUMIFS(Data!$U:$U,Data!$A:$A,$B7,Data!$C:$C,D$1))</f>
        <v>5.7293333333333329</v>
      </c>
      <c r="E7" s="31">
        <f>IF(SUMIFS(Data!$U:$U,Data!$A:$A,$B7,Data!$C:$C,E$1)=0,"",SUMIFS(Data!$U:$U,Data!$A:$A,$B7,Data!$C:$C,E$1))</f>
        <v>3.3049999999999997</v>
      </c>
      <c r="F7" s="31">
        <f>IF(SUMIFS(Data!$U:$U,Data!$A:$A,$B7,Data!$C:$C,F$1)=0,"",SUMIFS(Data!$U:$U,Data!$A:$A,$B7,Data!$C:$C,F$1))</f>
        <v>3.3064999999999998</v>
      </c>
      <c r="G7" s="31">
        <f>IF(SUMIFS(Data!$U:$U,Data!$A:$A,$B7,Data!$C:$C,G$1)=0,"",SUMIFS(Data!$U:$U,Data!$A:$A,$B7,Data!$C:$C,G$1))</f>
        <v>3.7131666666666669</v>
      </c>
      <c r="H7" s="31">
        <f>IF(SUMIFS(Data!$U:$U,Data!$A:$A,$B7,Data!$C:$C,H$1)=0,"",SUMIFS(Data!$U:$U,Data!$A:$A,$B7,Data!$C:$C,H$1))</f>
        <v>5.27</v>
      </c>
      <c r="I7" s="31">
        <f>IF(SUMIFS(Data!$U:$U,Data!$A:$A,$B7,Data!$C:$C,I$1)=0,"",SUMIFS(Data!$U:$U,Data!$A:$A,$B7,Data!$C:$C,I$1))</f>
        <v>6.3410714285714285</v>
      </c>
      <c r="J7" s="31">
        <f>IF(SUMIFS(Data!$U:$U,Data!$A:$A,$B7,Data!$C:$C,J$1)=0,"",SUMIFS(Data!$U:$U,Data!$A:$A,$B7,Data!$C:$C,J$1))</f>
        <v>4.5763333333333334</v>
      </c>
      <c r="K7" s="31">
        <f>IF(SUMIFS(Data!$U:$U,Data!$A:$A,$B7,Data!$C:$C,K$1)=0,"",SUMIFS(Data!$U:$U,Data!$A:$A,$B7,Data!$C:$C,K$1))</f>
        <v>3.3125</v>
      </c>
      <c r="L7" s="31">
        <f>IF(SUMIFS(Data!$U:$U,Data!$A:$A,$B7,Data!$C:$C,L$1)=0,"",SUMIFS(Data!$U:$U,Data!$A:$A,$B7,Data!$C:$C,L$1))</f>
        <v>5.633</v>
      </c>
      <c r="M7" s="31">
        <f>IF(SUMIFS(Data!$U:$U,Data!$A:$A,$B7,Data!$C:$C,M$1)=0,"",SUMIFS(Data!$U:$U,Data!$A:$A,$B7,Data!$C:$C,M$1))</f>
        <v>4.4339285714285719</v>
      </c>
      <c r="N7" s="31">
        <f>IF(SUMIFS(Data!$U:$U,Data!$A:$A,$B7,Data!$C:$C,N$1)=0,"",SUMIFS(Data!$U:$U,Data!$A:$A,$B7,Data!$C:$C,N$1))</f>
        <v>4.8053333333333335</v>
      </c>
      <c r="O7" s="31">
        <f>IF(SUMIFS(Data!$U:$U,Data!$A:$A,$B7,Data!$C:$C,O$1)=0,"",SUMIFS(Data!$U:$U,Data!$A:$A,$B7,Data!$C:$C,O$1))</f>
        <v>4.54</v>
      </c>
      <c r="P7" s="31">
        <f>IF(SUMIFS(Data!$U:$U,Data!$A:$A,$B7,Data!$C:$C,P$1)=0,"",SUMIFS(Data!$U:$U,Data!$A:$A,$B7,Data!$C:$C,P$1))</f>
        <v>4.9096666666666664</v>
      </c>
      <c r="Q7" s="31">
        <f>IF(SUMIFS(Data!$U:$U,Data!$A:$A,$B7,Data!$C:$C,Q$1)=0,"",SUMIFS(Data!$U:$U,Data!$A:$A,$B7,Data!$C:$C,Q$1))</f>
        <v>5.5654761904761907</v>
      </c>
      <c r="R7" s="31">
        <f>VLOOKUP(W7,Barem!$W$39:$X$54,2,0)</f>
        <v>4</v>
      </c>
      <c r="S7" s="31">
        <f>SUM(C7:R7)</f>
        <v>74.557976190476197</v>
      </c>
      <c r="T7" s="31">
        <f>SUMIFS(Data!D:D,Data!A:A,'#ligaSYR'!B4)</f>
        <v>514.9</v>
      </c>
      <c r="U7" s="1" t="str">
        <f>IF(VLOOKUP(B7,Participanti!A:D,4,0)=0," ","New")</f>
        <v>New</v>
      </c>
      <c r="W7" s="116">
        <f>SUMIFS(Data!Z:Z,Data!A:A,'#ligaSYR'!B7)</f>
        <v>12</v>
      </c>
      <c r="X7" s="116"/>
      <c r="AF7" s="1" t="str">
        <f>VLOOKUP(B7,Data_Echipe!A:R,18,0)</f>
        <v>The GOATs</v>
      </c>
    </row>
    <row r="8" spans="1:33" ht="13" x14ac:dyDescent="0.3">
      <c r="A8" s="79">
        <v>7</v>
      </c>
      <c r="B8" s="30" t="s">
        <v>108</v>
      </c>
      <c r="C8" s="31">
        <f>IF(SUMIFS(Data!$U:$U,Data!$A:$A,$B8,Data!$C:$C,C$1)=0,"",SUMIFS(Data!$U:$U,Data!$A:$A,$B8,Data!$C:$C,C$1))</f>
        <v>4.05</v>
      </c>
      <c r="D8" s="31">
        <f>IF(SUMIFS(Data!$U:$U,Data!$A:$A,$B8,Data!$C:$C,D$1)=0,"",SUMIFS(Data!$U:$U,Data!$A:$A,$B8,Data!$C:$C,D$1))</f>
        <v>6.7263333333333328</v>
      </c>
      <c r="E8" s="31">
        <f>IF(SUMIFS(Data!$U:$U,Data!$A:$A,$B8,Data!$C:$C,E$1)=0,"",SUMIFS(Data!$U:$U,Data!$A:$A,$B8,Data!$C:$C,E$1))</f>
        <v>3.8874285714285715</v>
      </c>
      <c r="F8" s="31">
        <f>IF(SUMIFS(Data!$U:$U,Data!$A:$A,$B8,Data!$C:$C,F$1)=0,"",SUMIFS(Data!$U:$U,Data!$A:$A,$B8,Data!$C:$C,F$1))</f>
        <v>3.1815476190476191</v>
      </c>
      <c r="G8" s="31">
        <f>IF(SUMIFS(Data!$U:$U,Data!$A:$A,$B8,Data!$C:$C,G$1)=0,"",SUMIFS(Data!$U:$U,Data!$A:$A,$B8,Data!$C:$C,G$1))</f>
        <v>2.9196428571428572</v>
      </c>
      <c r="H8" s="31">
        <f>IF(SUMIFS(Data!$U:$U,Data!$A:$A,$B8,Data!$C:$C,H$1)=0,"",SUMIFS(Data!$U:$U,Data!$A:$A,$B8,Data!$C:$C,H$1))</f>
        <v>4.2125000000000004</v>
      </c>
      <c r="I8" s="31">
        <f>IF(SUMIFS(Data!$U:$U,Data!$A:$A,$B8,Data!$C:$C,I$1)=0,"",SUMIFS(Data!$U:$U,Data!$A:$A,$B8,Data!$C:$C,I$1))</f>
        <v>4.2721666666666671</v>
      </c>
      <c r="J8" s="31">
        <f>IF(SUMIFS(Data!$U:$U,Data!$A:$A,$B8,Data!$C:$C,J$1)=0,"",SUMIFS(Data!$U:$U,Data!$A:$A,$B8,Data!$C:$C,J$1))</f>
        <v>6.5611666666666668</v>
      </c>
      <c r="K8" s="31">
        <f>IF(SUMIFS(Data!$U:$U,Data!$A:$A,$B8,Data!$C:$C,K$1)=0,"",SUMIFS(Data!$U:$U,Data!$A:$A,$B8,Data!$C:$C,K$1))</f>
        <v>2.7668095238095241</v>
      </c>
      <c r="L8" s="31">
        <f>IF(SUMIFS(Data!$U:$U,Data!$A:$A,$B8,Data!$C:$C,L$1)=0,"",SUMIFS(Data!$U:$U,Data!$A:$A,$B8,Data!$C:$C,L$1))</f>
        <v>2.9249999999999998</v>
      </c>
      <c r="M8" s="31">
        <f>IF(SUMIFS(Data!$U:$U,Data!$A:$A,$B8,Data!$C:$C,M$1)=0,"",SUMIFS(Data!$U:$U,Data!$A:$A,$B8,Data!$C:$C,M$1))</f>
        <v>2.9940476190476191</v>
      </c>
      <c r="N8" s="31">
        <f>IF(SUMIFS(Data!$U:$U,Data!$A:$A,$B8,Data!$C:$C,N$1)=0,"",SUMIFS(Data!$U:$U,Data!$A:$A,$B8,Data!$C:$C,N$1))</f>
        <v>9.8491666666666671</v>
      </c>
      <c r="O8" s="31">
        <f>IF(SUMIFS(Data!$U:$U,Data!$A:$A,$B8,Data!$C:$C,O$1)=0,"",SUMIFS(Data!$U:$U,Data!$A:$A,$B8,Data!$C:$C,O$1))</f>
        <v>3.8828333333333331</v>
      </c>
      <c r="P8" s="31">
        <f>IF(SUMIFS(Data!$U:$U,Data!$A:$A,$B8,Data!$C:$C,P$1)=0,"",SUMIFS(Data!$U:$U,Data!$A:$A,$B8,Data!$C:$C,P$1))</f>
        <v>5.1786666666666665</v>
      </c>
      <c r="Q8" s="31">
        <f>IF(SUMIFS(Data!$U:$U,Data!$A:$A,$B8,Data!$C:$C,Q$1)=0,"",SUMIFS(Data!$U:$U,Data!$A:$A,$B8,Data!$C:$C,Q$1))</f>
        <v>3.6723333333333334</v>
      </c>
      <c r="R8" s="31">
        <f>VLOOKUP(W8,Barem!$W$39:$X$54,2,0)</f>
        <v>4</v>
      </c>
      <c r="S8" s="31">
        <f>SUM(C8:R8)</f>
        <v>71.079642857142858</v>
      </c>
      <c r="T8" s="31">
        <f>SUMIFS(Data!D:D,Data!A:A,'#ligaSYR'!B5)</f>
        <v>631.07000000000005</v>
      </c>
      <c r="U8" s="1" t="str">
        <f>IF(VLOOKUP(B8,Participanti!A:D,4,0)=0," ","New")</f>
        <v xml:space="preserve"> </v>
      </c>
      <c r="W8" s="116">
        <f>SUMIFS(Data!Z:Z,Data!A:A,'#ligaSYR'!B8)</f>
        <v>12</v>
      </c>
      <c r="X8" s="116"/>
      <c r="AE8" s="1" t="str">
        <f>VLOOKUP(B8,Participanti!A:B,2,0)</f>
        <v>M</v>
      </c>
      <c r="AF8" s="1" t="str">
        <f>VLOOKUP(B8,Data_Echipe!A:R,18,0)</f>
        <v>UltraHaita lu' Borcan</v>
      </c>
    </row>
    <row r="9" spans="1:33" ht="13" x14ac:dyDescent="0.3">
      <c r="A9" s="79">
        <v>8</v>
      </c>
      <c r="B9" s="30" t="s">
        <v>51</v>
      </c>
      <c r="C9" s="31">
        <f>IF(SUMIFS(Data!$U:$U,Data!$A:$A,$B9,Data!$C:$C,C$1)=0,"",SUMIFS(Data!$U:$U,Data!$A:$A,$B9,Data!$C:$C,C$1))</f>
        <v>4.9391666666666669</v>
      </c>
      <c r="D9" s="31">
        <f>IF(SUMIFS(Data!$U:$U,Data!$A:$A,$B9,Data!$C:$C,D$1)=0,"",SUMIFS(Data!$U:$U,Data!$A:$A,$B9,Data!$C:$C,D$1))</f>
        <v>4.1906190476190472</v>
      </c>
      <c r="E9" s="31">
        <f>IF(SUMIFS(Data!$U:$U,Data!$A:$A,$B9,Data!$C:$C,E$1)=0,"",SUMIFS(Data!$U:$U,Data!$A:$A,$B9,Data!$C:$C,E$1))</f>
        <v>4.3885714285714279</v>
      </c>
      <c r="F9" s="31">
        <f>IF(SUMIFS(Data!$U:$U,Data!$A:$A,$B9,Data!$C:$C,F$1)=0,"",SUMIFS(Data!$U:$U,Data!$A:$A,$B9,Data!$C:$C,F$1))</f>
        <v>3.4886904761904765</v>
      </c>
      <c r="G9" s="31">
        <f>IF(SUMIFS(Data!$U:$U,Data!$A:$A,$B9,Data!$C:$C,G$1)=0,"",SUMIFS(Data!$U:$U,Data!$A:$A,$B9,Data!$C:$C,G$1))</f>
        <v>5.1035000000000004</v>
      </c>
      <c r="H9" s="31">
        <f>IF(SUMIFS(Data!$U:$U,Data!$A:$A,$B9,Data!$C:$C,H$1)=0,"",SUMIFS(Data!$U:$U,Data!$A:$A,$B9,Data!$C:$C,H$1))</f>
        <v>4.4865000000000004</v>
      </c>
      <c r="I9" s="31">
        <f>IF(SUMIFS(Data!$U:$U,Data!$A:$A,$B9,Data!$C:$C,I$1)=0,"",SUMIFS(Data!$U:$U,Data!$A:$A,$B9,Data!$C:$C,I$1))</f>
        <v>4.6859999999999999</v>
      </c>
      <c r="J9" s="31">
        <f>IF(SUMIFS(Data!$U:$U,Data!$A:$A,$B9,Data!$C:$C,J$1)=0,"",SUMIFS(Data!$U:$U,Data!$A:$A,$B9,Data!$C:$C,J$1))</f>
        <v>3.3988095238095237</v>
      </c>
      <c r="K9" s="31">
        <f>IF(SUMIFS(Data!$U:$U,Data!$A:$A,$B9,Data!$C:$C,K$1)=0,"",SUMIFS(Data!$U:$U,Data!$A:$A,$B9,Data!$C:$C,K$1))</f>
        <v>3.4737142857142853</v>
      </c>
      <c r="L9" s="31">
        <f>IF(SUMIFS(Data!$U:$U,Data!$A:$A,$B9,Data!$C:$C,L$1)=0,"",SUMIFS(Data!$U:$U,Data!$A:$A,$B9,Data!$C:$C,L$1))</f>
        <v>3.9702380952380953</v>
      </c>
      <c r="M9" s="31">
        <f>IF(SUMIFS(Data!$U:$U,Data!$A:$A,$B9,Data!$C:$C,M$1)=0,"",SUMIFS(Data!$U:$U,Data!$A:$A,$B9,Data!$C:$C,M$1))</f>
        <v>7.6048333333333336</v>
      </c>
      <c r="N9" s="31">
        <f>IF(SUMIFS(Data!$U:$U,Data!$A:$A,$B9,Data!$C:$C,N$1)=0,"",SUMIFS(Data!$U:$U,Data!$A:$A,$B9,Data!$C:$C,N$1))</f>
        <v>4.8678571428571429</v>
      </c>
      <c r="O9" s="31">
        <f>IF(SUMIFS(Data!$U:$U,Data!$A:$A,$B9,Data!$C:$C,O$1)=0,"",SUMIFS(Data!$U:$U,Data!$A:$A,$B9,Data!$C:$C,O$1))</f>
        <v>4.4365000000000006</v>
      </c>
      <c r="P9" s="31">
        <f>IF(SUMIFS(Data!$U:$U,Data!$A:$A,$B9,Data!$C:$C,P$1)=0,"",SUMIFS(Data!$U:$U,Data!$A:$A,$B9,Data!$C:$C,P$1))</f>
        <v>3.5860000000000003</v>
      </c>
      <c r="Q9" s="31">
        <f>IF(SUMIFS(Data!$U:$U,Data!$A:$A,$B9,Data!$C:$C,Q$1)=0,"",SUMIFS(Data!$U:$U,Data!$A:$A,$B9,Data!$C:$C,Q$1))</f>
        <v>3.4004761904761907</v>
      </c>
      <c r="R9" s="31">
        <f>VLOOKUP(W9,Barem!$W$39:$X$54,2,0)</f>
        <v>5</v>
      </c>
      <c r="S9" s="31">
        <f>SUM(C9:R9)</f>
        <v>71.021476190476193</v>
      </c>
      <c r="T9" s="31">
        <f>SUMIFS(Data!D:D,Data!A:A,'#ligaSYR'!B10)</f>
        <v>290.87</v>
      </c>
      <c r="U9" s="1" t="str">
        <f>IF(VLOOKUP(B9,Participanti!A:D,4,0)=0," ","New")</f>
        <v xml:space="preserve"> </v>
      </c>
      <c r="W9" s="116">
        <f>SUMIFS(Data!Z:Z,Data!A:A,'#ligaSYR'!B9)</f>
        <v>14</v>
      </c>
      <c r="X9" s="116"/>
      <c r="AE9" s="1" t="str">
        <f>VLOOKUP(B9,Participanti!A:B,2,0)</f>
        <v>M</v>
      </c>
      <c r="AF9" s="1" t="str">
        <f>VLOOKUP(B9,Data_Echipe!A:R,18,0)</f>
        <v>The GOATs</v>
      </c>
    </row>
    <row r="10" spans="1:33" ht="13" x14ac:dyDescent="0.3">
      <c r="A10" s="79">
        <v>9</v>
      </c>
      <c r="B10" s="30" t="s">
        <v>205</v>
      </c>
      <c r="C10" s="31">
        <f>IF(SUMIFS(Data!$U:$U,Data!$A:$A,$B10,Data!$C:$C,C$1)=0,"",SUMIFS(Data!$U:$U,Data!$A:$A,$B10,Data!$C:$C,C$1))</f>
        <v>3.6923809523809523</v>
      </c>
      <c r="D10" s="31">
        <f>IF(SUMIFS(Data!$U:$U,Data!$A:$A,$B10,Data!$C:$C,D$1)=0,"",SUMIFS(Data!$U:$U,Data!$A:$A,$B10,Data!$C:$C,D$1))</f>
        <v>3.1015238095238096</v>
      </c>
      <c r="E10" s="31">
        <f>IF(SUMIFS(Data!$U:$U,Data!$A:$A,$B10,Data!$C:$C,E$1)=0,"",SUMIFS(Data!$U:$U,Data!$A:$A,$B10,Data!$C:$C,E$1))</f>
        <v>4.3961666666666668</v>
      </c>
      <c r="F10" s="31">
        <f>IF(SUMIFS(Data!$U:$U,Data!$A:$A,$B10,Data!$C:$C,F$1)=0,"",SUMIFS(Data!$U:$U,Data!$A:$A,$B10,Data!$C:$C,F$1))</f>
        <v>3.6516190476190475</v>
      </c>
      <c r="G10" s="31">
        <f>IF(SUMIFS(Data!$U:$U,Data!$A:$A,$B10,Data!$C:$C,G$1)=0,"",SUMIFS(Data!$U:$U,Data!$A:$A,$B10,Data!$C:$C,G$1))</f>
        <v>4.450333333333333</v>
      </c>
      <c r="H10" s="31">
        <f>IF(SUMIFS(Data!$U:$U,Data!$A:$A,$B10,Data!$C:$C,H$1)=0,"",SUMIFS(Data!$U:$U,Data!$A:$A,$B10,Data!$C:$C,H$1))</f>
        <v>4.8643333333333327</v>
      </c>
      <c r="I10" s="31">
        <f>IF(SUMIFS(Data!$U:$U,Data!$A:$A,$B10,Data!$C:$C,I$1)=0,"",SUMIFS(Data!$U:$U,Data!$A:$A,$B10,Data!$C:$C,I$1))</f>
        <v>4.7945000000000002</v>
      </c>
      <c r="J10" s="31">
        <f>IF(SUMIFS(Data!$U:$U,Data!$A:$A,$B10,Data!$C:$C,J$1)=0,"",SUMIFS(Data!$U:$U,Data!$A:$A,$B10,Data!$C:$C,J$1))</f>
        <v>5.9779761904761903</v>
      </c>
      <c r="K10" s="31">
        <f>IF(SUMIFS(Data!$U:$U,Data!$A:$A,$B10,Data!$C:$C,K$1)=0,"",SUMIFS(Data!$U:$U,Data!$A:$A,$B10,Data!$C:$C,K$1))</f>
        <v>4.16</v>
      </c>
      <c r="L10" s="31">
        <f>IF(SUMIFS(Data!$U:$U,Data!$A:$A,$B10,Data!$C:$C,L$1)=0,"",SUMIFS(Data!$U:$U,Data!$A:$A,$B10,Data!$C:$C,L$1))</f>
        <v>4.0236666666666663</v>
      </c>
      <c r="M10" s="31">
        <f>IF(SUMIFS(Data!$U:$U,Data!$A:$A,$B10,Data!$C:$C,M$1)=0,"",SUMIFS(Data!$U:$U,Data!$A:$A,$B10,Data!$C:$C,M$1))</f>
        <v>4.3023333333333333</v>
      </c>
      <c r="N10" s="31">
        <f>IF(SUMIFS(Data!$U:$U,Data!$A:$A,$B10,Data!$C:$C,N$1)=0,"",SUMIFS(Data!$U:$U,Data!$A:$A,$B10,Data!$C:$C,N$1))</f>
        <v>4.6046666666666667</v>
      </c>
      <c r="O10" s="31">
        <f>IF(SUMIFS(Data!$U:$U,Data!$A:$A,$B10,Data!$C:$C,O$1)=0,"",SUMIFS(Data!$U:$U,Data!$A:$A,$B10,Data!$C:$C,O$1))</f>
        <v>5.9761904761904763</v>
      </c>
      <c r="P10" s="31">
        <f>IF(SUMIFS(Data!$U:$U,Data!$A:$A,$B10,Data!$C:$C,P$1)=0,"",SUMIFS(Data!$U:$U,Data!$A:$A,$B10,Data!$C:$C,P$1))</f>
        <v>4.5547619047619046</v>
      </c>
      <c r="Q10" s="31">
        <f>IF(SUMIFS(Data!$U:$U,Data!$A:$A,$B10,Data!$C:$C,Q$1)=0,"",SUMIFS(Data!$U:$U,Data!$A:$A,$B10,Data!$C:$C,Q$1))</f>
        <v>3.333619047619047</v>
      </c>
      <c r="R10" s="31">
        <f>VLOOKUP(W10,Barem!$W$39:$X$54,2,0)</f>
        <v>5</v>
      </c>
      <c r="S10" s="31">
        <f>SUM(C10:R10)</f>
        <v>70.884071428571417</v>
      </c>
      <c r="T10" s="31">
        <f>SUMIFS(Data!D:D,Data!A:A,'#ligaSYR'!B20)</f>
        <v>354.81</v>
      </c>
      <c r="U10" s="1" t="str">
        <f>IF(VLOOKUP(B10,Participanti!A:D,4,0)=0," ","New")</f>
        <v xml:space="preserve"> </v>
      </c>
      <c r="W10" s="116">
        <f>SUMIFS(Data!Z:Z,Data!A:A,'#ligaSYR'!B10)</f>
        <v>15</v>
      </c>
      <c r="X10" s="116"/>
      <c r="AE10" s="1" t="str">
        <f>VLOOKUP(B10,Participanti!A:B,2,0)</f>
        <v>M</v>
      </c>
      <c r="AF10" s="1" t="str">
        <f>VLOOKUP(B10,Data_Echipe!A:R,18,0)</f>
        <v>Almost Kenyan Runners</v>
      </c>
    </row>
    <row r="11" spans="1:33" ht="13" x14ac:dyDescent="0.3">
      <c r="A11" s="79">
        <v>10</v>
      </c>
      <c r="B11" s="30" t="s">
        <v>361</v>
      </c>
      <c r="C11" s="31">
        <f>IF(SUMIFS(Data!$U:$U,Data!$A:$A,$B11,Data!$C:$C,C$1)=0,"",SUMIFS(Data!$U:$U,Data!$A:$A,$B11,Data!$C:$C,C$1))</f>
        <v>5.0250000000000004</v>
      </c>
      <c r="D11" s="31">
        <f>IF(SUMIFS(Data!$U:$U,Data!$A:$A,$B11,Data!$C:$C,D$1)=0,"",SUMIFS(Data!$U:$U,Data!$A:$A,$B11,Data!$C:$C,D$1))</f>
        <v>4.6630000000000003</v>
      </c>
      <c r="E11" s="31">
        <f>IF(SUMIFS(Data!$U:$U,Data!$A:$A,$B11,Data!$C:$C,E$1)=0,"",SUMIFS(Data!$U:$U,Data!$A:$A,$B11,Data!$C:$C,E$1))</f>
        <v>5.3607142857142858</v>
      </c>
      <c r="F11" s="31">
        <f>IF(SUMIFS(Data!$U:$U,Data!$A:$A,$B11,Data!$C:$C,F$1)=0,"",SUMIFS(Data!$U:$U,Data!$A:$A,$B11,Data!$C:$C,F$1))</f>
        <v>4.5903333333333336</v>
      </c>
      <c r="G11" s="31">
        <f>IF(SUMIFS(Data!$U:$U,Data!$A:$A,$B11,Data!$C:$C,G$1)=0,"",SUMIFS(Data!$U:$U,Data!$A:$A,$B11,Data!$C:$C,G$1))</f>
        <v>3.625</v>
      </c>
      <c r="H11" s="31">
        <f>IF(SUMIFS(Data!$U:$U,Data!$A:$A,$B11,Data!$C:$C,H$1)=0,"",SUMIFS(Data!$U:$U,Data!$A:$A,$B11,Data!$C:$C,H$1))</f>
        <v>2.875</v>
      </c>
      <c r="I11" s="31">
        <f>IF(SUMIFS(Data!$U:$U,Data!$A:$A,$B11,Data!$C:$C,I$1)=0,"",SUMIFS(Data!$U:$U,Data!$A:$A,$B11,Data!$C:$C,I$1))</f>
        <v>4.3168333333333333</v>
      </c>
      <c r="J11" s="31">
        <f>IF(SUMIFS(Data!$U:$U,Data!$A:$A,$B11,Data!$C:$C,J$1)=0,"",SUMIFS(Data!$U:$U,Data!$A:$A,$B11,Data!$C:$C,J$1))</f>
        <v>5.0596666666666668</v>
      </c>
      <c r="K11" s="31">
        <f>IF(SUMIFS(Data!$U:$U,Data!$A:$A,$B11,Data!$C:$C,K$1)=0,"",SUMIFS(Data!$U:$U,Data!$A:$A,$B11,Data!$C:$C,K$1))</f>
        <v>4.9748333333333337</v>
      </c>
      <c r="L11" s="31">
        <f>IF(SUMIFS(Data!$U:$U,Data!$A:$A,$B11,Data!$C:$C,L$1)=0,"",SUMIFS(Data!$U:$U,Data!$A:$A,$B11,Data!$C:$C,L$1))</f>
        <v>4.5676666666666668</v>
      </c>
      <c r="M11" s="31" t="str">
        <f>IF(SUMIFS(Data!$U:$U,Data!$A:$A,$B11,Data!$C:$C,M$1)=0,"",SUMIFS(Data!$U:$U,Data!$A:$A,$B11,Data!$C:$C,M$1))</f>
        <v/>
      </c>
      <c r="N11" s="31">
        <f>IF(SUMIFS(Data!$U:$U,Data!$A:$A,$B11,Data!$C:$C,N$1)=0,"",SUMIFS(Data!$U:$U,Data!$A:$A,$B11,Data!$C:$C,N$1))</f>
        <v>11.152333333333335</v>
      </c>
      <c r="O11" s="31">
        <f>IF(SUMIFS(Data!$U:$U,Data!$A:$A,$B11,Data!$C:$C,O$1)=0,"",SUMIFS(Data!$U:$U,Data!$A:$A,$B11,Data!$C:$C,O$1))</f>
        <v>2.3250000000000002</v>
      </c>
      <c r="P11" s="31">
        <f>IF(SUMIFS(Data!$U:$U,Data!$A:$A,$B11,Data!$C:$C,P$1)=0,"",SUMIFS(Data!$U:$U,Data!$A:$A,$B11,Data!$C:$C,P$1))</f>
        <v>1.6577380952380953</v>
      </c>
      <c r="Q11" s="31">
        <f>IF(SUMIFS(Data!$U:$U,Data!$A:$A,$B11,Data!$C:$C,Q$1)=0,"",SUMIFS(Data!$U:$U,Data!$A:$A,$B11,Data!$C:$C,Q$1))</f>
        <v>3.6713333333333336</v>
      </c>
      <c r="R11" s="31">
        <f>VLOOKUP(W11,Barem!$W$39:$X$54,2,0)</f>
        <v>5</v>
      </c>
      <c r="S11" s="31">
        <f>SUM(C11:R11)</f>
        <v>68.8644523809524</v>
      </c>
      <c r="T11" s="31">
        <f>SUMIFS(Data!D:D,Data!A:A,'#ligaSYR'!B8)</f>
        <v>569.94000000000005</v>
      </c>
      <c r="U11" s="1" t="str">
        <f>IF(VLOOKUP(B11,Participanti!A:D,4,0)=0," ","New")</f>
        <v>New</v>
      </c>
      <c r="W11" s="116">
        <f>SUMIFS(Data!Z:Z,Data!A:A,'#ligaSYR'!B11)</f>
        <v>14</v>
      </c>
      <c r="X11" s="116"/>
      <c r="AF11" s="1" t="str">
        <f>VLOOKUP(B11,Data_Echipe!A:R,18,0)</f>
        <v>UltraHaita lu' Borcan</v>
      </c>
    </row>
    <row r="12" spans="1:33" ht="13" x14ac:dyDescent="0.3">
      <c r="A12" s="79">
        <v>11</v>
      </c>
      <c r="B12" s="30" t="s">
        <v>49</v>
      </c>
      <c r="C12" s="31">
        <f>IF(SUMIFS(Data!$U:$U,Data!$A:$A,$B12,Data!$C:$C,C$1)=0,"",SUMIFS(Data!$U:$U,Data!$A:$A,$B12,Data!$C:$C,C$1))</f>
        <v>3.0486666666666666</v>
      </c>
      <c r="D12" s="31">
        <f>IF(SUMIFS(Data!$U:$U,Data!$A:$A,$B12,Data!$C:$C,D$1)=0,"",SUMIFS(Data!$U:$U,Data!$A:$A,$B12,Data!$C:$C,D$1))</f>
        <v>4.0660714285714281</v>
      </c>
      <c r="E12" s="31">
        <f>IF(SUMIFS(Data!$U:$U,Data!$A:$A,$B12,Data!$C:$C,E$1)=0,"",SUMIFS(Data!$U:$U,Data!$A:$A,$B12,Data!$C:$C,E$1))</f>
        <v>5.1878333333333337</v>
      </c>
      <c r="F12" s="31">
        <f>IF(SUMIFS(Data!$U:$U,Data!$A:$A,$B12,Data!$C:$C,F$1)=0,"",SUMIFS(Data!$U:$U,Data!$A:$A,$B12,Data!$C:$C,F$1))</f>
        <v>4.3820000000000006</v>
      </c>
      <c r="G12" s="31">
        <f>IF(SUMIFS(Data!$U:$U,Data!$A:$A,$B12,Data!$C:$C,G$1)=0,"",SUMIFS(Data!$U:$U,Data!$A:$A,$B12,Data!$C:$C,G$1))</f>
        <v>4.6789999999999994</v>
      </c>
      <c r="H12" s="31">
        <f>IF(SUMIFS(Data!$U:$U,Data!$A:$A,$B12,Data!$C:$C,H$1)=0,"",SUMIFS(Data!$U:$U,Data!$A:$A,$B12,Data!$C:$C,H$1))</f>
        <v>3.9196666666666666</v>
      </c>
      <c r="I12" s="31">
        <f>IF(SUMIFS(Data!$U:$U,Data!$A:$A,$B12,Data!$C:$C,I$1)=0,"",SUMIFS(Data!$U:$U,Data!$A:$A,$B12,Data!$C:$C,I$1))</f>
        <v>4.9736666666666665</v>
      </c>
      <c r="J12" s="31">
        <f>IF(SUMIFS(Data!$U:$U,Data!$A:$A,$B12,Data!$C:$C,J$1)=0,"",SUMIFS(Data!$U:$U,Data!$A:$A,$B12,Data!$C:$C,J$1))</f>
        <v>6.2263333333333337</v>
      </c>
      <c r="K12" s="31">
        <f>IF(SUMIFS(Data!$U:$U,Data!$A:$A,$B12,Data!$C:$C,K$1)=0,"",SUMIFS(Data!$U:$U,Data!$A:$A,$B12,Data!$C:$C,K$1))</f>
        <v>4.5625</v>
      </c>
      <c r="L12" s="31">
        <f>IF(SUMIFS(Data!$U:$U,Data!$A:$A,$B12,Data!$C:$C,L$1)=0,"",SUMIFS(Data!$U:$U,Data!$A:$A,$B12,Data!$C:$C,L$1))</f>
        <v>4.4664999999999999</v>
      </c>
      <c r="M12" s="31">
        <f>IF(SUMIFS(Data!$U:$U,Data!$A:$A,$B12,Data!$C:$C,M$1)=0,"",SUMIFS(Data!$U:$U,Data!$A:$A,$B12,Data!$C:$C,M$1))</f>
        <v>4.5625</v>
      </c>
      <c r="N12" s="31">
        <f>IF(SUMIFS(Data!$U:$U,Data!$A:$A,$B12,Data!$C:$C,N$1)=0,"",SUMIFS(Data!$U:$U,Data!$A:$A,$B12,Data!$C:$C,N$1))</f>
        <v>3.7930000000000001</v>
      </c>
      <c r="O12" s="31">
        <f>IF(SUMIFS(Data!$U:$U,Data!$A:$A,$B12,Data!$C:$C,O$1)=0,"",SUMIFS(Data!$U:$U,Data!$A:$A,$B12,Data!$C:$C,O$1))</f>
        <v>3.4963571428571427</v>
      </c>
      <c r="P12" s="31">
        <f>IF(SUMIFS(Data!$U:$U,Data!$A:$A,$B12,Data!$C:$C,P$1)=0,"",SUMIFS(Data!$U:$U,Data!$A:$A,$B12,Data!$C:$C,P$1))</f>
        <v>4.4891666666666667</v>
      </c>
      <c r="Q12" s="31">
        <f>IF(SUMIFS(Data!$U:$U,Data!$A:$A,$B12,Data!$C:$C,Q$1)=0,"",SUMIFS(Data!$U:$U,Data!$A:$A,$B12,Data!$C:$C,Q$1))</f>
        <v>3.6345238095238095</v>
      </c>
      <c r="R12" s="31">
        <f>VLOOKUP(W12,Barem!$W$39:$X$54,2,0)</f>
        <v>3</v>
      </c>
      <c r="S12" s="31">
        <f>SUM(C12:R12)</f>
        <v>68.487785714285721</v>
      </c>
      <c r="T12" s="31">
        <f>SUMIFS(Data!D:D,Data!A:A,'#ligaSYR'!B18)</f>
        <v>256.05</v>
      </c>
      <c r="U12" s="1" t="str">
        <f>IF(VLOOKUP(B12,Participanti!A:D,4,0)=0," ","New")</f>
        <v xml:space="preserve"> </v>
      </c>
      <c r="W12" s="116">
        <f>SUMIFS(Data!Z:Z,Data!A:A,'#ligaSYR'!B12)</f>
        <v>10</v>
      </c>
      <c r="X12" s="116"/>
      <c r="AF12" s="1" t="str">
        <f>VLOOKUP(B12,Data_Echipe!A:R,18,0)</f>
        <v>The GOATs</v>
      </c>
    </row>
    <row r="13" spans="1:33" ht="13" x14ac:dyDescent="0.3">
      <c r="A13" s="79">
        <v>12</v>
      </c>
      <c r="B13" s="30" t="s">
        <v>346</v>
      </c>
      <c r="C13" s="31">
        <f>IF(SUMIFS(Data!$U:$U,Data!$A:$A,$B13,Data!$C:$C,C$1)=0,"",SUMIFS(Data!$U:$U,Data!$A:$A,$B13,Data!$C:$C,C$1))</f>
        <v>4.0068333333333328</v>
      </c>
      <c r="D13" s="31">
        <f>IF(SUMIFS(Data!$U:$U,Data!$A:$A,$B13,Data!$C:$C,D$1)=0,"",SUMIFS(Data!$U:$U,Data!$A:$A,$B13,Data!$C:$C,D$1))</f>
        <v>5.9868333333333332</v>
      </c>
      <c r="E13" s="31">
        <f>IF(SUMIFS(Data!$U:$U,Data!$A:$A,$B13,Data!$C:$C,E$1)=0,"",SUMIFS(Data!$U:$U,Data!$A:$A,$B13,Data!$C:$C,E$1))</f>
        <v>4.4443333333333328</v>
      </c>
      <c r="F13" s="31">
        <f>IF(SUMIFS(Data!$U:$U,Data!$A:$A,$B13,Data!$C:$C,F$1)=0,"",SUMIFS(Data!$U:$U,Data!$A:$A,$B13,Data!$C:$C,F$1))</f>
        <v>4.2661666666666669</v>
      </c>
      <c r="G13" s="31">
        <f>IF(SUMIFS(Data!$U:$U,Data!$A:$A,$B13,Data!$C:$C,G$1)=0,"",SUMIFS(Data!$U:$U,Data!$A:$A,$B13,Data!$C:$C,G$1))</f>
        <v>7.200333333333333</v>
      </c>
      <c r="H13" s="31">
        <f>IF(SUMIFS(Data!$U:$U,Data!$A:$A,$B13,Data!$C:$C,H$1)=0,"",SUMIFS(Data!$U:$U,Data!$A:$A,$B13,Data!$C:$C,H$1))</f>
        <v>2.9422619047619047</v>
      </c>
      <c r="I13" s="31">
        <f>IF(SUMIFS(Data!$U:$U,Data!$A:$A,$B13,Data!$C:$C,I$1)=0,"",SUMIFS(Data!$U:$U,Data!$A:$A,$B13,Data!$C:$C,I$1))</f>
        <v>2.3132380952380953</v>
      </c>
      <c r="J13" s="31">
        <f>IF(SUMIFS(Data!$U:$U,Data!$A:$A,$B13,Data!$C:$C,J$1)=0,"",SUMIFS(Data!$U:$U,Data!$A:$A,$B13,Data!$C:$C,J$1))</f>
        <v>5.6556666666666668</v>
      </c>
      <c r="K13" s="31">
        <f>IF(SUMIFS(Data!$U:$U,Data!$A:$A,$B13,Data!$C:$C,K$1)=0,"",SUMIFS(Data!$U:$U,Data!$A:$A,$B13,Data!$C:$C,K$1))</f>
        <v>3.5089047619047622</v>
      </c>
      <c r="L13" s="31">
        <f>IF(SUMIFS(Data!$U:$U,Data!$A:$A,$B13,Data!$C:$C,L$1)=0,"",SUMIFS(Data!$U:$U,Data!$A:$A,$B13,Data!$C:$C,L$1))</f>
        <v>3.375</v>
      </c>
      <c r="M13" s="31">
        <f>IF(SUMIFS(Data!$U:$U,Data!$A:$A,$B13,Data!$C:$C,M$1)=0,"",SUMIFS(Data!$U:$U,Data!$A:$A,$B13,Data!$C:$C,M$1))</f>
        <v>6.0305</v>
      </c>
      <c r="N13" s="31">
        <f>IF(SUMIFS(Data!$U:$U,Data!$A:$A,$B13,Data!$C:$C,N$1)=0,"",SUMIFS(Data!$U:$U,Data!$A:$A,$B13,Data!$C:$C,N$1))</f>
        <v>3.5791666666666671</v>
      </c>
      <c r="O13" s="31">
        <f>IF(SUMIFS(Data!$U:$U,Data!$A:$A,$B13,Data!$C:$C,O$1)=0,"",SUMIFS(Data!$U:$U,Data!$A:$A,$B13,Data!$C:$C,O$1))</f>
        <v>2.6628333333333334</v>
      </c>
      <c r="P13" s="31" t="str">
        <f>IF(SUMIFS(Data!$U:$U,Data!$A:$A,$B13,Data!$C:$C,P$1)=0,"",SUMIFS(Data!$U:$U,Data!$A:$A,$B13,Data!$C:$C,P$1))</f>
        <v/>
      </c>
      <c r="Q13" s="31">
        <f>IF(SUMIFS(Data!$U:$U,Data!$A:$A,$B13,Data!$C:$C,Q$1)=0,"",SUMIFS(Data!$U:$U,Data!$A:$A,$B13,Data!$C:$C,Q$1))</f>
        <v>6.9206666666666674</v>
      </c>
      <c r="R13" s="31">
        <f>VLOOKUP(W13,Barem!$W$39:$X$54,2,0)</f>
        <v>4</v>
      </c>
      <c r="S13" s="31">
        <f>SUM(C13:R13)</f>
        <v>66.892738095238087</v>
      </c>
      <c r="T13" s="31">
        <f>SUMIFS(Data!D:D,Data!A:A,'#ligaSYR'!B6)</f>
        <v>585.89999999999986</v>
      </c>
      <c r="U13" s="1" t="str">
        <f>IF(VLOOKUP(B13,Participanti!A:D,4,0)=0," ","New")</f>
        <v>New</v>
      </c>
      <c r="W13" s="116">
        <f>SUMIFS(Data!Z:Z,Data!A:A,'#ligaSYR'!B13)</f>
        <v>12</v>
      </c>
      <c r="X13" s="116"/>
      <c r="AF13" s="1" t="str">
        <f>VLOOKUP(B13,Data_Echipe!A:R,18,0)</f>
        <v>UltraHaita lu' Borcan</v>
      </c>
    </row>
    <row r="14" spans="1:33" ht="13" x14ac:dyDescent="0.3">
      <c r="A14" s="79">
        <v>13</v>
      </c>
      <c r="B14" s="30" t="s">
        <v>366</v>
      </c>
      <c r="C14" s="31">
        <f>IF(SUMIFS(Data!$U:$U,Data!$A:$A,$B14,Data!$C:$C,C$1)=0,"",SUMIFS(Data!$U:$U,Data!$A:$A,$B14,Data!$C:$C,C$1))</f>
        <v>3.5255952380952378</v>
      </c>
      <c r="D14" s="31">
        <f>IF(SUMIFS(Data!$U:$U,Data!$A:$A,$B14,Data!$C:$C,D$1)=0,"",SUMIFS(Data!$U:$U,Data!$A:$A,$B14,Data!$C:$C,D$1))</f>
        <v>4.1676666666666664</v>
      </c>
      <c r="E14" s="31">
        <f>IF(SUMIFS(Data!$U:$U,Data!$A:$A,$B14,Data!$C:$C,E$1)=0,"",SUMIFS(Data!$U:$U,Data!$A:$A,$B14,Data!$C:$C,E$1))</f>
        <v>3.644047619047619</v>
      </c>
      <c r="F14" s="31">
        <f>IF(SUMIFS(Data!$U:$U,Data!$A:$A,$B14,Data!$C:$C,F$1)=0,"",SUMIFS(Data!$U:$U,Data!$A:$A,$B14,Data!$C:$C,F$1))</f>
        <v>4.3776666666666673</v>
      </c>
      <c r="G14" s="31">
        <f>IF(SUMIFS(Data!$U:$U,Data!$A:$A,$B14,Data!$C:$C,G$1)=0,"",SUMIFS(Data!$U:$U,Data!$A:$A,$B14,Data!$C:$C,G$1))</f>
        <v>3.375</v>
      </c>
      <c r="H14" s="31">
        <f>IF(SUMIFS(Data!$U:$U,Data!$A:$A,$B14,Data!$C:$C,H$1)=0,"",SUMIFS(Data!$U:$U,Data!$A:$A,$B14,Data!$C:$C,H$1))</f>
        <v>3.6890000000000001</v>
      </c>
      <c r="I14" s="31">
        <f>IF(SUMIFS(Data!$U:$U,Data!$A:$A,$B14,Data!$C:$C,I$1)=0,"",SUMIFS(Data!$U:$U,Data!$A:$A,$B14,Data!$C:$C,I$1))</f>
        <v>4.3321428571428573</v>
      </c>
      <c r="J14" s="31">
        <f>IF(SUMIFS(Data!$U:$U,Data!$A:$A,$B14,Data!$C:$C,J$1)=0,"",SUMIFS(Data!$U:$U,Data!$A:$A,$B14,Data!$C:$C,J$1))</f>
        <v>3.9410714285714286</v>
      </c>
      <c r="K14" s="31">
        <f>IF(SUMIFS(Data!$U:$U,Data!$A:$A,$B14,Data!$C:$C,K$1)=0,"",SUMIFS(Data!$U:$U,Data!$A:$A,$B14,Data!$C:$C,K$1))</f>
        <v>4.3053333333333335</v>
      </c>
      <c r="L14" s="31">
        <f>IF(SUMIFS(Data!$U:$U,Data!$A:$A,$B14,Data!$C:$C,L$1)=0,"",SUMIFS(Data!$U:$U,Data!$A:$A,$B14,Data!$C:$C,L$1))</f>
        <v>4.4870000000000001</v>
      </c>
      <c r="M14" s="31">
        <f>IF(SUMIFS(Data!$U:$U,Data!$A:$A,$B14,Data!$C:$C,M$1)=0,"",SUMIFS(Data!$U:$U,Data!$A:$A,$B14,Data!$C:$C,M$1))</f>
        <v>3.9089999999999998</v>
      </c>
      <c r="N14" s="31">
        <f>IF(SUMIFS(Data!$U:$U,Data!$A:$A,$B14,Data!$C:$C,N$1)=0,"",SUMIFS(Data!$U:$U,Data!$A:$A,$B14,Data!$C:$C,N$1))</f>
        <v>5.2408333333333337</v>
      </c>
      <c r="O14" s="31">
        <f>IF(SUMIFS(Data!$U:$U,Data!$A:$A,$B14,Data!$C:$C,O$1)=0,"",SUMIFS(Data!$U:$U,Data!$A:$A,$B14,Data!$C:$C,O$1))</f>
        <v>3.8467619047619048</v>
      </c>
      <c r="P14" s="31">
        <f>IF(SUMIFS(Data!$U:$U,Data!$A:$A,$B14,Data!$C:$C,P$1)=0,"",SUMIFS(Data!$U:$U,Data!$A:$A,$B14,Data!$C:$C,P$1))</f>
        <v>4.5803571428571423</v>
      </c>
      <c r="Q14" s="31">
        <f>IF(SUMIFS(Data!$U:$U,Data!$A:$A,$B14,Data!$C:$C,Q$1)=0,"",SUMIFS(Data!$U:$U,Data!$A:$A,$B14,Data!$C:$C,Q$1))</f>
        <v>3.9976190476190472</v>
      </c>
      <c r="R14" s="31">
        <f>VLOOKUP(W14,Barem!$W$39:$X$54,2,0)</f>
        <v>5</v>
      </c>
      <c r="S14" s="31">
        <f>SUM(C14:R14)</f>
        <v>66.419095238095252</v>
      </c>
      <c r="T14" s="31">
        <f>SUMIFS(Data!D:D,Data!A:A,'#ligaSYR'!B16)</f>
        <v>191.81</v>
      </c>
      <c r="U14" s="1" t="str">
        <f>IF(VLOOKUP(B14,Participanti!A:D,4,0)=0," ","New")</f>
        <v>New</v>
      </c>
      <c r="W14" s="116">
        <f>SUMIFS(Data!Z:Z,Data!A:A,'#ligaSYR'!B14)</f>
        <v>15</v>
      </c>
      <c r="X14" s="116"/>
      <c r="AE14" s="1" t="str">
        <f>VLOOKUP(B14,Participanti!A:B,2,0)</f>
        <v>M</v>
      </c>
      <c r="AF14" s="1" t="str">
        <f>VLOOKUP(B14,Data_Echipe!A:R,18,0)</f>
        <v>The GOATs</v>
      </c>
    </row>
    <row r="15" spans="1:33" ht="13" x14ac:dyDescent="0.3">
      <c r="A15" s="79">
        <v>14</v>
      </c>
      <c r="B15" s="30" t="s">
        <v>225</v>
      </c>
      <c r="C15" s="31">
        <f>IF(SUMIFS(Data!$U:$U,Data!$A:$A,$B15,Data!$C:$C,C$1)=0,"",SUMIFS(Data!$U:$U,Data!$A:$A,$B15,Data!$C:$C,C$1))</f>
        <v>4.3858333333333333</v>
      </c>
      <c r="D15" s="31">
        <f>IF(SUMIFS(Data!$U:$U,Data!$A:$A,$B15,Data!$C:$C,D$1)=0,"",SUMIFS(Data!$U:$U,Data!$A:$A,$B15,Data!$C:$C,D$1))</f>
        <v>4.5</v>
      </c>
      <c r="E15" s="31">
        <f>IF(SUMIFS(Data!$U:$U,Data!$A:$A,$B15,Data!$C:$C,E$1)=0,"",SUMIFS(Data!$U:$U,Data!$A:$A,$B15,Data!$C:$C,E$1))</f>
        <v>4.3220000000000001</v>
      </c>
      <c r="F15" s="31">
        <f>IF(SUMIFS(Data!$U:$U,Data!$A:$A,$B15,Data!$C:$C,F$1)=0,"",SUMIFS(Data!$U:$U,Data!$A:$A,$B15,Data!$C:$C,F$1))</f>
        <v>4</v>
      </c>
      <c r="G15" s="31">
        <f>IF(SUMIFS(Data!$U:$U,Data!$A:$A,$B15,Data!$C:$C,G$1)=0,"",SUMIFS(Data!$U:$U,Data!$A:$A,$B15,Data!$C:$C,G$1))</f>
        <v>4.2178333333333331</v>
      </c>
      <c r="H15" s="31">
        <f>IF(SUMIFS(Data!$U:$U,Data!$A:$A,$B15,Data!$C:$C,H$1)=0,"",SUMIFS(Data!$U:$U,Data!$A:$A,$B15,Data!$C:$C,H$1))</f>
        <v>4.3012916666666667</v>
      </c>
      <c r="I15" s="31">
        <f>IF(SUMIFS(Data!$U:$U,Data!$A:$A,$B15,Data!$C:$C,I$1)=0,"",SUMIFS(Data!$U:$U,Data!$A:$A,$B15,Data!$C:$C,I$1))</f>
        <v>3.8595833333333331</v>
      </c>
      <c r="J15" s="31">
        <f>IF(SUMIFS(Data!$U:$U,Data!$A:$A,$B15,Data!$C:$C,J$1)=0,"",SUMIFS(Data!$U:$U,Data!$A:$A,$B15,Data!$C:$C,J$1))</f>
        <v>4.3538333333333332</v>
      </c>
      <c r="K15" s="31">
        <f>IF(SUMIFS(Data!$U:$U,Data!$A:$A,$B15,Data!$C:$C,K$1)=0,"",SUMIFS(Data!$U:$U,Data!$A:$A,$B15,Data!$C:$C,K$1))</f>
        <v>3.7814166666666669</v>
      </c>
      <c r="L15" s="31">
        <f>IF(SUMIFS(Data!$U:$U,Data!$A:$A,$B15,Data!$C:$C,L$1)=0,"",SUMIFS(Data!$U:$U,Data!$A:$A,$B15,Data!$C:$C,L$1))</f>
        <v>4.3583333333333325</v>
      </c>
      <c r="M15" s="31">
        <f>IF(SUMIFS(Data!$U:$U,Data!$A:$A,$B15,Data!$C:$C,M$1)=0,"",SUMIFS(Data!$U:$U,Data!$A:$A,$B15,Data!$C:$C,M$1))</f>
        <v>4.2214999999999998</v>
      </c>
      <c r="N15" s="31">
        <f>IF(SUMIFS(Data!$U:$U,Data!$A:$A,$B15,Data!$C:$C,N$1)=0,"",SUMIFS(Data!$U:$U,Data!$A:$A,$B15,Data!$C:$C,N$1))</f>
        <v>4.1897500000000001</v>
      </c>
      <c r="O15" s="31">
        <f>IF(SUMIFS(Data!$U:$U,Data!$A:$A,$B15,Data!$C:$C,O$1)=0,"",SUMIFS(Data!$U:$U,Data!$A:$A,$B15,Data!$C:$C,O$1))</f>
        <v>2.9681250000000001</v>
      </c>
      <c r="P15" s="31">
        <f>IF(SUMIFS(Data!$U:$U,Data!$A:$A,$B15,Data!$C:$C,P$1)=0,"",SUMIFS(Data!$U:$U,Data!$A:$A,$B15,Data!$C:$C,P$1))</f>
        <v>3.2712500000000002</v>
      </c>
      <c r="Q15" s="31">
        <f>IF(SUMIFS(Data!$U:$U,Data!$A:$A,$B15,Data!$C:$C,Q$1)=0,"",SUMIFS(Data!$U:$U,Data!$A:$A,$B15,Data!$C:$C,Q$1))</f>
        <v>2.4812500000000002</v>
      </c>
      <c r="R15" s="31">
        <f>VLOOKUP(W15,Barem!$W$39:$X$54,2,0)</f>
        <v>5</v>
      </c>
      <c r="S15" s="31">
        <f>SUM(C15:R15)</f>
        <v>64.211999999999989</v>
      </c>
      <c r="T15" s="31">
        <f>SUMIFS(Data!D:D,Data!A:A,'#ligaSYR'!B11)</f>
        <v>652.92000000000007</v>
      </c>
      <c r="U15" s="1" t="str">
        <f>IF(VLOOKUP(B15,Participanti!A:D,4,0)=0," ","New")</f>
        <v xml:space="preserve"> </v>
      </c>
      <c r="W15" s="116">
        <f>SUMIFS(Data!Z:Z,Data!A:A,'#ligaSYR'!B15)</f>
        <v>15</v>
      </c>
      <c r="X15" s="116"/>
      <c r="AF15" s="1" t="str">
        <f>VLOOKUP(B15,Data_Echipe!A:R,18,0)</f>
        <v>The GOATs</v>
      </c>
    </row>
    <row r="16" spans="1:33" ht="13" x14ac:dyDescent="0.3">
      <c r="A16" s="79">
        <v>15</v>
      </c>
      <c r="B16" s="30" t="s">
        <v>203</v>
      </c>
      <c r="C16" s="31">
        <f>IF(SUMIFS(Data!$U:$U,Data!$A:$A,$B16,Data!$C:$C,C$1)=0,"",SUMIFS(Data!$U:$U,Data!$A:$A,$B16,Data!$C:$C,C$1))</f>
        <v>3.1716666666666669</v>
      </c>
      <c r="D16" s="31">
        <f>IF(SUMIFS(Data!$U:$U,Data!$A:$A,$B16,Data!$C:$C,D$1)=0,"",SUMIFS(Data!$U:$U,Data!$A:$A,$B16,Data!$C:$C,D$1))</f>
        <v>3.9375</v>
      </c>
      <c r="E16" s="31">
        <f>IF(SUMIFS(Data!$U:$U,Data!$A:$A,$B16,Data!$C:$C,E$1)=0,"",SUMIFS(Data!$U:$U,Data!$A:$A,$B16,Data!$C:$C,E$1))</f>
        <v>4.3698333333333332</v>
      </c>
      <c r="F16" s="31">
        <f>IF(SUMIFS(Data!$U:$U,Data!$A:$A,$B16,Data!$C:$C,F$1)=0,"",SUMIFS(Data!$U:$U,Data!$A:$A,$B16,Data!$C:$C,F$1))</f>
        <v>3.424404761904762</v>
      </c>
      <c r="G16" s="31">
        <f>IF(SUMIFS(Data!$U:$U,Data!$A:$A,$B16,Data!$C:$C,G$1)=0,"",SUMIFS(Data!$U:$U,Data!$A:$A,$B16,Data!$C:$C,G$1))</f>
        <v>4.6230000000000002</v>
      </c>
      <c r="H16" s="31">
        <f>IF(SUMIFS(Data!$U:$U,Data!$A:$A,$B16,Data!$C:$C,H$1)=0,"",SUMIFS(Data!$U:$U,Data!$A:$A,$B16,Data!$C:$C,H$1))</f>
        <v>3.875</v>
      </c>
      <c r="I16" s="31">
        <f>IF(SUMIFS(Data!$U:$U,Data!$A:$A,$B16,Data!$C:$C,I$1)=0,"",SUMIFS(Data!$U:$U,Data!$A:$A,$B16,Data!$C:$C,I$1))</f>
        <v>3.2422619047619046</v>
      </c>
      <c r="J16" s="31">
        <f>IF(SUMIFS(Data!$U:$U,Data!$A:$A,$B16,Data!$C:$C,J$1)=0,"",SUMIFS(Data!$U:$U,Data!$A:$A,$B16,Data!$C:$C,J$1))</f>
        <v>3.25</v>
      </c>
      <c r="K16" s="31">
        <f>IF(SUMIFS(Data!$U:$U,Data!$A:$A,$B16,Data!$C:$C,K$1)=0,"",SUMIFS(Data!$U:$U,Data!$A:$A,$B16,Data!$C:$C,K$1))</f>
        <v>2.6055000000000001</v>
      </c>
      <c r="L16" s="31">
        <f>IF(SUMIFS(Data!$U:$U,Data!$A:$A,$B16,Data!$C:$C,L$1)=0,"",SUMIFS(Data!$U:$U,Data!$A:$A,$B16,Data!$C:$C,L$1))</f>
        <v>3.2068571428571429</v>
      </c>
      <c r="M16" s="31">
        <f>IF(SUMIFS(Data!$U:$U,Data!$A:$A,$B16,Data!$C:$C,M$1)=0,"",SUMIFS(Data!$U:$U,Data!$A:$A,$B16,Data!$C:$C,M$1))</f>
        <v>3.8595238095238096</v>
      </c>
      <c r="N16" s="31">
        <f>IF(SUMIFS(Data!$U:$U,Data!$A:$A,$B16,Data!$C:$C,N$1)=0,"",SUMIFS(Data!$U:$U,Data!$A:$A,$B16,Data!$C:$C,N$1))</f>
        <v>3.3517857142857141</v>
      </c>
      <c r="O16" s="31">
        <f>IF(SUMIFS(Data!$U:$U,Data!$A:$A,$B16,Data!$C:$C,O$1)=0,"",SUMIFS(Data!$U:$U,Data!$A:$A,$B16,Data!$C:$C,O$1))</f>
        <v>3.7208333333333332</v>
      </c>
      <c r="P16" s="31">
        <f>IF(SUMIFS(Data!$U:$U,Data!$A:$A,$B16,Data!$C:$C,P$1)=0,"",SUMIFS(Data!$U:$U,Data!$A:$A,$B16,Data!$C:$C,P$1))</f>
        <v>2.8166666666666664</v>
      </c>
      <c r="Q16" s="31">
        <f>IF(SUMIFS(Data!$U:$U,Data!$A:$A,$B16,Data!$C:$C,Q$1)=0,"",SUMIFS(Data!$U:$U,Data!$A:$A,$B16,Data!$C:$C,Q$1))</f>
        <v>4.5</v>
      </c>
      <c r="R16" s="31">
        <f>VLOOKUP(W16,Barem!$W$39:$X$54,2,0)</f>
        <v>5</v>
      </c>
      <c r="S16" s="31">
        <f>SUM(C16:R16)</f>
        <v>58.954833333333326</v>
      </c>
      <c r="T16" s="31">
        <f>SUMIFS(Data!D:D,Data!A:A,'#ligaSYR'!B19)</f>
        <v>342.47</v>
      </c>
      <c r="U16" s="1" t="str">
        <f>IF(VLOOKUP(B16,Participanti!A:D,4,0)=0," ","New")</f>
        <v xml:space="preserve"> </v>
      </c>
      <c r="W16" s="116">
        <f>SUMIFS(Data!Z:Z,Data!A:A,'#ligaSYR'!B16)</f>
        <v>15</v>
      </c>
      <c r="X16" s="116"/>
      <c r="AF16" s="1" t="str">
        <f>VLOOKUP(B16,Data_Echipe!A:R,18,0)</f>
        <v>The GOATs</v>
      </c>
    </row>
    <row r="17" spans="1:32" ht="13" x14ac:dyDescent="0.3">
      <c r="A17" s="79">
        <v>16</v>
      </c>
      <c r="B17" s="30" t="s">
        <v>353</v>
      </c>
      <c r="C17" s="31">
        <f>IF(SUMIFS(Data!$U:$U,Data!$A:$A,$B17,Data!$C:$C,C$1)=0,"",SUMIFS(Data!$U:$U,Data!$A:$A,$B17,Data!$C:$C,C$1))</f>
        <v>3.8250000000000002</v>
      </c>
      <c r="D17" s="31">
        <f>IF(SUMIFS(Data!$U:$U,Data!$A:$A,$B17,Data!$C:$C,D$1)=0,"",SUMIFS(Data!$U:$U,Data!$A:$A,$B17,Data!$C:$C,D$1))</f>
        <v>2.2571428571428571</v>
      </c>
      <c r="E17" s="31">
        <f>IF(SUMIFS(Data!$U:$U,Data!$A:$A,$B17,Data!$C:$C,E$1)=0,"",SUMIFS(Data!$U:$U,Data!$A:$A,$B17,Data!$C:$C,E$1))</f>
        <v>2.4125000000000001</v>
      </c>
      <c r="F17" s="31">
        <f>IF(SUMIFS(Data!$U:$U,Data!$A:$A,$B17,Data!$C:$C,F$1)=0,"",SUMIFS(Data!$U:$U,Data!$A:$A,$B17,Data!$C:$C,F$1))</f>
        <v>3.5750000000000002</v>
      </c>
      <c r="G17" s="31">
        <f>IF(SUMIFS(Data!$U:$U,Data!$A:$A,$B17,Data!$C:$C,G$1)=0,"",SUMIFS(Data!$U:$U,Data!$A:$A,$B17,Data!$C:$C,G$1))</f>
        <v>3.8624999999999998</v>
      </c>
      <c r="H17" s="31">
        <f>IF(SUMIFS(Data!$U:$U,Data!$A:$A,$B17,Data!$C:$C,H$1)=0,"",SUMIFS(Data!$U:$U,Data!$A:$A,$B17,Data!$C:$C,H$1))</f>
        <v>3.9249999999999998</v>
      </c>
      <c r="I17" s="31">
        <f>IF(SUMIFS(Data!$U:$U,Data!$A:$A,$B17,Data!$C:$C,I$1)=0,"",SUMIFS(Data!$U:$U,Data!$A:$A,$B17,Data!$C:$C,I$1))</f>
        <v>4.5831666666666671</v>
      </c>
      <c r="J17" s="31">
        <f>IF(SUMIFS(Data!$U:$U,Data!$A:$A,$B17,Data!$C:$C,J$1)=0,"",SUMIFS(Data!$U:$U,Data!$A:$A,$B17,Data!$C:$C,J$1))</f>
        <v>2.9249999999999998</v>
      </c>
      <c r="K17" s="31">
        <f>IF(SUMIFS(Data!$U:$U,Data!$A:$A,$B17,Data!$C:$C,K$1)=0,"",SUMIFS(Data!$U:$U,Data!$A:$A,$B17,Data!$C:$C,K$1))</f>
        <v>3.363666666666667</v>
      </c>
      <c r="L17" s="31">
        <f>IF(SUMIFS(Data!$U:$U,Data!$A:$A,$B17,Data!$C:$C,L$1)=0,"",SUMIFS(Data!$U:$U,Data!$A:$A,$B17,Data!$C:$C,L$1))</f>
        <v>3.0375000000000001</v>
      </c>
      <c r="M17" s="31">
        <f>IF(SUMIFS(Data!$U:$U,Data!$A:$A,$B17,Data!$C:$C,M$1)=0,"",SUMIFS(Data!$U:$U,Data!$A:$A,$B17,Data!$C:$C,M$1))</f>
        <v>3.9375</v>
      </c>
      <c r="N17" s="31">
        <f>IF(SUMIFS(Data!$U:$U,Data!$A:$A,$B17,Data!$C:$C,N$1)=0,"",SUMIFS(Data!$U:$U,Data!$A:$A,$B17,Data!$C:$C,N$1))</f>
        <v>4.0268333333333333</v>
      </c>
      <c r="O17" s="31">
        <f>IF(SUMIFS(Data!$U:$U,Data!$A:$A,$B17,Data!$C:$C,O$1)=0,"",SUMIFS(Data!$U:$U,Data!$A:$A,$B17,Data!$C:$C,O$1))</f>
        <v>3.5750000000000002</v>
      </c>
      <c r="P17" s="31">
        <f>IF(SUMIFS(Data!$U:$U,Data!$A:$A,$B17,Data!$C:$C,P$1)=0,"",SUMIFS(Data!$U:$U,Data!$A:$A,$B17,Data!$C:$C,P$1))</f>
        <v>2.875</v>
      </c>
      <c r="Q17" s="31">
        <f>IF(SUMIFS(Data!$U:$U,Data!$A:$A,$B17,Data!$C:$C,Q$1)=0,"",SUMIFS(Data!$U:$U,Data!$A:$A,$B17,Data!$C:$C,Q$1))</f>
        <v>4.1511666666666667</v>
      </c>
      <c r="R17" s="31">
        <f>VLOOKUP(W17,Barem!$W$39:$X$54,2,0)</f>
        <v>5</v>
      </c>
      <c r="S17" s="31">
        <f>SUM(C17:R17)</f>
        <v>57.331976190476198</v>
      </c>
      <c r="T17" s="31">
        <f>SUMIFS(Data!D:D,Data!A:A,'#ligaSYR'!B35)</f>
        <v>308.47999999999996</v>
      </c>
      <c r="U17" s="1" t="str">
        <f>IF(VLOOKUP(B17,Participanti!A:D,4,0)=0," ","New")</f>
        <v>New</v>
      </c>
      <c r="W17" s="116">
        <f>SUMIFS(Data!Z:Z,Data!A:A,'#ligaSYR'!B17)</f>
        <v>15</v>
      </c>
      <c r="X17" s="116"/>
      <c r="AE17" s="1" t="str">
        <f>VLOOKUP(B17,Participanti!A:B,2,0)</f>
        <v>M</v>
      </c>
      <c r="AF17" s="1" t="e">
        <f>VLOOKUP(B17,Data_Echipe!A:R,18,0)</f>
        <v>#N/A</v>
      </c>
    </row>
    <row r="18" spans="1:32" ht="13" x14ac:dyDescent="0.3">
      <c r="A18" s="79">
        <v>17</v>
      </c>
      <c r="B18" s="30" t="s">
        <v>332</v>
      </c>
      <c r="C18" s="31">
        <f>IF(SUMIFS(Data!$U:$U,Data!$A:$A,$B18,Data!$C:$C,C$1)=0,"",SUMIFS(Data!$U:$U,Data!$A:$A,$B18,Data!$C:$C,C$1))</f>
        <v>2.7166666666666663</v>
      </c>
      <c r="D18" s="31">
        <f>IF(SUMIFS(Data!$U:$U,Data!$A:$A,$B18,Data!$C:$C,D$1)=0,"",SUMIFS(Data!$U:$U,Data!$A:$A,$B18,Data!$C:$C,D$1))</f>
        <v>3.788095238095238</v>
      </c>
      <c r="E18" s="31">
        <f>IF(SUMIFS(Data!$U:$U,Data!$A:$A,$B18,Data!$C:$C,E$1)=0,"",SUMIFS(Data!$U:$U,Data!$A:$A,$B18,Data!$C:$C,E$1))</f>
        <v>2.9958333333333331</v>
      </c>
      <c r="F18" s="31">
        <f>IF(SUMIFS(Data!$U:$U,Data!$A:$A,$B18,Data!$C:$C,F$1)=0,"",SUMIFS(Data!$U:$U,Data!$A:$A,$B18,Data!$C:$C,F$1))</f>
        <v>4.2598333333333338</v>
      </c>
      <c r="G18" s="31">
        <f>IF(SUMIFS(Data!$U:$U,Data!$A:$A,$B18,Data!$C:$C,G$1)=0,"",SUMIFS(Data!$U:$U,Data!$A:$A,$B18,Data!$C:$C,G$1))</f>
        <v>3.851</v>
      </c>
      <c r="H18" s="31">
        <f>IF(SUMIFS(Data!$U:$U,Data!$A:$A,$B18,Data!$C:$C,H$1)=0,"",SUMIFS(Data!$U:$U,Data!$A:$A,$B18,Data!$C:$C,H$1))</f>
        <v>3.7970238095238096</v>
      </c>
      <c r="I18" s="31">
        <f>IF(SUMIFS(Data!$U:$U,Data!$A:$A,$B18,Data!$C:$C,I$1)=0,"",SUMIFS(Data!$U:$U,Data!$A:$A,$B18,Data!$C:$C,I$1))</f>
        <v>3.612452380952381</v>
      </c>
      <c r="J18" s="31">
        <f>IF(SUMIFS(Data!$U:$U,Data!$A:$A,$B18,Data!$C:$C,J$1)=0,"",SUMIFS(Data!$U:$U,Data!$A:$A,$B18,Data!$C:$C,J$1))</f>
        <v>3.2688333333333333</v>
      </c>
      <c r="K18" s="31">
        <f>IF(SUMIFS(Data!$U:$U,Data!$A:$A,$B18,Data!$C:$C,K$1)=0,"",SUMIFS(Data!$U:$U,Data!$A:$A,$B18,Data!$C:$C,K$1))</f>
        <v>3.0175476190476189</v>
      </c>
      <c r="L18" s="31">
        <f>IF(SUMIFS(Data!$U:$U,Data!$A:$A,$B18,Data!$C:$C,L$1)=0,"",SUMIFS(Data!$U:$U,Data!$A:$A,$B18,Data!$C:$C,L$1))</f>
        <v>3.2458333333333331</v>
      </c>
      <c r="M18" s="31">
        <f>IF(SUMIFS(Data!$U:$U,Data!$A:$A,$B18,Data!$C:$C,M$1)=0,"",SUMIFS(Data!$U:$U,Data!$A:$A,$B18,Data!$C:$C,M$1))</f>
        <v>3.0642857142857141</v>
      </c>
      <c r="N18" s="31">
        <f>IF(SUMIFS(Data!$U:$U,Data!$A:$A,$B18,Data!$C:$C,N$1)=0,"",SUMIFS(Data!$U:$U,Data!$A:$A,$B18,Data!$C:$C,N$1))</f>
        <v>3.6707857142857141</v>
      </c>
      <c r="O18" s="31">
        <f>IF(SUMIFS(Data!$U:$U,Data!$A:$A,$B18,Data!$C:$C,O$1)=0,"",SUMIFS(Data!$U:$U,Data!$A:$A,$B18,Data!$C:$C,O$1))</f>
        <v>4.5333333333333332</v>
      </c>
      <c r="P18" s="31">
        <f>IF(SUMIFS(Data!$U:$U,Data!$A:$A,$B18,Data!$C:$C,P$1)=0,"",SUMIFS(Data!$U:$U,Data!$A:$A,$B18,Data!$C:$C,P$1))</f>
        <v>2.9958333333333331</v>
      </c>
      <c r="Q18" s="31">
        <f>IF(SUMIFS(Data!$U:$U,Data!$A:$A,$B18,Data!$C:$C,Q$1)=0,"",SUMIFS(Data!$U:$U,Data!$A:$A,$B18,Data!$C:$C,Q$1))</f>
        <v>3.2458333333333331</v>
      </c>
      <c r="R18" s="31">
        <f>VLOOKUP(W18,Barem!$W$39:$X$54,2,0)</f>
        <v>5</v>
      </c>
      <c r="S18" s="31">
        <f>SUM(C18:R18)</f>
        <v>57.063190476190471</v>
      </c>
      <c r="T18" s="31">
        <f>SUMIFS(Data!D:D,Data!A:A,'#ligaSYR'!B30)</f>
        <v>178.07000000000002</v>
      </c>
      <c r="U18" s="1" t="str">
        <f>IF(VLOOKUP(B18,Participanti!A:D,4,0)=0," ","New")</f>
        <v>New</v>
      </c>
      <c r="W18" s="116">
        <f>SUMIFS(Data!Z:Z,Data!A:A,'#ligaSYR'!B18)</f>
        <v>14</v>
      </c>
      <c r="X18" s="116" t="s">
        <v>312</v>
      </c>
      <c r="AE18" s="1" t="str">
        <f>VLOOKUP(B18,Participanti!A:B,2,0)</f>
        <v>M</v>
      </c>
      <c r="AF18" s="1" t="str">
        <f>VLOOKUP(B18,Data_Echipe!A:R,18,0)</f>
        <v>MedgidiaRunning</v>
      </c>
    </row>
    <row r="19" spans="1:32" ht="13" x14ac:dyDescent="0.3">
      <c r="A19" s="79">
        <v>18</v>
      </c>
      <c r="B19" s="30" t="s">
        <v>248</v>
      </c>
      <c r="C19" s="31">
        <f>IF(SUMIFS(Data!$U:$U,Data!$A:$A,$B19,Data!$C:$C,C$1)=0,"",SUMIFS(Data!$U:$U,Data!$A:$A,$B19,Data!$C:$C,C$1))</f>
        <v>3.4375</v>
      </c>
      <c r="D19" s="31">
        <f>IF(SUMIFS(Data!$U:$U,Data!$A:$A,$B19,Data!$C:$C,D$1)=0,"",SUMIFS(Data!$U:$U,Data!$A:$A,$B19,Data!$C:$C,D$1))</f>
        <v>3.3035714285714284</v>
      </c>
      <c r="E19" s="31">
        <f>IF(SUMIFS(Data!$U:$U,Data!$A:$A,$B19,Data!$C:$C,E$1)=0,"",SUMIFS(Data!$U:$U,Data!$A:$A,$B19,Data!$C:$C,E$1))</f>
        <v>3.9376666666666669</v>
      </c>
      <c r="F19" s="31">
        <f>IF(SUMIFS(Data!$U:$U,Data!$A:$A,$B19,Data!$C:$C,F$1)=0,"",SUMIFS(Data!$U:$U,Data!$A:$A,$B19,Data!$C:$C,F$1))</f>
        <v>3.3541666666666665</v>
      </c>
      <c r="G19" s="31">
        <f>IF(SUMIFS(Data!$U:$U,Data!$A:$A,$B19,Data!$C:$C,G$1)=0,"",SUMIFS(Data!$U:$U,Data!$A:$A,$B19,Data!$C:$C,G$1))</f>
        <v>3.4031666666666665</v>
      </c>
      <c r="H19" s="31">
        <f>IF(SUMIFS(Data!$U:$U,Data!$A:$A,$B19,Data!$C:$C,H$1)=0,"",SUMIFS(Data!$U:$U,Data!$A:$A,$B19,Data!$C:$C,H$1))</f>
        <v>3.0458333333333334</v>
      </c>
      <c r="I19" s="31">
        <f>IF(SUMIFS(Data!$U:$U,Data!$A:$A,$B19,Data!$C:$C,I$1)=0,"",SUMIFS(Data!$U:$U,Data!$A:$A,$B19,Data!$C:$C,I$1))</f>
        <v>2.9464285714285712</v>
      </c>
      <c r="J19" s="31">
        <f>IF(SUMIFS(Data!$U:$U,Data!$A:$A,$B19,Data!$C:$C,J$1)=0,"",SUMIFS(Data!$U:$U,Data!$A:$A,$B19,Data!$C:$C,J$1))</f>
        <v>2.6607142857142856</v>
      </c>
      <c r="K19" s="31">
        <f>IF(SUMIFS(Data!$U:$U,Data!$A:$A,$B19,Data!$C:$C,K$1)=0,"",SUMIFS(Data!$U:$U,Data!$A:$A,$B19,Data!$C:$C,K$1))</f>
        <v>3.4125000000000001</v>
      </c>
      <c r="L19" s="31">
        <f>IF(SUMIFS(Data!$U:$U,Data!$A:$A,$B19,Data!$C:$C,L$1)=0,"",SUMIFS(Data!$U:$U,Data!$A:$A,$B19,Data!$C:$C,L$1))</f>
        <v>2.1767857142857143</v>
      </c>
      <c r="M19" s="31">
        <f>IF(SUMIFS(Data!$U:$U,Data!$A:$A,$B19,Data!$C:$C,M$1)=0,"",SUMIFS(Data!$U:$U,Data!$A:$A,$B19,Data!$C:$C,M$1))</f>
        <v>3.706142857142857</v>
      </c>
      <c r="N19" s="31">
        <f>IF(SUMIFS(Data!$U:$U,Data!$A:$A,$B19,Data!$C:$C,N$1)=0,"",SUMIFS(Data!$U:$U,Data!$A:$A,$B19,Data!$C:$C,N$1))</f>
        <v>9.4193333333333342</v>
      </c>
      <c r="O19" s="31">
        <f>IF(SUMIFS(Data!$U:$U,Data!$A:$A,$B19,Data!$C:$C,O$1)=0,"",SUMIFS(Data!$U:$U,Data!$A:$A,$B19,Data!$C:$C,O$1))</f>
        <v>3.1098333333333334</v>
      </c>
      <c r="P19" s="31">
        <f>IF(SUMIFS(Data!$U:$U,Data!$A:$A,$B19,Data!$C:$C,P$1)=0,"",SUMIFS(Data!$U:$U,Data!$A:$A,$B19,Data!$C:$C,P$1))</f>
        <v>1.4285714285714286</v>
      </c>
      <c r="Q19" s="31">
        <f>IF(SUMIFS(Data!$U:$U,Data!$A:$A,$B19,Data!$C:$C,Q$1)=0,"",SUMIFS(Data!$U:$U,Data!$A:$A,$B19,Data!$C:$C,Q$1))</f>
        <v>1.7833333333333334</v>
      </c>
      <c r="R19" s="31">
        <f>VLOOKUP(W19,Barem!$W$39:$X$54,2,0)</f>
        <v>5</v>
      </c>
      <c r="S19" s="31">
        <f>SUM(C19:R19)</f>
        <v>56.125547619047623</v>
      </c>
      <c r="T19" s="31">
        <f>SUMIFS(Data!D:D,Data!A:A,'#ligaSYR'!B24)</f>
        <v>289.45999999999998</v>
      </c>
      <c r="U19" s="1" t="str">
        <f>IF(VLOOKUP(B19,Participanti!A:D,4,0)=0," ","New")</f>
        <v xml:space="preserve"> </v>
      </c>
      <c r="W19" s="116">
        <f>SUMIFS(Data!Z:Z,Data!A:A,'#ligaSYR'!B19)</f>
        <v>14</v>
      </c>
      <c r="X19" s="116"/>
      <c r="AF19" s="1" t="str">
        <f>VLOOKUP(B19,Data_Echipe!A:R,18,0)</f>
        <v>Almost Kenyan Runners</v>
      </c>
    </row>
    <row r="20" spans="1:32" ht="13" x14ac:dyDescent="0.3">
      <c r="A20" s="79">
        <v>19</v>
      </c>
      <c r="B20" s="30" t="s">
        <v>128</v>
      </c>
      <c r="C20" s="31">
        <f>IF(SUMIFS(Data!$U:$U,Data!$A:$A,$B20,Data!$C:$C,C$1)=0,"",SUMIFS(Data!$U:$U,Data!$A:$A,$B20,Data!$C:$C,C$1))</f>
        <v>3.5</v>
      </c>
      <c r="D20" s="31">
        <f>IF(SUMIFS(Data!$U:$U,Data!$A:$A,$B20,Data!$C:$C,D$1)=0,"",SUMIFS(Data!$U:$U,Data!$A:$A,$B20,Data!$C:$C,D$1))</f>
        <v>4.2346666666666666</v>
      </c>
      <c r="E20" s="31">
        <f>IF(SUMIFS(Data!$U:$U,Data!$A:$A,$B20,Data!$C:$C,E$1)=0,"",SUMIFS(Data!$U:$U,Data!$A:$A,$B20,Data!$C:$C,E$1))</f>
        <v>3.6196666666666668</v>
      </c>
      <c r="F20" s="31">
        <f>IF(SUMIFS(Data!$U:$U,Data!$A:$A,$B20,Data!$C:$C,F$1)=0,"",SUMIFS(Data!$U:$U,Data!$A:$A,$B20,Data!$C:$C,F$1))</f>
        <v>3.65</v>
      </c>
      <c r="G20" s="31">
        <f>IF(SUMIFS(Data!$U:$U,Data!$A:$A,$B20,Data!$C:$C,G$1)=0,"",SUMIFS(Data!$U:$U,Data!$A:$A,$B20,Data!$C:$C,G$1))</f>
        <v>3.617666666666667</v>
      </c>
      <c r="H20" s="31">
        <f>IF(SUMIFS(Data!$U:$U,Data!$A:$A,$B20,Data!$C:$C,H$1)=0,"",SUMIFS(Data!$U:$U,Data!$A:$A,$B20,Data!$C:$C,H$1))</f>
        <v>3.8250000000000002</v>
      </c>
      <c r="I20" s="31">
        <f>IF(SUMIFS(Data!$U:$U,Data!$A:$A,$B20,Data!$C:$C,I$1)=0,"",SUMIFS(Data!$U:$U,Data!$A:$A,$B20,Data!$C:$C,I$1))</f>
        <v>3.9403333333333332</v>
      </c>
      <c r="J20" s="31">
        <f>IF(SUMIFS(Data!$U:$U,Data!$A:$A,$B20,Data!$C:$C,J$1)=0,"",SUMIFS(Data!$U:$U,Data!$A:$A,$B20,Data!$C:$C,J$1))</f>
        <v>3.0482142857142858</v>
      </c>
      <c r="K20" s="31">
        <f>IF(SUMIFS(Data!$U:$U,Data!$A:$A,$B20,Data!$C:$C,K$1)=0,"",SUMIFS(Data!$U:$U,Data!$A:$A,$B20,Data!$C:$C,K$1))</f>
        <v>3.3012857142857142</v>
      </c>
      <c r="L20" s="31">
        <f>IF(SUMIFS(Data!$U:$U,Data!$A:$A,$B20,Data!$C:$C,L$1)=0,"",SUMIFS(Data!$U:$U,Data!$A:$A,$B20,Data!$C:$C,L$1))</f>
        <v>3.5979999999999999</v>
      </c>
      <c r="M20" s="31">
        <f>IF(SUMIFS(Data!$U:$U,Data!$A:$A,$B20,Data!$C:$C,M$1)=0,"",SUMIFS(Data!$U:$U,Data!$A:$A,$B20,Data!$C:$C,M$1))</f>
        <v>3.6680000000000001</v>
      </c>
      <c r="N20" s="31">
        <f>IF(SUMIFS(Data!$U:$U,Data!$A:$A,$B20,Data!$C:$C,N$1)=0,"",SUMIFS(Data!$U:$U,Data!$A:$A,$B20,Data!$C:$C,N$1))</f>
        <v>3.125</v>
      </c>
      <c r="O20" s="31">
        <f>IF(SUMIFS(Data!$U:$U,Data!$A:$A,$B20,Data!$C:$C,O$1)=0,"",SUMIFS(Data!$U:$U,Data!$A:$A,$B20,Data!$C:$C,O$1))</f>
        <v>1.6547619047619047</v>
      </c>
      <c r="P20" s="31">
        <f>IF(SUMIFS(Data!$U:$U,Data!$A:$A,$B20,Data!$C:$C,P$1)=0,"",SUMIFS(Data!$U:$U,Data!$A:$A,$B20,Data!$C:$C,P$1))</f>
        <v>4</v>
      </c>
      <c r="Q20" s="31">
        <f>IF(SUMIFS(Data!$U:$U,Data!$A:$A,$B20,Data!$C:$C,Q$1)=0,"",SUMIFS(Data!$U:$U,Data!$A:$A,$B20,Data!$C:$C,Q$1))</f>
        <v>1.7797619047619047</v>
      </c>
      <c r="R20" s="31">
        <f>VLOOKUP(W20,Barem!$W$39:$X$54,2,0)</f>
        <v>5</v>
      </c>
      <c r="S20" s="31">
        <f>SUM(C20:R20)</f>
        <v>55.562357142857138</v>
      </c>
      <c r="T20" s="31">
        <f>SUMIFS(Data!D:D,Data!A:A,'#ligaSYR'!B15)</f>
        <v>271.17</v>
      </c>
      <c r="U20" s="1" t="str">
        <f>IF(VLOOKUP(B20,Participanti!A:D,4,0)=0," ","New")</f>
        <v>New</v>
      </c>
      <c r="W20" s="116">
        <f>SUMIFS(Data!Z:Z,Data!A:A,'#ligaSYR'!B20)</f>
        <v>15</v>
      </c>
      <c r="X20" s="116" t="s">
        <v>312</v>
      </c>
      <c r="AC20" s="1" t="s">
        <v>312</v>
      </c>
      <c r="AD20" s="1" t="s">
        <v>312</v>
      </c>
      <c r="AE20" s="1" t="str">
        <f>VLOOKUP(B20,Participanti!A:B,2,0)</f>
        <v>M</v>
      </c>
      <c r="AF20" s="1" t="str">
        <f>VLOOKUP(B20,Data_Echipe!A:R,18,0)</f>
        <v>Almost Kenyan Runners</v>
      </c>
    </row>
    <row r="21" spans="1:32" ht="13" x14ac:dyDescent="0.3">
      <c r="A21" s="79">
        <v>20</v>
      </c>
      <c r="B21" s="30" t="s">
        <v>339</v>
      </c>
      <c r="C21" s="31">
        <f>IF(SUMIFS(Data!$U:$U,Data!$A:$A,$B21,Data!$C:$C,C$1)=0,"",SUMIFS(Data!$U:$U,Data!$A:$A,$B21,Data!$C:$C,C$1))</f>
        <v>2.7986904761904765</v>
      </c>
      <c r="D21" s="31">
        <f>IF(SUMIFS(Data!$U:$U,Data!$A:$A,$B21,Data!$C:$C,D$1)=0,"",SUMIFS(Data!$U:$U,Data!$A:$A,$B21,Data!$C:$C,D$1))</f>
        <v>3.8693333333333335</v>
      </c>
      <c r="E21" s="31">
        <f>IF(SUMIFS(Data!$U:$U,Data!$A:$A,$B21,Data!$C:$C,E$1)=0,"",SUMIFS(Data!$U:$U,Data!$A:$A,$B21,Data!$C:$C,E$1))</f>
        <v>2.026904761904762</v>
      </c>
      <c r="F21" s="31">
        <f>IF(SUMIFS(Data!$U:$U,Data!$A:$A,$B21,Data!$C:$C,F$1)=0,"",SUMIFS(Data!$U:$U,Data!$A:$A,$B21,Data!$C:$C,F$1))</f>
        <v>3.5783095238095237</v>
      </c>
      <c r="G21" s="31">
        <f>IF(SUMIFS(Data!$U:$U,Data!$A:$A,$B21,Data!$C:$C,G$1)=0,"",SUMIFS(Data!$U:$U,Data!$A:$A,$B21,Data!$C:$C,G$1))</f>
        <v>2.5220238095238097</v>
      </c>
      <c r="H21" s="31">
        <f>IF(SUMIFS(Data!$U:$U,Data!$A:$A,$B21,Data!$C:$C,H$1)=0,"",SUMIFS(Data!$U:$U,Data!$A:$A,$B21,Data!$C:$C,H$1))</f>
        <v>3.2095238095238097</v>
      </c>
      <c r="I21" s="31">
        <f>IF(SUMIFS(Data!$U:$U,Data!$A:$A,$B21,Data!$C:$C,I$1)=0,"",SUMIFS(Data!$U:$U,Data!$A:$A,$B21,Data!$C:$C,I$1))</f>
        <v>4.6040000000000001</v>
      </c>
      <c r="J21" s="31">
        <f>IF(SUMIFS(Data!$U:$U,Data!$A:$A,$B21,Data!$C:$C,J$1)=0,"",SUMIFS(Data!$U:$U,Data!$A:$A,$B21,Data!$C:$C,J$1))</f>
        <v>3.5099047619047616</v>
      </c>
      <c r="K21" s="31">
        <f>IF(SUMIFS(Data!$U:$U,Data!$A:$A,$B21,Data!$C:$C,K$1)=0,"",SUMIFS(Data!$U:$U,Data!$A:$A,$B21,Data!$C:$C,K$1))</f>
        <v>2.7833333333333332</v>
      </c>
      <c r="L21" s="31">
        <f>IF(SUMIFS(Data!$U:$U,Data!$A:$A,$B21,Data!$C:$C,L$1)=0,"",SUMIFS(Data!$U:$U,Data!$A:$A,$B21,Data!$C:$C,L$1))</f>
        <v>3.0737857142857141</v>
      </c>
      <c r="M21" s="31">
        <f>IF(SUMIFS(Data!$U:$U,Data!$A:$A,$B21,Data!$C:$C,M$1)=0,"",SUMIFS(Data!$U:$U,Data!$A:$A,$B21,Data!$C:$C,M$1))</f>
        <v>4</v>
      </c>
      <c r="N21" s="31">
        <f>IF(SUMIFS(Data!$U:$U,Data!$A:$A,$B21,Data!$C:$C,N$1)=0,"",SUMIFS(Data!$U:$U,Data!$A:$A,$B21,Data!$C:$C,N$1))</f>
        <v>3.363</v>
      </c>
      <c r="O21" s="31">
        <f>IF(SUMIFS(Data!$U:$U,Data!$A:$A,$B21,Data!$C:$C,O$1)=0,"",SUMIFS(Data!$U:$U,Data!$A:$A,$B21,Data!$C:$C,O$1))</f>
        <v>5.1583333333333332</v>
      </c>
      <c r="P21" s="31">
        <f>IF(SUMIFS(Data!$U:$U,Data!$A:$A,$B21,Data!$C:$C,P$1)=0,"",SUMIFS(Data!$U:$U,Data!$A:$A,$B21,Data!$C:$C,P$1))</f>
        <v>3.2196666666666665</v>
      </c>
      <c r="Q21" s="31">
        <f>IF(SUMIFS(Data!$U:$U,Data!$A:$A,$B21,Data!$C:$C,Q$1)=0,"",SUMIFS(Data!$U:$U,Data!$A:$A,$B21,Data!$C:$C,Q$1))</f>
        <v>2.3029761904761905</v>
      </c>
      <c r="R21" s="31">
        <f>VLOOKUP(W21,Barem!$W$39:$X$54,2,0)</f>
        <v>5</v>
      </c>
      <c r="S21" s="31">
        <f>SUM(C21:R21)</f>
        <v>55.019785714285703</v>
      </c>
      <c r="T21" s="31">
        <f>SUMIFS(Data!D:D,Data!A:A,'#ligaSYR'!B26)</f>
        <v>243.34</v>
      </c>
      <c r="U21" s="1" t="str">
        <f>IF(VLOOKUP(B21,Participanti!A:D,4,0)=0," ","New")</f>
        <v>New</v>
      </c>
      <c r="W21" s="116">
        <f>SUMIFS(Data!Z:Z,Data!A:A,'#ligaSYR'!B21)</f>
        <v>15</v>
      </c>
      <c r="X21" s="116"/>
      <c r="AF21" s="1" t="str">
        <f>VLOOKUP(B21,Data_Echipe!A:R,18,0)</f>
        <v>MedgidiaRunning</v>
      </c>
    </row>
    <row r="22" spans="1:32" ht="13" x14ac:dyDescent="0.3">
      <c r="A22" s="79">
        <v>21</v>
      </c>
      <c r="B22" s="30" t="s">
        <v>120</v>
      </c>
      <c r="C22" s="31">
        <f>IF(SUMIFS(Data!$U:$U,Data!$A:$A,$B22,Data!$C:$C,C$1)=0,"",SUMIFS(Data!$U:$U,Data!$A:$A,$B22,Data!$C:$C,C$1))</f>
        <v>3.5999999999999996</v>
      </c>
      <c r="D22" s="31">
        <f>IF(SUMIFS(Data!$U:$U,Data!$A:$A,$B22,Data!$C:$C,D$1)=0,"",SUMIFS(Data!$U:$U,Data!$A:$A,$B22,Data!$C:$C,D$1))</f>
        <v>3.0085952380952379</v>
      </c>
      <c r="E22" s="31">
        <f>IF(SUMIFS(Data!$U:$U,Data!$A:$A,$B22,Data!$C:$C,E$1)=0,"",SUMIFS(Data!$U:$U,Data!$A:$A,$B22,Data!$C:$C,E$1))</f>
        <v>3.1774999999999998</v>
      </c>
      <c r="F22" s="31">
        <f>IF(SUMIFS(Data!$U:$U,Data!$A:$A,$B22,Data!$C:$C,F$1)=0,"",SUMIFS(Data!$U:$U,Data!$A:$A,$B22,Data!$C:$C,F$1))</f>
        <v>3.2639523809523809</v>
      </c>
      <c r="G22" s="31">
        <f>IF(SUMIFS(Data!$U:$U,Data!$A:$A,$B22,Data!$C:$C,G$1)=0,"",SUMIFS(Data!$U:$U,Data!$A:$A,$B22,Data!$C:$C,G$1))</f>
        <v>3.2535714285714286</v>
      </c>
      <c r="H22" s="31">
        <f>IF(SUMIFS(Data!$U:$U,Data!$A:$A,$B22,Data!$C:$C,H$1)=0,"",SUMIFS(Data!$U:$U,Data!$A:$A,$B22,Data!$C:$C,H$1))</f>
        <v>3.2789999999999999</v>
      </c>
      <c r="I22" s="31">
        <f>IF(SUMIFS(Data!$U:$U,Data!$A:$A,$B22,Data!$C:$C,I$1)=0,"",SUMIFS(Data!$U:$U,Data!$A:$A,$B22,Data!$C:$C,I$1))</f>
        <v>4.1321428571428571</v>
      </c>
      <c r="J22" s="31">
        <f>IF(SUMIFS(Data!$U:$U,Data!$A:$A,$B22,Data!$C:$C,J$1)=0,"",SUMIFS(Data!$U:$U,Data!$A:$A,$B22,Data!$C:$C,J$1))</f>
        <v>3.5</v>
      </c>
      <c r="K22" s="31">
        <f>IF(SUMIFS(Data!$U:$U,Data!$A:$A,$B22,Data!$C:$C,K$1)=0,"",SUMIFS(Data!$U:$U,Data!$A:$A,$B22,Data!$C:$C,K$1))</f>
        <v>3.125</v>
      </c>
      <c r="L22" s="31">
        <f>IF(SUMIFS(Data!$U:$U,Data!$A:$A,$B22,Data!$C:$C,L$1)=0,"",SUMIFS(Data!$U:$U,Data!$A:$A,$B22,Data!$C:$C,L$1))</f>
        <v>3.875</v>
      </c>
      <c r="M22" s="31">
        <f>IF(SUMIFS(Data!$U:$U,Data!$A:$A,$B22,Data!$C:$C,M$1)=0,"",SUMIFS(Data!$U:$U,Data!$A:$A,$B22,Data!$C:$C,M$1))</f>
        <v>3.6053571428571427</v>
      </c>
      <c r="N22" s="31">
        <f>IF(SUMIFS(Data!$U:$U,Data!$A:$A,$B22,Data!$C:$C,N$1)=0,"",SUMIFS(Data!$U:$U,Data!$A:$A,$B22,Data!$C:$C,N$1))</f>
        <v>3.875</v>
      </c>
      <c r="O22" s="31">
        <f>IF(SUMIFS(Data!$U:$U,Data!$A:$A,$B22,Data!$C:$C,O$1)=0,"",SUMIFS(Data!$U:$U,Data!$A:$A,$B22,Data!$C:$C,O$1))</f>
        <v>2.4559523809523811</v>
      </c>
      <c r="P22" s="31">
        <f>IF(SUMIFS(Data!$U:$U,Data!$A:$A,$B22,Data!$C:$C,P$1)=0,"",SUMIFS(Data!$U:$U,Data!$A:$A,$B22,Data!$C:$C,P$1))</f>
        <v>2.8160714285714286</v>
      </c>
      <c r="Q22" s="31">
        <f>IF(SUMIFS(Data!$U:$U,Data!$A:$A,$B22,Data!$C:$C,Q$1)=0,"",SUMIFS(Data!$U:$U,Data!$A:$A,$B22,Data!$C:$C,Q$1))</f>
        <v>2.961904761904762</v>
      </c>
      <c r="R22" s="31">
        <f>VLOOKUP(W22,Barem!$W$39:$X$54,2,0)</f>
        <v>5</v>
      </c>
      <c r="S22" s="31">
        <f>SUM(C22:R22)</f>
        <v>54.929047619047616</v>
      </c>
      <c r="T22" s="31">
        <f>SUMIFS(Data!D:D,Data!A:A,'#ligaSYR'!B27)</f>
        <v>277.39</v>
      </c>
      <c r="U22" s="1" t="str">
        <f>IF(VLOOKUP(B22,Participanti!A:D,4,0)=0," ","New")</f>
        <v xml:space="preserve"> </v>
      </c>
      <c r="W22" s="116">
        <f>SUMIFS(Data!Z:Z,Data!A:A,'#ligaSYR'!B22)</f>
        <v>15</v>
      </c>
      <c r="X22" s="116" t="s">
        <v>312</v>
      </c>
      <c r="Z22" s="1" t="s">
        <v>312</v>
      </c>
      <c r="AC22" s="1" t="s">
        <v>312</v>
      </c>
      <c r="AD22" s="1" t="s">
        <v>312</v>
      </c>
      <c r="AE22" s="1" t="str">
        <f>VLOOKUP(B22,Participanti!A:B,2,0)</f>
        <v>M</v>
      </c>
      <c r="AF22" s="1" t="str">
        <f>VLOOKUP(B22,Data_Echipe!A:R,18,0)</f>
        <v>Almost Kenyan Runners</v>
      </c>
    </row>
    <row r="23" spans="1:32" ht="13" x14ac:dyDescent="0.3">
      <c r="A23" s="79">
        <v>22</v>
      </c>
      <c r="B23" s="30" t="s">
        <v>344</v>
      </c>
      <c r="C23" s="31">
        <f>IF(SUMIFS(Data!$U:$U,Data!$A:$A,$B23,Data!$C:$C,C$1)=0,"",SUMIFS(Data!$U:$U,Data!$A:$A,$B23,Data!$C:$C,C$1))</f>
        <v>1.87625</v>
      </c>
      <c r="D23" s="31">
        <f>IF(SUMIFS(Data!$U:$U,Data!$A:$A,$B23,Data!$C:$C,D$1)=0,"",SUMIFS(Data!$U:$U,Data!$A:$A,$B23,Data!$C:$C,D$1))</f>
        <v>1.67</v>
      </c>
      <c r="E23" s="31">
        <f>IF(SUMIFS(Data!$U:$U,Data!$A:$A,$B23,Data!$C:$C,E$1)=0,"",SUMIFS(Data!$U:$U,Data!$A:$A,$B23,Data!$C:$C,E$1))</f>
        <v>3.625</v>
      </c>
      <c r="F23" s="31">
        <f>IF(SUMIFS(Data!$U:$U,Data!$A:$A,$B23,Data!$C:$C,F$1)=0,"",SUMIFS(Data!$U:$U,Data!$A:$A,$B23,Data!$C:$C,F$1))</f>
        <v>3.9375</v>
      </c>
      <c r="G23" s="31">
        <f>IF(SUMIFS(Data!$U:$U,Data!$A:$A,$B23,Data!$C:$C,G$1)=0,"",SUMIFS(Data!$U:$U,Data!$A:$A,$B23,Data!$C:$C,G$1))</f>
        <v>2.7106249999999998</v>
      </c>
      <c r="H23" s="31">
        <f>IF(SUMIFS(Data!$U:$U,Data!$A:$A,$B23,Data!$C:$C,H$1)=0,"",SUMIFS(Data!$U:$U,Data!$A:$A,$B23,Data!$C:$C,H$1))</f>
        <v>3.6358333333333333</v>
      </c>
      <c r="I23" s="31">
        <f>IF(SUMIFS(Data!$U:$U,Data!$A:$A,$B23,Data!$C:$C,I$1)=0,"",SUMIFS(Data!$U:$U,Data!$A:$A,$B23,Data!$C:$C,I$1))</f>
        <v>3.9741666666666666</v>
      </c>
      <c r="J23" s="31">
        <f>IF(SUMIFS(Data!$U:$U,Data!$A:$A,$B23,Data!$C:$C,J$1)=0,"",SUMIFS(Data!$U:$U,Data!$A:$A,$B23,Data!$C:$C,J$1))</f>
        <v>3.6883333333333335</v>
      </c>
      <c r="K23" s="31">
        <f>IF(SUMIFS(Data!$U:$U,Data!$A:$A,$B23,Data!$C:$C,K$1)=0,"",SUMIFS(Data!$U:$U,Data!$A:$A,$B23,Data!$C:$C,K$1))</f>
        <v>3.9116666666666666</v>
      </c>
      <c r="L23" s="31">
        <f>IF(SUMIFS(Data!$U:$U,Data!$A:$A,$B23,Data!$C:$C,L$1)=0,"",SUMIFS(Data!$U:$U,Data!$A:$A,$B23,Data!$C:$C,L$1))</f>
        <v>3.4474999999999998</v>
      </c>
      <c r="M23" s="31">
        <f>IF(SUMIFS(Data!$U:$U,Data!$A:$A,$B23,Data!$C:$C,M$1)=0,"",SUMIFS(Data!$U:$U,Data!$A:$A,$B23,Data!$C:$C,M$1))</f>
        <v>3.6875</v>
      </c>
      <c r="N23" s="31">
        <f>IF(SUMIFS(Data!$U:$U,Data!$A:$A,$B23,Data!$C:$C,N$1)=0,"",SUMIFS(Data!$U:$U,Data!$A:$A,$B23,Data!$C:$C,N$1))</f>
        <v>3.6875</v>
      </c>
      <c r="O23" s="31">
        <f>IF(SUMIFS(Data!$U:$U,Data!$A:$A,$B23,Data!$C:$C,O$1)=0,"",SUMIFS(Data!$U:$U,Data!$A:$A,$B23,Data!$C:$C,O$1))</f>
        <v>4.0266666666666664</v>
      </c>
      <c r="P23" s="31">
        <f>IF(SUMIFS(Data!$U:$U,Data!$A:$A,$B23,Data!$C:$C,P$1)=0,"",SUMIFS(Data!$U:$U,Data!$A:$A,$B23,Data!$C:$C,P$1))</f>
        <v>3.2846666666666668</v>
      </c>
      <c r="Q23" s="31">
        <f>IF(SUMIFS(Data!$U:$U,Data!$A:$A,$B23,Data!$C:$C,Q$1)=0,"",SUMIFS(Data!$U:$U,Data!$A:$A,$B23,Data!$C:$C,Q$1))</f>
        <v>2.714375</v>
      </c>
      <c r="R23" s="31">
        <f>VLOOKUP(W23,Barem!$W$39:$X$54,2,0)</f>
        <v>5</v>
      </c>
      <c r="S23" s="31">
        <f>SUM(C23:R23)</f>
        <v>54.877583333333327</v>
      </c>
      <c r="T23" s="31">
        <f>SUMIFS(Data!D:D,Data!A:A,'#ligaSYR'!B77)</f>
        <v>98.219999999999985</v>
      </c>
      <c r="U23" s="1" t="str">
        <f>IF(VLOOKUP(B23,Participanti!A:D,4,0)=0," ","New")</f>
        <v>New</v>
      </c>
      <c r="W23" s="116">
        <f>SUMIFS(Data!Z:Z,Data!A:A,'#ligaSYR'!B23)</f>
        <v>15</v>
      </c>
      <c r="X23" s="116"/>
      <c r="Y23" s="1" t="s">
        <v>312</v>
      </c>
      <c r="Z23" s="1" t="s">
        <v>312</v>
      </c>
      <c r="AC23" s="1" t="s">
        <v>312</v>
      </c>
      <c r="AE23" s="1" t="str">
        <f>VLOOKUP(B23,Participanti!A:B,2,0)</f>
        <v>F</v>
      </c>
      <c r="AF23" s="1" t="e">
        <f>VLOOKUP(B23,Data_Echipe!A:R,18,0)</f>
        <v>#N/A</v>
      </c>
    </row>
    <row r="24" spans="1:32" ht="13" x14ac:dyDescent="0.3">
      <c r="A24" s="79">
        <v>23</v>
      </c>
      <c r="B24" s="30" t="s">
        <v>208</v>
      </c>
      <c r="C24" s="31">
        <f>IF(SUMIFS(Data!$U:$U,Data!$A:$A,$B24,Data!$C:$C,C$1)=0,"",SUMIFS(Data!$U:$U,Data!$A:$A,$B24,Data!$C:$C,C$1))</f>
        <v>3.1607142857142856</v>
      </c>
      <c r="D24" s="31">
        <f>IF(SUMIFS(Data!$U:$U,Data!$A:$A,$B24,Data!$C:$C,D$1)=0,"",SUMIFS(Data!$U:$U,Data!$A:$A,$B24,Data!$C:$C,D$1))</f>
        <v>3.0392857142857141</v>
      </c>
      <c r="E24" s="31">
        <f>IF(SUMIFS(Data!$U:$U,Data!$A:$A,$B24,Data!$C:$C,E$1)=0,"",SUMIFS(Data!$U:$U,Data!$A:$A,$B24,Data!$C:$C,E$1))</f>
        <v>3.030761904761905</v>
      </c>
      <c r="F24" s="31">
        <f>IF(SUMIFS(Data!$U:$U,Data!$A:$A,$B24,Data!$C:$C,F$1)=0,"",SUMIFS(Data!$U:$U,Data!$A:$A,$B24,Data!$C:$C,F$1))</f>
        <v>3.8174999999999999</v>
      </c>
      <c r="G24" s="31">
        <f>IF(SUMIFS(Data!$U:$U,Data!$A:$A,$B24,Data!$C:$C,G$1)=0,"",SUMIFS(Data!$U:$U,Data!$A:$A,$B24,Data!$C:$C,G$1))</f>
        <v>2.5779761904761904</v>
      </c>
      <c r="H24" s="31">
        <f>IF(SUMIFS(Data!$U:$U,Data!$A:$A,$B24,Data!$C:$C,H$1)=0,"",SUMIFS(Data!$U:$U,Data!$A:$A,$B24,Data!$C:$C,H$1))</f>
        <v>3.2810000000000001</v>
      </c>
      <c r="I24" s="31">
        <f>IF(SUMIFS(Data!$U:$U,Data!$A:$A,$B24,Data!$C:$C,I$1)=0,"",SUMIFS(Data!$U:$U,Data!$A:$A,$B24,Data!$C:$C,I$1))</f>
        <v>4.0633333333333335</v>
      </c>
      <c r="J24" s="31">
        <f>IF(SUMIFS(Data!$U:$U,Data!$A:$A,$B24,Data!$C:$C,J$1)=0,"",SUMIFS(Data!$U:$U,Data!$A:$A,$B24,Data!$C:$C,J$1))</f>
        <v>3.1696428571428572</v>
      </c>
      <c r="K24" s="31">
        <f>IF(SUMIFS(Data!$U:$U,Data!$A:$A,$B24,Data!$C:$C,K$1)=0,"",SUMIFS(Data!$U:$U,Data!$A:$A,$B24,Data!$C:$C,K$1))</f>
        <v>4.3186666666666671</v>
      </c>
      <c r="L24" s="31">
        <f>IF(SUMIFS(Data!$U:$U,Data!$A:$A,$B24,Data!$C:$C,L$1)=0,"",SUMIFS(Data!$U:$U,Data!$A:$A,$B24,Data!$C:$C,L$1))</f>
        <v>2.2426666666666666</v>
      </c>
      <c r="M24" s="31">
        <f>IF(SUMIFS(Data!$U:$U,Data!$A:$A,$B24,Data!$C:$C,M$1)=0,"",SUMIFS(Data!$U:$U,Data!$A:$A,$B24,Data!$C:$C,M$1))</f>
        <v>3.2827380952380953</v>
      </c>
      <c r="N24" s="31">
        <f>IF(SUMIFS(Data!$U:$U,Data!$A:$A,$B24,Data!$C:$C,N$1)=0,"",SUMIFS(Data!$U:$U,Data!$A:$A,$B24,Data!$C:$C,N$1))</f>
        <v>3.3503333333333334</v>
      </c>
      <c r="O24" s="31">
        <f>IF(SUMIFS(Data!$U:$U,Data!$A:$A,$B24,Data!$C:$C,O$1)=0,"",SUMIFS(Data!$U:$U,Data!$A:$A,$B24,Data!$C:$C,O$1))</f>
        <v>5.4708333333333332</v>
      </c>
      <c r="P24" s="31">
        <f>IF(SUMIFS(Data!$U:$U,Data!$A:$A,$B24,Data!$C:$C,P$1)=0,"",SUMIFS(Data!$U:$U,Data!$A:$A,$B24,Data!$C:$C,P$1))</f>
        <v>2.8573333333333335</v>
      </c>
      <c r="Q24" s="31">
        <f>IF(SUMIFS(Data!$U:$U,Data!$A:$A,$B24,Data!$C:$C,Q$1)=0,"",SUMIFS(Data!$U:$U,Data!$A:$A,$B24,Data!$C:$C,Q$1))</f>
        <v>3.1577380952380953</v>
      </c>
      <c r="R24" s="31">
        <f>VLOOKUP(W24,Barem!$W$39:$X$54,2,0)</f>
        <v>3</v>
      </c>
      <c r="S24" s="31">
        <f>SUM(C24:R24)</f>
        <v>53.820523809523806</v>
      </c>
      <c r="T24" s="31">
        <f>SUMIFS(Data!D:D,Data!A:A,'#ligaSYR'!B34)</f>
        <v>188.03</v>
      </c>
      <c r="U24" s="1" t="str">
        <f>IF(VLOOKUP(B24,Participanti!A:D,4,0)=0," ","New")</f>
        <v xml:space="preserve"> </v>
      </c>
      <c r="W24" s="116">
        <f>SUMIFS(Data!Z:Z,Data!A:A,'#ligaSYR'!B24)</f>
        <v>11</v>
      </c>
      <c r="X24" s="116" t="s">
        <v>312</v>
      </c>
      <c r="AE24" s="1" t="str">
        <f>VLOOKUP(B24,Participanti!A:B,2,0)</f>
        <v>M</v>
      </c>
      <c r="AF24" s="1" t="e">
        <f>VLOOKUP(B24,Data_Echipe!A:R,18,0)</f>
        <v>#N/A</v>
      </c>
    </row>
    <row r="25" spans="1:32" ht="13" x14ac:dyDescent="0.3">
      <c r="A25" s="79">
        <v>24</v>
      </c>
      <c r="B25" s="30" t="s">
        <v>335</v>
      </c>
      <c r="C25" s="31">
        <f>IF(SUMIFS(Data!$U:$U,Data!$A:$A,$B25,Data!$C:$C,C$1)=0,"",SUMIFS(Data!$U:$U,Data!$A:$A,$B25,Data!$C:$C,C$1))</f>
        <v>2.6208333333333331</v>
      </c>
      <c r="D25" s="31">
        <f>IF(SUMIFS(Data!$U:$U,Data!$A:$A,$B25,Data!$C:$C,D$1)=0,"",SUMIFS(Data!$U:$U,Data!$A:$A,$B25,Data!$C:$C,D$1))</f>
        <v>2.3702380952380953</v>
      </c>
      <c r="E25" s="31">
        <f>IF(SUMIFS(Data!$U:$U,Data!$A:$A,$B25,Data!$C:$C,E$1)=0,"",SUMIFS(Data!$U:$U,Data!$A:$A,$B25,Data!$C:$C,E$1))</f>
        <v>2.3374999999999999</v>
      </c>
      <c r="F25" s="31">
        <f>IF(SUMIFS(Data!$U:$U,Data!$A:$A,$B25,Data!$C:$C,F$1)=0,"",SUMIFS(Data!$U:$U,Data!$A:$A,$B25,Data!$C:$C,F$1))</f>
        <v>4.0419999999999998</v>
      </c>
      <c r="G25" s="31">
        <f>IF(SUMIFS(Data!$U:$U,Data!$A:$A,$B25,Data!$C:$C,G$1)=0,"",SUMIFS(Data!$U:$U,Data!$A:$A,$B25,Data!$C:$C,G$1))</f>
        <v>2.5696904761904764</v>
      </c>
      <c r="H25" s="31">
        <f>IF(SUMIFS(Data!$U:$U,Data!$A:$A,$B25,Data!$C:$C,H$1)=0,"",SUMIFS(Data!$U:$U,Data!$A:$A,$B25,Data!$C:$C,H$1))</f>
        <v>3.1677142857142857</v>
      </c>
      <c r="I25" s="31">
        <f>IF(SUMIFS(Data!$U:$U,Data!$A:$A,$B25,Data!$C:$C,I$1)=0,"",SUMIFS(Data!$U:$U,Data!$A:$A,$B25,Data!$C:$C,I$1))</f>
        <v>4.3018333333333336</v>
      </c>
      <c r="J25" s="31">
        <f>IF(SUMIFS(Data!$U:$U,Data!$A:$A,$B25,Data!$C:$C,J$1)=0,"",SUMIFS(Data!$U:$U,Data!$A:$A,$B25,Data!$C:$C,J$1))</f>
        <v>3.65</v>
      </c>
      <c r="K25" s="31">
        <f>IF(SUMIFS(Data!$U:$U,Data!$A:$A,$B25,Data!$C:$C,K$1)=0,"",SUMIFS(Data!$U:$U,Data!$A:$A,$B25,Data!$C:$C,K$1))</f>
        <v>3.8003095238095237</v>
      </c>
      <c r="L25" s="31">
        <f>IF(SUMIFS(Data!$U:$U,Data!$A:$A,$B25,Data!$C:$C,L$1)=0,"",SUMIFS(Data!$U:$U,Data!$A:$A,$B25,Data!$C:$C,L$1))</f>
        <v>4.7125000000000004</v>
      </c>
      <c r="M25" s="31">
        <f>IF(SUMIFS(Data!$U:$U,Data!$A:$A,$B25,Data!$C:$C,M$1)=0,"",SUMIFS(Data!$U:$U,Data!$A:$A,$B25,Data!$C:$C,M$1))</f>
        <v>2.4476190476190474</v>
      </c>
      <c r="N25" s="31">
        <f>IF(SUMIFS(Data!$U:$U,Data!$A:$A,$B25,Data!$C:$C,N$1)=0,"",SUMIFS(Data!$U:$U,Data!$A:$A,$B25,Data!$C:$C,N$1))</f>
        <v>2.8291666666666666</v>
      </c>
      <c r="O25" s="31">
        <f>IF(SUMIFS(Data!$U:$U,Data!$A:$A,$B25,Data!$C:$C,O$1)=0,"",SUMIFS(Data!$U:$U,Data!$A:$A,$B25,Data!$C:$C,O$1))</f>
        <v>4.6160000000000005</v>
      </c>
      <c r="P25" s="31">
        <f>IF(SUMIFS(Data!$U:$U,Data!$A:$A,$B25,Data!$C:$C,P$1)=0,"",SUMIFS(Data!$U:$U,Data!$A:$A,$B25,Data!$C:$C,P$1))</f>
        <v>1.8821428571428571</v>
      </c>
      <c r="Q25" s="31">
        <f>IF(SUMIFS(Data!$U:$U,Data!$A:$A,$B25,Data!$C:$C,Q$1)=0,"",SUMIFS(Data!$U:$U,Data!$A:$A,$B25,Data!$C:$C,Q$1))</f>
        <v>3.1858571428571425</v>
      </c>
      <c r="R25" s="31">
        <f>VLOOKUP(W25,Barem!$W$39:$X$54,2,0)</f>
        <v>5</v>
      </c>
      <c r="S25" s="31">
        <f>SUM(C25:R25)</f>
        <v>53.533404761904769</v>
      </c>
      <c r="T25" s="31">
        <f>SUMIFS(Data!D:D,Data!A:A,'#ligaSYR'!B51)</f>
        <v>138.38</v>
      </c>
      <c r="U25" s="1" t="str">
        <f>IF(VLOOKUP(B25,Participanti!A:D,4,0)=0," ","New")</f>
        <v>New</v>
      </c>
      <c r="W25" s="116">
        <f>SUMIFS(Data!Z:Z,Data!A:A,'#ligaSYR'!B25)</f>
        <v>15</v>
      </c>
      <c r="X25" s="116"/>
      <c r="AF25" s="1" t="e">
        <f>VLOOKUP(B25,Data_Echipe!A:R,18,0)</f>
        <v>#N/A</v>
      </c>
    </row>
    <row r="26" spans="1:32" ht="13" x14ac:dyDescent="0.3">
      <c r="A26" s="79">
        <v>25</v>
      </c>
      <c r="B26" s="30" t="s">
        <v>279</v>
      </c>
      <c r="C26" s="31">
        <f>IF(SUMIFS(Data!$U:$U,Data!$A:$A,$B26,Data!$C:$C,C$1)=0,"",SUMIFS(Data!$U:$U,Data!$A:$A,$B26,Data!$C:$C,C$1))</f>
        <v>2.668190476190476</v>
      </c>
      <c r="D26" s="31">
        <f>IF(SUMIFS(Data!$U:$U,Data!$A:$A,$B26,Data!$C:$C,D$1)=0,"",SUMIFS(Data!$U:$U,Data!$A:$A,$B26,Data!$C:$C,D$1))</f>
        <v>3.0463095238095241</v>
      </c>
      <c r="E26" s="31">
        <f>IF(SUMIFS(Data!$U:$U,Data!$A:$A,$B26,Data!$C:$C,E$1)=0,"",SUMIFS(Data!$U:$U,Data!$A:$A,$B26,Data!$C:$C,E$1))</f>
        <v>3.3934523809523807</v>
      </c>
      <c r="F26" s="31">
        <f>IF(SUMIFS(Data!$U:$U,Data!$A:$A,$B26,Data!$C:$C,F$1)=0,"",SUMIFS(Data!$U:$U,Data!$A:$A,$B26,Data!$C:$C,F$1))</f>
        <v>3.7736428571428573</v>
      </c>
      <c r="G26" s="31">
        <f>IF(SUMIFS(Data!$U:$U,Data!$A:$A,$B26,Data!$C:$C,G$1)=0,"",SUMIFS(Data!$U:$U,Data!$A:$A,$B26,Data!$C:$C,G$1))</f>
        <v>4.0999999999999996</v>
      </c>
      <c r="H26" s="31">
        <f>IF(SUMIFS(Data!$U:$U,Data!$A:$A,$B26,Data!$C:$C,H$1)=0,"",SUMIFS(Data!$U:$U,Data!$A:$A,$B26,Data!$C:$C,H$1))</f>
        <v>3.9440476190476188</v>
      </c>
      <c r="I26" s="31">
        <f>IF(SUMIFS(Data!$U:$U,Data!$A:$A,$B26,Data!$C:$C,I$1)=0,"",SUMIFS(Data!$U:$U,Data!$A:$A,$B26,Data!$C:$C,I$1))</f>
        <v>3.5455000000000001</v>
      </c>
      <c r="J26" s="31">
        <f>IF(SUMIFS(Data!$U:$U,Data!$A:$A,$B26,Data!$C:$C,J$1)=0,"",SUMIFS(Data!$U:$U,Data!$A:$A,$B26,Data!$C:$C,J$1))</f>
        <v>4.023309523809524</v>
      </c>
      <c r="K26" s="31">
        <f>IF(SUMIFS(Data!$U:$U,Data!$A:$A,$B26,Data!$C:$C,K$1)=0,"",SUMIFS(Data!$U:$U,Data!$A:$A,$B26,Data!$C:$C,K$1))</f>
        <v>4.6686666666666667</v>
      </c>
      <c r="L26" s="31">
        <f>IF(SUMIFS(Data!$U:$U,Data!$A:$A,$B26,Data!$C:$C,L$1)=0,"",SUMIFS(Data!$U:$U,Data!$A:$A,$B26,Data!$C:$C,L$1))</f>
        <v>4.0816666666666661</v>
      </c>
      <c r="M26" s="31">
        <f>IF(SUMIFS(Data!$U:$U,Data!$A:$A,$B26,Data!$C:$C,M$1)=0,"",SUMIFS(Data!$U:$U,Data!$A:$A,$B26,Data!$C:$C,M$1))</f>
        <v>2.8744047619047617</v>
      </c>
      <c r="N26" s="31">
        <f>IF(SUMIFS(Data!$U:$U,Data!$A:$A,$B26,Data!$C:$C,N$1)=0,"",SUMIFS(Data!$U:$U,Data!$A:$A,$B26,Data!$C:$C,N$1))</f>
        <v>4.4089285714285715</v>
      </c>
      <c r="O26" s="31" t="str">
        <f>IF(SUMIFS(Data!$U:$U,Data!$A:$A,$B26,Data!$C:$C,O$1)=0,"",SUMIFS(Data!$U:$U,Data!$A:$A,$B26,Data!$C:$C,O$1))</f>
        <v/>
      </c>
      <c r="P26" s="31">
        <f>IF(SUMIFS(Data!$U:$U,Data!$A:$A,$B26,Data!$C:$C,P$1)=0,"",SUMIFS(Data!$U:$U,Data!$A:$A,$B26,Data!$C:$C,P$1))</f>
        <v>3.1693333333333333</v>
      </c>
      <c r="Q26" s="31" t="str">
        <f>IF(SUMIFS(Data!$U:$U,Data!$A:$A,$B26,Data!$C:$C,Q$1)=0,"",SUMIFS(Data!$U:$U,Data!$A:$A,$B26,Data!$C:$C,Q$1))</f>
        <v/>
      </c>
      <c r="R26" s="31">
        <f>VLOOKUP(W26,Barem!$W$39:$X$54,2,0)</f>
        <v>4</v>
      </c>
      <c r="S26" s="31">
        <f>SUM(C26:R26)</f>
        <v>51.697452380952377</v>
      </c>
      <c r="T26" s="31">
        <f>SUMIFS(Data!D:D,Data!A:A,'#ligaSYR'!B41)</f>
        <v>162.49000000000004</v>
      </c>
      <c r="U26" s="1" t="str">
        <f>IF(VLOOKUP(B26,Participanti!A:D,4,0)=0," ","New")</f>
        <v xml:space="preserve"> </v>
      </c>
      <c r="W26" s="116">
        <f>SUMIFS(Data!Z:Z,Data!A:A,'#ligaSYR'!B26)</f>
        <v>13</v>
      </c>
      <c r="X26" s="116"/>
      <c r="AF26" s="1" t="str">
        <f>VLOOKUP(B26,Data_Echipe!A:R,18,0)</f>
        <v>Almost Kenyan Runners</v>
      </c>
    </row>
    <row r="27" spans="1:32" ht="13" x14ac:dyDescent="0.3">
      <c r="A27" s="79">
        <v>26</v>
      </c>
      <c r="B27" s="30" t="s">
        <v>375</v>
      </c>
      <c r="C27" s="31">
        <f>IF(SUMIFS(Data!$U:$U,Data!$A:$A,$B27,Data!$C:$C,C$1)=0,"",SUMIFS(Data!$U:$U,Data!$A:$A,$B27,Data!$C:$C,C$1))</f>
        <v>2.8267619047619048</v>
      </c>
      <c r="D27" s="31">
        <f>IF(SUMIFS(Data!$U:$U,Data!$A:$A,$B27,Data!$C:$C,D$1)=0,"",SUMIFS(Data!$U:$U,Data!$A:$A,$B27,Data!$C:$C,D$1))</f>
        <v>3.7374999999999998</v>
      </c>
      <c r="E27" s="31">
        <f>IF(SUMIFS(Data!$U:$U,Data!$A:$A,$B27,Data!$C:$C,E$1)=0,"",SUMIFS(Data!$U:$U,Data!$A:$A,$B27,Data!$C:$C,E$1))</f>
        <v>3.3704999999999998</v>
      </c>
      <c r="F27" s="31">
        <f>IF(SUMIFS(Data!$U:$U,Data!$A:$A,$B27,Data!$C:$C,F$1)=0,"",SUMIFS(Data!$U:$U,Data!$A:$A,$B27,Data!$C:$C,F$1))</f>
        <v>2.8047619047619046</v>
      </c>
      <c r="G27" s="31">
        <f>IF(SUMIFS(Data!$U:$U,Data!$A:$A,$B27,Data!$C:$C,G$1)=0,"",SUMIFS(Data!$U:$U,Data!$A:$A,$B27,Data!$C:$C,G$1))</f>
        <v>2.6035714285714286</v>
      </c>
      <c r="H27" s="31">
        <f>IF(SUMIFS(Data!$U:$U,Data!$A:$A,$B27,Data!$C:$C,H$1)=0,"",SUMIFS(Data!$U:$U,Data!$A:$A,$B27,Data!$C:$C,H$1))</f>
        <v>3.6920238095238096</v>
      </c>
      <c r="I27" s="31">
        <f>IF(SUMIFS(Data!$U:$U,Data!$A:$A,$B27,Data!$C:$C,I$1)=0,"",SUMIFS(Data!$U:$U,Data!$A:$A,$B27,Data!$C:$C,I$1))</f>
        <v>3.3676190476190477</v>
      </c>
      <c r="J27" s="31">
        <f>IF(SUMIFS(Data!$U:$U,Data!$A:$A,$B27,Data!$C:$C,J$1)=0,"",SUMIFS(Data!$U:$U,Data!$A:$A,$B27,Data!$C:$C,J$1))</f>
        <v>3.6172142857142853</v>
      </c>
      <c r="K27" s="31">
        <f>IF(SUMIFS(Data!$U:$U,Data!$A:$A,$B27,Data!$C:$C,K$1)=0,"",SUMIFS(Data!$U:$U,Data!$A:$A,$B27,Data!$C:$C,K$1))</f>
        <v>3.0505714285714287</v>
      </c>
      <c r="L27" s="31">
        <f>IF(SUMIFS(Data!$U:$U,Data!$A:$A,$B27,Data!$C:$C,L$1)=0,"",SUMIFS(Data!$U:$U,Data!$A:$A,$B27,Data!$C:$C,L$1))</f>
        <v>2.676190476190476</v>
      </c>
      <c r="M27" s="31">
        <f>IF(SUMIFS(Data!$U:$U,Data!$A:$A,$B27,Data!$C:$C,M$1)=0,"",SUMIFS(Data!$U:$U,Data!$A:$A,$B27,Data!$C:$C,M$1))</f>
        <v>3.8458333333333337</v>
      </c>
      <c r="N27" s="31">
        <f>IF(SUMIFS(Data!$U:$U,Data!$A:$A,$B27,Data!$C:$C,N$1)=0,"",SUMIFS(Data!$U:$U,Data!$A:$A,$B27,Data!$C:$C,N$1))</f>
        <v>2.7136904761904761</v>
      </c>
      <c r="O27" s="31">
        <f>IF(SUMIFS(Data!$U:$U,Data!$A:$A,$B27,Data!$C:$C,O$1)=0,"",SUMIFS(Data!$U:$U,Data!$A:$A,$B27,Data!$C:$C,O$1))</f>
        <v>2.3571428571428572</v>
      </c>
      <c r="P27" s="31">
        <f>IF(SUMIFS(Data!$U:$U,Data!$A:$A,$B27,Data!$C:$C,P$1)=0,"",SUMIFS(Data!$U:$U,Data!$A:$A,$B27,Data!$C:$C,P$1))</f>
        <v>2.1523333333333334</v>
      </c>
      <c r="Q27" s="31">
        <f>IF(SUMIFS(Data!$U:$U,Data!$A:$A,$B27,Data!$C:$C,Q$1)=0,"",SUMIFS(Data!$U:$U,Data!$A:$A,$B27,Data!$C:$C,Q$1))</f>
        <v>4.4831666666666665</v>
      </c>
      <c r="R27" s="31">
        <f>VLOOKUP(W27,Barem!$W$39:$X$54,2,0)</f>
        <v>4</v>
      </c>
      <c r="S27" s="31">
        <f>SUM(C27:R27)</f>
        <v>51.298880952380955</v>
      </c>
      <c r="T27" s="31">
        <f>SUMIFS(Data!D:D,Data!A:A,'#ligaSYR'!B28)</f>
        <v>236.57</v>
      </c>
      <c r="U27" s="1" t="str">
        <f>IF(VLOOKUP(B27,Participanti!A:D,4,0)=0," ","New")</f>
        <v>New</v>
      </c>
      <c r="W27" s="116">
        <f>SUMIFS(Data!Z:Z,Data!A:A,'#ligaSYR'!B27)</f>
        <v>13</v>
      </c>
      <c r="X27" s="116"/>
      <c r="AF27" s="1" t="e">
        <f>VLOOKUP(B27,Data_Echipe!A:R,18,0)</f>
        <v>#N/A</v>
      </c>
    </row>
    <row r="28" spans="1:32" ht="13" x14ac:dyDescent="0.3">
      <c r="A28" s="79">
        <v>27</v>
      </c>
      <c r="B28" s="30" t="s">
        <v>252</v>
      </c>
      <c r="C28" s="31">
        <f>IF(SUMIFS(Data!$U:$U,Data!$A:$A,$B28,Data!$C:$C,C$1)=0,"",SUMIFS(Data!$U:$U,Data!$A:$A,$B28,Data!$C:$C,C$1))</f>
        <v>2.852380952380952</v>
      </c>
      <c r="D28" s="31">
        <f>IF(SUMIFS(Data!$U:$U,Data!$A:$A,$B28,Data!$C:$C,D$1)=0,"",SUMIFS(Data!$U:$U,Data!$A:$A,$B28,Data!$C:$C,D$1))</f>
        <v>3.0339285714285715</v>
      </c>
      <c r="E28" s="31">
        <f>IF(SUMIFS(Data!$U:$U,Data!$A:$A,$B28,Data!$C:$C,E$1)=0,"",SUMIFS(Data!$U:$U,Data!$A:$A,$B28,Data!$C:$C,E$1))</f>
        <v>3.9218333333333337</v>
      </c>
      <c r="F28" s="31">
        <f>IF(SUMIFS(Data!$U:$U,Data!$A:$A,$B28,Data!$C:$C,F$1)=0,"",SUMIFS(Data!$U:$U,Data!$A:$A,$B28,Data!$C:$C,F$1))</f>
        <v>4.2607142857142861</v>
      </c>
      <c r="G28" s="31">
        <f>IF(SUMIFS(Data!$U:$U,Data!$A:$A,$B28,Data!$C:$C,G$1)=0,"",SUMIFS(Data!$U:$U,Data!$A:$A,$B28,Data!$C:$C,G$1))</f>
        <v>3.2767619047619045</v>
      </c>
      <c r="H28" s="31">
        <f>IF(SUMIFS(Data!$U:$U,Data!$A:$A,$B28,Data!$C:$C,H$1)=0,"",SUMIFS(Data!$U:$U,Data!$A:$A,$B28,Data!$C:$C,H$1))</f>
        <v>2.4059523809523808</v>
      </c>
      <c r="I28" s="31">
        <f>IF(SUMIFS(Data!$U:$U,Data!$A:$A,$B28,Data!$C:$C,I$1)=0,"",SUMIFS(Data!$U:$U,Data!$A:$A,$B28,Data!$C:$C,I$1))</f>
        <v>3.625</v>
      </c>
      <c r="J28" s="31">
        <f>IF(SUMIFS(Data!$U:$U,Data!$A:$A,$B28,Data!$C:$C,J$1)=0,"",SUMIFS(Data!$U:$U,Data!$A:$A,$B28,Data!$C:$C,J$1))</f>
        <v>2.9327380952380953</v>
      </c>
      <c r="K28" s="31">
        <f>IF(SUMIFS(Data!$U:$U,Data!$A:$A,$B28,Data!$C:$C,K$1)=0,"",SUMIFS(Data!$U:$U,Data!$A:$A,$B28,Data!$C:$C,K$1))</f>
        <v>3.1623333333333332</v>
      </c>
      <c r="L28" s="31">
        <f>IF(SUMIFS(Data!$U:$U,Data!$A:$A,$B28,Data!$C:$C,L$1)=0,"",SUMIFS(Data!$U:$U,Data!$A:$A,$B28,Data!$C:$C,L$1))</f>
        <v>3.1985000000000001</v>
      </c>
      <c r="M28" s="31">
        <f>IF(SUMIFS(Data!$U:$U,Data!$A:$A,$B28,Data!$C:$C,M$1)=0,"",SUMIFS(Data!$U:$U,Data!$A:$A,$B28,Data!$C:$C,M$1))</f>
        <v>3.5476190476190474</v>
      </c>
      <c r="N28" s="31">
        <f>IF(SUMIFS(Data!$U:$U,Data!$A:$A,$B28,Data!$C:$C,N$1)=0,"",SUMIFS(Data!$U:$U,Data!$A:$A,$B28,Data!$C:$C,N$1))</f>
        <v>2.5703333333333331</v>
      </c>
      <c r="O28" s="31">
        <f>IF(SUMIFS(Data!$U:$U,Data!$A:$A,$B28,Data!$C:$C,O$1)=0,"",SUMIFS(Data!$U:$U,Data!$A:$A,$B28,Data!$C:$C,O$1))</f>
        <v>5.1583333333333332</v>
      </c>
      <c r="P28" s="31">
        <f>IF(SUMIFS(Data!$U:$U,Data!$A:$A,$B28,Data!$C:$C,P$1)=0,"",SUMIFS(Data!$U:$U,Data!$A:$A,$B28,Data!$C:$C,P$1))</f>
        <v>1.5688333333333333</v>
      </c>
      <c r="Q28" s="31">
        <f>IF(SUMIFS(Data!$U:$U,Data!$A:$A,$B28,Data!$C:$C,Q$1)=0,"",SUMIFS(Data!$U:$U,Data!$A:$A,$B28,Data!$C:$C,Q$1))</f>
        <v>1.4232142857142858</v>
      </c>
      <c r="R28" s="31">
        <f>VLOOKUP(W28,Barem!$W$39:$X$54,2,0)</f>
        <v>4</v>
      </c>
      <c r="S28" s="31">
        <f>SUM(C28:R28)</f>
        <v>50.93847619047618</v>
      </c>
      <c r="T28" s="31">
        <f>SUMIFS(Data!D:D,Data!A:A,'#ligaSYR'!B37)</f>
        <v>153.13</v>
      </c>
      <c r="U28" s="1" t="str">
        <f>IF(VLOOKUP(B28,Participanti!A:D,4,0)=0," ","New")</f>
        <v xml:space="preserve"> </v>
      </c>
      <c r="W28" s="116">
        <f>SUMIFS(Data!Z:Z,Data!A:A,'#ligaSYR'!B28)</f>
        <v>13</v>
      </c>
      <c r="X28" s="116" t="s">
        <v>312</v>
      </c>
      <c r="AA28" s="1" t="s">
        <v>312</v>
      </c>
      <c r="AB28" s="1" t="s">
        <v>312</v>
      </c>
      <c r="AC28" s="1" t="s">
        <v>312</v>
      </c>
      <c r="AD28" s="1" t="s">
        <v>312</v>
      </c>
      <c r="AE28" s="1" t="str">
        <f>VLOOKUP(B28,Participanti!A:B,2,0)</f>
        <v>M</v>
      </c>
      <c r="AF28" s="1" t="str">
        <f>VLOOKUP(B28,Data_Echipe!A:R,18,0)</f>
        <v>UltraHaita lu' Borcan</v>
      </c>
    </row>
    <row r="29" spans="1:32" ht="13" x14ac:dyDescent="0.3">
      <c r="A29" s="79">
        <v>28</v>
      </c>
      <c r="B29" s="30" t="s">
        <v>132</v>
      </c>
      <c r="C29" s="31">
        <f>IF(SUMIFS(Data!$U:$U,Data!$A:$A,$B29,Data!$C:$C,C$1)=0,"",SUMIFS(Data!$U:$U,Data!$A:$A,$B29,Data!$C:$C,C$1))</f>
        <v>2.1875</v>
      </c>
      <c r="D29" s="31">
        <f>IF(SUMIFS(Data!$U:$U,Data!$A:$A,$B29,Data!$C:$C,D$1)=0,"",SUMIFS(Data!$U:$U,Data!$A:$A,$B29,Data!$C:$C,D$1))</f>
        <v>3.3726666666666669</v>
      </c>
      <c r="E29" s="31">
        <f>IF(SUMIFS(Data!$U:$U,Data!$A:$A,$B29,Data!$C:$C,E$1)=0,"",SUMIFS(Data!$U:$U,Data!$A:$A,$B29,Data!$C:$C,E$1))</f>
        <v>2.4375</v>
      </c>
      <c r="F29" s="31">
        <f>IF(SUMIFS(Data!$U:$U,Data!$A:$A,$B29,Data!$C:$C,F$1)=0,"",SUMIFS(Data!$U:$U,Data!$A:$A,$B29,Data!$C:$C,F$1))</f>
        <v>3.9305000000000003</v>
      </c>
      <c r="G29" s="31">
        <f>IF(SUMIFS(Data!$U:$U,Data!$A:$A,$B29,Data!$C:$C,G$1)=0,"",SUMIFS(Data!$U:$U,Data!$A:$A,$B29,Data!$C:$C,G$1))</f>
        <v>2.8554166666666667</v>
      </c>
      <c r="H29" s="31">
        <f>IF(SUMIFS(Data!$U:$U,Data!$A:$A,$B29,Data!$C:$C,H$1)=0,"",SUMIFS(Data!$U:$U,Data!$A:$A,$B29,Data!$C:$C,H$1))</f>
        <v>2.9456250000000002</v>
      </c>
      <c r="I29" s="31">
        <f>IF(SUMIFS(Data!$U:$U,Data!$A:$A,$B29,Data!$C:$C,I$1)=0,"",SUMIFS(Data!$U:$U,Data!$A:$A,$B29,Data!$C:$C,I$1))</f>
        <v>2.2537500000000001</v>
      </c>
      <c r="J29" s="31">
        <f>IF(SUMIFS(Data!$U:$U,Data!$A:$A,$B29,Data!$C:$C,J$1)=0,"",SUMIFS(Data!$U:$U,Data!$A:$A,$B29,Data!$C:$C,J$1))</f>
        <v>3.7925</v>
      </c>
      <c r="K29" s="31">
        <f>IF(SUMIFS(Data!$U:$U,Data!$A:$A,$B29,Data!$C:$C,K$1)=0,"",SUMIFS(Data!$U:$U,Data!$A:$A,$B29,Data!$C:$C,K$1))</f>
        <v>3.7438333333333333</v>
      </c>
      <c r="L29" s="31">
        <f>IF(SUMIFS(Data!$U:$U,Data!$A:$A,$B29,Data!$C:$C,L$1)=0,"",SUMIFS(Data!$U:$U,Data!$A:$A,$B29,Data!$C:$C,L$1))</f>
        <v>2.4787499999999998</v>
      </c>
      <c r="M29" s="31">
        <f>IF(SUMIFS(Data!$U:$U,Data!$A:$A,$B29,Data!$C:$C,M$1)=0,"",SUMIFS(Data!$U:$U,Data!$A:$A,$B29,Data!$C:$C,M$1))</f>
        <v>3.8125</v>
      </c>
      <c r="N29" s="31">
        <f>IF(SUMIFS(Data!$U:$U,Data!$A:$A,$B29,Data!$C:$C,N$1)=0,"",SUMIFS(Data!$U:$U,Data!$A:$A,$B29,Data!$C:$C,N$1))</f>
        <v>2.5018750000000001</v>
      </c>
      <c r="O29" s="31">
        <f>IF(SUMIFS(Data!$U:$U,Data!$A:$A,$B29,Data!$C:$C,O$1)=0,"",SUMIFS(Data!$U:$U,Data!$A:$A,$B29,Data!$C:$C,O$1))</f>
        <v>3.7311666666666667</v>
      </c>
      <c r="P29" s="31">
        <f>IF(SUMIFS(Data!$U:$U,Data!$A:$A,$B29,Data!$C:$C,P$1)=0,"",SUMIFS(Data!$U:$U,Data!$A:$A,$B29,Data!$C:$C,P$1))</f>
        <v>2.1924999999999999</v>
      </c>
      <c r="Q29" s="31">
        <f>IF(SUMIFS(Data!$U:$U,Data!$A:$A,$B29,Data!$C:$C,Q$1)=0,"",SUMIFS(Data!$U:$U,Data!$A:$A,$B29,Data!$C:$C,Q$1))</f>
        <v>2.0012499999999998</v>
      </c>
      <c r="R29" s="31">
        <f>VLOOKUP(W29,Barem!$W$39:$X$54,2,0)</f>
        <v>5</v>
      </c>
      <c r="S29" s="31">
        <f>SUM(C29:R29)</f>
        <v>49.237333333333339</v>
      </c>
      <c r="T29" s="31">
        <f>SUMIFS(Data!D:D,Data!A:A,'#ligaSYR'!B45)</f>
        <v>175</v>
      </c>
      <c r="U29" s="1" t="str">
        <f>IF(VLOOKUP(B29,Participanti!A:D,4,0)=0," ","New")</f>
        <v xml:space="preserve"> </v>
      </c>
      <c r="W29" s="116">
        <f>SUMIFS(Data!Z:Z,Data!A:A,'#ligaSYR'!B29)</f>
        <v>14</v>
      </c>
      <c r="X29" s="116"/>
      <c r="AE29" s="1" t="str">
        <f>VLOOKUP(B29,Participanti!A:B,2,0)</f>
        <v>F</v>
      </c>
      <c r="AF29" s="1" t="str">
        <f>VLOOKUP(B29,Data_Echipe!A:R,18,0)</f>
        <v>MedgidiaRunning</v>
      </c>
    </row>
    <row r="30" spans="1:32" ht="13" x14ac:dyDescent="0.3">
      <c r="A30" s="79">
        <v>29</v>
      </c>
      <c r="B30" s="30" t="s">
        <v>47</v>
      </c>
      <c r="C30" s="31">
        <f>IF(SUMIFS(Data!$U:$U,Data!$A:$A,$B30,Data!$C:$C,C$1)=0,"",SUMIFS(Data!$U:$U,Data!$A:$A,$B30,Data!$C:$C,C$1))</f>
        <v>3.7839285714285711</v>
      </c>
      <c r="D30" s="31">
        <f>IF(SUMIFS(Data!$U:$U,Data!$A:$A,$B30,Data!$C:$C,D$1)=0,"",SUMIFS(Data!$U:$U,Data!$A:$A,$B30,Data!$C:$C,D$1))</f>
        <v>4.25</v>
      </c>
      <c r="E30" s="31">
        <f>IF(SUMIFS(Data!$U:$U,Data!$A:$A,$B30,Data!$C:$C,E$1)=0,"",SUMIFS(Data!$U:$U,Data!$A:$A,$B30,Data!$C:$C,E$1))</f>
        <v>1.5</v>
      </c>
      <c r="F30" s="31" t="str">
        <f>IF(SUMIFS(Data!$U:$U,Data!$A:$A,$B30,Data!$C:$C,F$1)=0,"",SUMIFS(Data!$U:$U,Data!$A:$A,$B30,Data!$C:$C,F$1))</f>
        <v/>
      </c>
      <c r="G30" s="31">
        <f>IF(SUMIFS(Data!$U:$U,Data!$A:$A,$B30,Data!$C:$C,G$1)=0,"",SUMIFS(Data!$U:$U,Data!$A:$A,$B30,Data!$C:$C,G$1))</f>
        <v>2.611904761904762</v>
      </c>
      <c r="H30" s="31">
        <f>IF(SUMIFS(Data!$U:$U,Data!$A:$A,$B30,Data!$C:$C,H$1)=0,"",SUMIFS(Data!$U:$U,Data!$A:$A,$B30,Data!$C:$C,H$1))</f>
        <v>3.6875</v>
      </c>
      <c r="I30" s="31">
        <f>IF(SUMIFS(Data!$U:$U,Data!$A:$A,$B30,Data!$C:$C,I$1)=0,"",SUMIFS(Data!$U:$U,Data!$A:$A,$B30,Data!$C:$C,I$1))</f>
        <v>3.4059523809523808</v>
      </c>
      <c r="J30" s="31">
        <f>IF(SUMIFS(Data!$U:$U,Data!$A:$A,$B30,Data!$C:$C,J$1)=0,"",SUMIFS(Data!$U:$U,Data!$A:$A,$B30,Data!$C:$C,J$1))</f>
        <v>3.2755952380952378</v>
      </c>
      <c r="K30" s="31">
        <f>IF(SUMIFS(Data!$U:$U,Data!$A:$A,$B30,Data!$C:$C,K$1)=0,"",SUMIFS(Data!$U:$U,Data!$A:$A,$B30,Data!$C:$C,K$1))</f>
        <v>4.0625</v>
      </c>
      <c r="L30" s="31">
        <f>IF(SUMIFS(Data!$U:$U,Data!$A:$A,$B30,Data!$C:$C,L$1)=0,"",SUMIFS(Data!$U:$U,Data!$A:$A,$B30,Data!$C:$C,L$1))</f>
        <v>3.236904761904762</v>
      </c>
      <c r="M30" s="31">
        <f>IF(SUMIFS(Data!$U:$U,Data!$A:$A,$B30,Data!$C:$C,M$1)=0,"",SUMIFS(Data!$U:$U,Data!$A:$A,$B30,Data!$C:$C,M$1))</f>
        <v>3.7547619047619043</v>
      </c>
      <c r="N30" s="31">
        <f>IF(SUMIFS(Data!$U:$U,Data!$A:$A,$B30,Data!$C:$C,N$1)=0,"",SUMIFS(Data!$U:$U,Data!$A:$A,$B30,Data!$C:$C,N$1))</f>
        <v>3.4077380952380953</v>
      </c>
      <c r="O30" s="31">
        <f>IF(SUMIFS(Data!$U:$U,Data!$A:$A,$B30,Data!$C:$C,O$1)=0,"",SUMIFS(Data!$U:$U,Data!$A:$A,$B30,Data!$C:$C,O$1))</f>
        <v>3.4023809523809523</v>
      </c>
      <c r="P30" s="31">
        <f>IF(SUMIFS(Data!$U:$U,Data!$A:$A,$B30,Data!$C:$C,P$1)=0,"",SUMIFS(Data!$U:$U,Data!$A:$A,$B30,Data!$C:$C,P$1))</f>
        <v>2.5339285714285715</v>
      </c>
      <c r="Q30" s="31">
        <f>IF(SUMIFS(Data!$U:$U,Data!$A:$A,$B30,Data!$C:$C,Q$1)=0,"",SUMIFS(Data!$U:$U,Data!$A:$A,$B30,Data!$C:$C,Q$1))</f>
        <v>2.1016666666666666</v>
      </c>
      <c r="R30" s="31">
        <f>VLOOKUP(W30,Barem!$W$39:$X$54,2,0)</f>
        <v>4</v>
      </c>
      <c r="S30" s="31">
        <f>SUM(C30:R30)</f>
        <v>49.014761904761905</v>
      </c>
      <c r="T30" s="31">
        <f>SUMIFS(Data!D:D,Data!A:A,'#ligaSYR'!B14)</f>
        <v>301.58</v>
      </c>
      <c r="U30" s="1" t="str">
        <f>IF(VLOOKUP(B30,Participanti!A:D,4,0)=0," ","New")</f>
        <v xml:space="preserve"> </v>
      </c>
      <c r="W30" s="116">
        <f>SUMIFS(Data!Z:Z,Data!A:A,'#ligaSYR'!B30)</f>
        <v>13</v>
      </c>
      <c r="X30" s="116" t="s">
        <v>312</v>
      </c>
      <c r="AB30" s="1" t="s">
        <v>312</v>
      </c>
      <c r="AC30" s="1" t="s">
        <v>312</v>
      </c>
      <c r="AE30" s="1" t="str">
        <f>VLOOKUP(B30,Participanti!A:B,2,0)</f>
        <v>M</v>
      </c>
      <c r="AF30" s="1" t="str">
        <f>VLOOKUP(B30,Data_Echipe!A:R,18,0)</f>
        <v>The GOATs</v>
      </c>
    </row>
    <row r="31" spans="1:32" ht="13" x14ac:dyDescent="0.3">
      <c r="A31" s="79">
        <v>30</v>
      </c>
      <c r="B31" s="30" t="s">
        <v>331</v>
      </c>
      <c r="C31" s="31">
        <f>IF(SUMIFS(Data!$U:$U,Data!$A:$A,$B31,Data!$C:$C,C$1)=0,"",SUMIFS(Data!$U:$U,Data!$A:$A,$B31,Data!$C:$C,C$1))</f>
        <v>2.1256249999999999</v>
      </c>
      <c r="D31" s="31">
        <f>IF(SUMIFS(Data!$U:$U,Data!$A:$A,$B31,Data!$C:$C,D$1)=0,"",SUMIFS(Data!$U:$U,Data!$A:$A,$B31,Data!$C:$C,D$1))</f>
        <v>3.1887500000000002</v>
      </c>
      <c r="E31" s="31">
        <f>IF(SUMIFS(Data!$U:$U,Data!$A:$A,$B31,Data!$C:$C,E$1)=0,"",SUMIFS(Data!$U:$U,Data!$A:$A,$B31,Data!$C:$C,E$1))</f>
        <v>2.9837500000000001</v>
      </c>
      <c r="F31" s="31">
        <f>IF(SUMIFS(Data!$U:$U,Data!$A:$A,$B31,Data!$C:$C,F$1)=0,"",SUMIFS(Data!$U:$U,Data!$A:$A,$B31,Data!$C:$C,F$1))</f>
        <v>3.6871666666666667</v>
      </c>
      <c r="G31" s="31">
        <f>IF(SUMIFS(Data!$U:$U,Data!$A:$A,$B31,Data!$C:$C,G$1)=0,"",SUMIFS(Data!$U:$U,Data!$A:$A,$B31,Data!$C:$C,G$1))</f>
        <v>2.7825000000000002</v>
      </c>
      <c r="H31" s="31">
        <f>IF(SUMIFS(Data!$U:$U,Data!$A:$A,$B31,Data!$C:$C,H$1)=0,"",SUMIFS(Data!$U:$U,Data!$A:$A,$B31,Data!$C:$C,H$1))</f>
        <v>2.660625</v>
      </c>
      <c r="I31" s="31">
        <f>IF(SUMIFS(Data!$U:$U,Data!$A:$A,$B31,Data!$C:$C,I$1)=0,"",SUMIFS(Data!$U:$U,Data!$A:$A,$B31,Data!$C:$C,I$1))</f>
        <v>2.5125000000000002</v>
      </c>
      <c r="J31" s="31">
        <f>IF(SUMIFS(Data!$U:$U,Data!$A:$A,$B31,Data!$C:$C,J$1)=0,"",SUMIFS(Data!$U:$U,Data!$A:$A,$B31,Data!$C:$C,J$1))</f>
        <v>3.3669166666666666</v>
      </c>
      <c r="K31" s="31">
        <f>IF(SUMIFS(Data!$U:$U,Data!$A:$A,$B31,Data!$C:$C,K$1)=0,"",SUMIFS(Data!$U:$U,Data!$A:$A,$B31,Data!$C:$C,K$1))</f>
        <v>2.4387499999999998</v>
      </c>
      <c r="L31" s="31">
        <f>IF(SUMIFS(Data!$U:$U,Data!$A:$A,$B31,Data!$C:$C,L$1)=0,"",SUMIFS(Data!$U:$U,Data!$A:$A,$B31,Data!$C:$C,L$1))</f>
        <v>2.598125</v>
      </c>
      <c r="M31" s="31">
        <f>IF(SUMIFS(Data!$U:$U,Data!$A:$A,$B31,Data!$C:$C,M$1)=0,"",SUMIFS(Data!$U:$U,Data!$A:$A,$B31,Data!$C:$C,M$1))</f>
        <v>2.8912499999999999</v>
      </c>
      <c r="N31" s="31">
        <f>IF(SUMIFS(Data!$U:$U,Data!$A:$A,$B31,Data!$C:$C,N$1)=0,"",SUMIFS(Data!$U:$U,Data!$A:$A,$B31,Data!$C:$C,N$1))</f>
        <v>2.9934583333333333</v>
      </c>
      <c r="O31" s="31">
        <f>IF(SUMIFS(Data!$U:$U,Data!$A:$A,$B31,Data!$C:$C,O$1)=0,"",SUMIFS(Data!$U:$U,Data!$A:$A,$B31,Data!$C:$C,O$1))</f>
        <v>3.9188333333333332</v>
      </c>
      <c r="P31" s="31">
        <f>IF(SUMIFS(Data!$U:$U,Data!$A:$A,$B31,Data!$C:$C,P$1)=0,"",SUMIFS(Data!$U:$U,Data!$A:$A,$B31,Data!$C:$C,P$1))</f>
        <v>3.15625</v>
      </c>
      <c r="Q31" s="31">
        <f>IF(SUMIFS(Data!$U:$U,Data!$A:$A,$B31,Data!$C:$C,Q$1)=0,"",SUMIFS(Data!$U:$U,Data!$A:$A,$B31,Data!$C:$C,Q$1))</f>
        <v>2.5643750000000001</v>
      </c>
      <c r="R31" s="31">
        <f>VLOOKUP(W31,Barem!$W$39:$X$54,2,0)</f>
        <v>5</v>
      </c>
      <c r="S31" s="31">
        <f>SUM(C31:R31)</f>
        <v>48.868874999999996</v>
      </c>
      <c r="T31" s="31">
        <f>SUMIFS(Data!D:D,Data!A:A,'#ligaSYR'!B48)</f>
        <v>233.87</v>
      </c>
      <c r="U31" s="1" t="str">
        <f>IF(VLOOKUP(B31,Participanti!A:D,4,0)=0," ","New")</f>
        <v>New</v>
      </c>
      <c r="W31" s="116">
        <f>SUMIFS(Data!Z:Z,Data!A:A,'#ligaSYR'!B31)</f>
        <v>15</v>
      </c>
      <c r="X31" s="116"/>
      <c r="AE31" s="1" t="str">
        <f>VLOOKUP(B31,Participanti!A:B,2,0)</f>
        <v>F</v>
      </c>
      <c r="AF31" s="1" t="str">
        <f>VLOOKUP(B31,Data_Echipe!A:R,18,0)</f>
        <v>MedgidiaRunning</v>
      </c>
    </row>
    <row r="32" spans="1:32" ht="13" x14ac:dyDescent="0.3">
      <c r="A32" s="79">
        <v>31</v>
      </c>
      <c r="B32" s="30" t="s">
        <v>356</v>
      </c>
      <c r="C32" s="31">
        <f>IF(SUMIFS(Data!$U:$U,Data!$A:$A,$B32,Data!$C:$C,C$1)=0,"",SUMIFS(Data!$U:$U,Data!$A:$A,$B32,Data!$C:$C,C$1))</f>
        <v>2.3154761904761907</v>
      </c>
      <c r="D32" s="31">
        <f>IF(SUMIFS(Data!$U:$U,Data!$A:$A,$B32,Data!$C:$C,D$1)=0,"",SUMIFS(Data!$U:$U,Data!$A:$A,$B32,Data!$C:$C,D$1))</f>
        <v>1.8607142857142858</v>
      </c>
      <c r="E32" s="31">
        <f>IF(SUMIFS(Data!$U:$U,Data!$A:$A,$B32,Data!$C:$C,E$1)=0,"",SUMIFS(Data!$U:$U,Data!$A:$A,$B32,Data!$C:$C,E$1))</f>
        <v>3.024142857142857</v>
      </c>
      <c r="F32" s="31">
        <f>IF(SUMIFS(Data!$U:$U,Data!$A:$A,$B32,Data!$C:$C,F$1)=0,"",SUMIFS(Data!$U:$U,Data!$A:$A,$B32,Data!$C:$C,F$1))</f>
        <v>2.8494047619047618</v>
      </c>
      <c r="G32" s="31">
        <f>IF(SUMIFS(Data!$U:$U,Data!$A:$A,$B32,Data!$C:$C,G$1)=0,"",SUMIFS(Data!$U:$U,Data!$A:$A,$B32,Data!$C:$C,G$1))</f>
        <v>3.5174761904761906</v>
      </c>
      <c r="H32" s="31">
        <f>IF(SUMIFS(Data!$U:$U,Data!$A:$A,$B32,Data!$C:$C,H$1)=0,"",SUMIFS(Data!$U:$U,Data!$A:$A,$B32,Data!$C:$C,H$1))</f>
        <v>2.7208333333333332</v>
      </c>
      <c r="I32" s="31">
        <f>IF(SUMIFS(Data!$U:$U,Data!$A:$A,$B32,Data!$C:$C,I$1)=0,"",SUMIFS(Data!$U:$U,Data!$A:$A,$B32,Data!$C:$C,I$1))</f>
        <v>2.5678571428571431</v>
      </c>
      <c r="J32" s="31">
        <f>IF(SUMIFS(Data!$U:$U,Data!$A:$A,$B32,Data!$C:$C,J$1)=0,"",SUMIFS(Data!$U:$U,Data!$A:$A,$B32,Data!$C:$C,J$1))</f>
        <v>3.7216666666666667</v>
      </c>
      <c r="K32" s="31">
        <f>IF(SUMIFS(Data!$U:$U,Data!$A:$A,$B32,Data!$C:$C,K$1)=0,"",SUMIFS(Data!$U:$U,Data!$A:$A,$B32,Data!$C:$C,K$1))</f>
        <v>3.3476666666666666</v>
      </c>
      <c r="L32" s="31">
        <f>IF(SUMIFS(Data!$U:$U,Data!$A:$A,$B32,Data!$C:$C,L$1)=0,"",SUMIFS(Data!$U:$U,Data!$A:$A,$B32,Data!$C:$C,L$1))</f>
        <v>2.4101190476190477</v>
      </c>
      <c r="M32" s="31">
        <f>IF(SUMIFS(Data!$U:$U,Data!$A:$A,$B32,Data!$C:$C,M$1)=0,"",SUMIFS(Data!$U:$U,Data!$A:$A,$B32,Data!$C:$C,M$1))</f>
        <v>3.3589285714285713</v>
      </c>
      <c r="N32" s="31">
        <f>IF(SUMIFS(Data!$U:$U,Data!$A:$A,$B32,Data!$C:$C,N$1)=0,"",SUMIFS(Data!$U:$U,Data!$A:$A,$B32,Data!$C:$C,N$1))</f>
        <v>3.1875</v>
      </c>
      <c r="O32" s="31">
        <f>IF(SUMIFS(Data!$U:$U,Data!$A:$A,$B32,Data!$C:$C,O$1)=0,"",SUMIFS(Data!$U:$U,Data!$A:$A,$B32,Data!$C:$C,O$1))</f>
        <v>3.5505</v>
      </c>
      <c r="P32" s="31">
        <f>IF(SUMIFS(Data!$U:$U,Data!$A:$A,$B32,Data!$C:$C,P$1)=0,"",SUMIFS(Data!$U:$U,Data!$A:$A,$B32,Data!$C:$C,P$1))</f>
        <v>2.8380952380952378</v>
      </c>
      <c r="Q32" s="31">
        <f>IF(SUMIFS(Data!$U:$U,Data!$A:$A,$B32,Data!$C:$C,Q$1)=0,"",SUMIFS(Data!$U:$U,Data!$A:$A,$B32,Data!$C:$C,Q$1))</f>
        <v>2.4261904761904765</v>
      </c>
      <c r="R32" s="31">
        <f>VLOOKUP(W32,Barem!$W$39:$X$54,2,0)</f>
        <v>5</v>
      </c>
      <c r="S32" s="31">
        <f>SUM(C32:R32)</f>
        <v>48.696571428571424</v>
      </c>
      <c r="T32" s="31">
        <f>SUMIFS(Data!D:D,Data!A:A,'#ligaSYR'!B66)</f>
        <v>172.75</v>
      </c>
      <c r="U32" s="1" t="str">
        <f>IF(VLOOKUP(B32,Participanti!A:D,4,0)=0," ","New")</f>
        <v>New</v>
      </c>
      <c r="W32" s="116">
        <f>SUMIFS(Data!Z:Z,Data!A:A,'#ligaSYR'!B32)</f>
        <v>14</v>
      </c>
      <c r="X32" s="116" t="s">
        <v>312</v>
      </c>
      <c r="Y32" s="1" t="s">
        <v>312</v>
      </c>
      <c r="Z32" s="1" t="s">
        <v>312</v>
      </c>
      <c r="AA32" s="1" t="s">
        <v>312</v>
      </c>
      <c r="AB32" s="1" t="s">
        <v>312</v>
      </c>
      <c r="AC32" s="1" t="s">
        <v>312</v>
      </c>
      <c r="AD32" s="1" t="s">
        <v>312</v>
      </c>
      <c r="AE32" s="1" t="str">
        <f>VLOOKUP(B32,Participanti!A:B,2,0)</f>
        <v>M</v>
      </c>
      <c r="AF32" s="1" t="str">
        <f>VLOOKUP(B32,Data_Echipe!A:R,18,0)</f>
        <v>MedgidiaRunning</v>
      </c>
    </row>
    <row r="33" spans="1:32" ht="13" x14ac:dyDescent="0.3">
      <c r="A33" s="79">
        <v>32</v>
      </c>
      <c r="B33" s="30" t="s">
        <v>347</v>
      </c>
      <c r="C33" s="31">
        <f>IF(SUMIFS(Data!$U:$U,Data!$A:$A,$B33,Data!$C:$C,C$1)=0,"",SUMIFS(Data!$U:$U,Data!$A:$A,$B33,Data!$C:$C,C$1))</f>
        <v>2.6043750000000001</v>
      </c>
      <c r="D33" s="31">
        <f>IF(SUMIFS(Data!$U:$U,Data!$A:$A,$B33,Data!$C:$C,D$1)=0,"",SUMIFS(Data!$U:$U,Data!$A:$A,$B33,Data!$C:$C,D$1))</f>
        <v>2.5525000000000002</v>
      </c>
      <c r="E33" s="31">
        <f>IF(SUMIFS(Data!$U:$U,Data!$A:$A,$B33,Data!$C:$C,E$1)=0,"",SUMIFS(Data!$U:$U,Data!$A:$A,$B33,Data!$C:$C,E$1))</f>
        <v>2.4450416666666666</v>
      </c>
      <c r="F33" s="31">
        <f>IF(SUMIFS(Data!$U:$U,Data!$A:$A,$B33,Data!$C:$C,F$1)=0,"",SUMIFS(Data!$U:$U,Data!$A:$A,$B33,Data!$C:$C,F$1))</f>
        <v>2.9660000000000002</v>
      </c>
      <c r="G33" s="31">
        <f>IF(SUMIFS(Data!$U:$U,Data!$A:$A,$B33,Data!$C:$C,G$1)=0,"",SUMIFS(Data!$U:$U,Data!$A:$A,$B33,Data!$C:$C,G$1))</f>
        <v>2.475625</v>
      </c>
      <c r="H33" s="31">
        <f>IF(SUMIFS(Data!$U:$U,Data!$A:$A,$B33,Data!$C:$C,H$1)=0,"",SUMIFS(Data!$U:$U,Data!$A:$A,$B33,Data!$C:$C,H$1))</f>
        <v>2.9746666666666663</v>
      </c>
      <c r="I33" s="31">
        <f>IF(SUMIFS(Data!$U:$U,Data!$A:$A,$B33,Data!$C:$C,I$1)=0,"",SUMIFS(Data!$U:$U,Data!$A:$A,$B33,Data!$C:$C,I$1))</f>
        <v>3.6978333333333335</v>
      </c>
      <c r="J33" s="31">
        <f>IF(SUMIFS(Data!$U:$U,Data!$A:$A,$B33,Data!$C:$C,J$1)=0,"",SUMIFS(Data!$U:$U,Data!$A:$A,$B33,Data!$C:$C,J$1))</f>
        <v>2.94</v>
      </c>
      <c r="K33" s="31">
        <f>IF(SUMIFS(Data!$U:$U,Data!$A:$A,$B33,Data!$C:$C,K$1)=0,"",SUMIFS(Data!$U:$U,Data!$A:$A,$B33,Data!$C:$C,K$1))</f>
        <v>2.6536666666666666</v>
      </c>
      <c r="L33" s="31">
        <f>IF(SUMIFS(Data!$U:$U,Data!$A:$A,$B33,Data!$C:$C,L$1)=0,"",SUMIFS(Data!$U:$U,Data!$A:$A,$B33,Data!$C:$C,L$1))</f>
        <v>2.913125</v>
      </c>
      <c r="M33" s="31">
        <f>IF(SUMIFS(Data!$U:$U,Data!$A:$A,$B33,Data!$C:$C,M$1)=0,"",SUMIFS(Data!$U:$U,Data!$A:$A,$B33,Data!$C:$C,M$1))</f>
        <v>2.9424999999999999</v>
      </c>
      <c r="N33" s="31">
        <f>IF(SUMIFS(Data!$U:$U,Data!$A:$A,$B33,Data!$C:$C,N$1)=0,"",SUMIFS(Data!$U:$U,Data!$A:$A,$B33,Data!$C:$C,N$1))</f>
        <v>3.2531249999999998</v>
      </c>
      <c r="O33" s="31">
        <f>IF(SUMIFS(Data!$U:$U,Data!$A:$A,$B33,Data!$C:$C,O$1)=0,"",SUMIFS(Data!$U:$U,Data!$A:$A,$B33,Data!$C:$C,O$1))</f>
        <v>3.3774999999999999</v>
      </c>
      <c r="P33" s="31">
        <f>IF(SUMIFS(Data!$U:$U,Data!$A:$A,$B33,Data!$C:$C,P$1)=0,"",SUMIFS(Data!$U:$U,Data!$A:$A,$B33,Data!$C:$C,P$1))</f>
        <v>2.9206249999999998</v>
      </c>
      <c r="Q33" s="31">
        <f>IF(SUMIFS(Data!$U:$U,Data!$A:$A,$B33,Data!$C:$C,Q$1)=0,"",SUMIFS(Data!$U:$U,Data!$A:$A,$B33,Data!$C:$C,Q$1))</f>
        <v>2.5816249999999998</v>
      </c>
      <c r="R33" s="31">
        <f>VLOOKUP(W33,Barem!$W$39:$X$54,2,0)</f>
        <v>5</v>
      </c>
      <c r="S33" s="31">
        <f>SUM(C33:R33)</f>
        <v>48.298208333333335</v>
      </c>
      <c r="T33" s="31">
        <f>SUMIFS(Data!D:D,Data!A:A,'#ligaSYR'!B56)</f>
        <v>118.7</v>
      </c>
      <c r="U33" s="1" t="str">
        <f>IF(VLOOKUP(B33,Participanti!A:D,4,0)=0," ","New")</f>
        <v>New</v>
      </c>
      <c r="W33" s="116">
        <f>SUMIFS(Data!Z:Z,Data!A:A,'#ligaSYR'!B33)</f>
        <v>15</v>
      </c>
      <c r="X33" s="116" t="s">
        <v>312</v>
      </c>
      <c r="AA33" s="1" t="s">
        <v>312</v>
      </c>
      <c r="AB33" s="1" t="s">
        <v>312</v>
      </c>
      <c r="AC33" s="1" t="s">
        <v>312</v>
      </c>
      <c r="AD33" s="1" t="s">
        <v>312</v>
      </c>
      <c r="AE33" s="1" t="str">
        <f>VLOOKUP(B33,Participanti!A:B,2,0)</f>
        <v>F</v>
      </c>
      <c r="AF33" s="1" t="str">
        <f>VLOOKUP(B33,Data_Echipe!A:R,18,0)</f>
        <v>MedgidiaRunning</v>
      </c>
    </row>
    <row r="34" spans="1:32" ht="13" x14ac:dyDescent="0.3">
      <c r="A34" s="79">
        <v>33</v>
      </c>
      <c r="B34" s="30" t="s">
        <v>137</v>
      </c>
      <c r="C34" s="31">
        <f>IF(SUMIFS(Data!$U:$U,Data!$A:$A,$B34,Data!$C:$C,C$1)=0,"",SUMIFS(Data!$U:$U,Data!$A:$A,$B34,Data!$C:$C,C$1))</f>
        <v>2.8494047619047618</v>
      </c>
      <c r="D34" s="31">
        <f>IF(SUMIFS(Data!$U:$U,Data!$A:$A,$B34,Data!$C:$C,D$1)=0,"",SUMIFS(Data!$U:$U,Data!$A:$A,$B34,Data!$C:$C,D$1))</f>
        <v>3.6723333333333334</v>
      </c>
      <c r="E34" s="31">
        <f>IF(SUMIFS(Data!$U:$U,Data!$A:$A,$B34,Data!$C:$C,E$1)=0,"",SUMIFS(Data!$U:$U,Data!$A:$A,$B34,Data!$C:$C,E$1))</f>
        <v>3.2164999999999999</v>
      </c>
      <c r="F34" s="31">
        <f>IF(SUMIFS(Data!$U:$U,Data!$A:$A,$B34,Data!$C:$C,F$1)=0,"",SUMIFS(Data!$U:$U,Data!$A:$A,$B34,Data!$C:$C,F$1))</f>
        <v>2.4195714285714285</v>
      </c>
      <c r="G34" s="31">
        <f>IF(SUMIFS(Data!$U:$U,Data!$A:$A,$B34,Data!$C:$C,G$1)=0,"",SUMIFS(Data!$U:$U,Data!$A:$A,$B34,Data!$C:$C,G$1))</f>
        <v>2.4624999999999999</v>
      </c>
      <c r="H34" s="31">
        <f>IF(SUMIFS(Data!$U:$U,Data!$A:$A,$B34,Data!$C:$C,H$1)=0,"",SUMIFS(Data!$U:$U,Data!$A:$A,$B34,Data!$C:$C,H$1))</f>
        <v>2.7285714285714286</v>
      </c>
      <c r="I34" s="31">
        <f>IF(SUMIFS(Data!$U:$U,Data!$A:$A,$B34,Data!$C:$C,I$1)=0,"",SUMIFS(Data!$U:$U,Data!$A:$A,$B34,Data!$C:$C,I$1))</f>
        <v>3.1672619047619048</v>
      </c>
      <c r="J34" s="31">
        <f>IF(SUMIFS(Data!$U:$U,Data!$A:$A,$B34,Data!$C:$C,J$1)=0,"",SUMIFS(Data!$U:$U,Data!$A:$A,$B34,Data!$C:$C,J$1))</f>
        <v>1.5</v>
      </c>
      <c r="K34" s="31">
        <f>IF(SUMIFS(Data!$U:$U,Data!$A:$A,$B34,Data!$C:$C,K$1)=0,"",SUMIFS(Data!$U:$U,Data!$A:$A,$B34,Data!$C:$C,K$1))</f>
        <v>2.703095238095238</v>
      </c>
      <c r="L34" s="31">
        <f>IF(SUMIFS(Data!$U:$U,Data!$A:$A,$B34,Data!$C:$C,L$1)=0,"",SUMIFS(Data!$U:$U,Data!$A:$A,$B34,Data!$C:$C,L$1))</f>
        <v>3.3056904761904762</v>
      </c>
      <c r="M34" s="31">
        <f>IF(SUMIFS(Data!$U:$U,Data!$A:$A,$B34,Data!$C:$C,M$1)=0,"",SUMIFS(Data!$U:$U,Data!$A:$A,$B34,Data!$C:$C,M$1))</f>
        <v>3.301190476190476</v>
      </c>
      <c r="N34" s="31">
        <f>IF(SUMIFS(Data!$U:$U,Data!$A:$A,$B34,Data!$C:$C,N$1)=0,"",SUMIFS(Data!$U:$U,Data!$A:$A,$B34,Data!$C:$C,N$1))</f>
        <v>2.4827380952380951</v>
      </c>
      <c r="O34" s="31">
        <f>IF(SUMIFS(Data!$U:$U,Data!$A:$A,$B34,Data!$C:$C,O$1)=0,"",SUMIFS(Data!$U:$U,Data!$A:$A,$B34,Data!$C:$C,O$1))</f>
        <v>2.9708333333333332</v>
      </c>
      <c r="P34" s="31">
        <f>IF(SUMIFS(Data!$U:$U,Data!$A:$A,$B34,Data!$C:$C,P$1)=0,"",SUMIFS(Data!$U:$U,Data!$A:$A,$B34,Data!$C:$C,P$1))</f>
        <v>2.6499285714285716</v>
      </c>
      <c r="Q34" s="31">
        <f>IF(SUMIFS(Data!$U:$U,Data!$A:$A,$B34,Data!$C:$C,Q$1)=0,"",SUMIFS(Data!$U:$U,Data!$A:$A,$B34,Data!$C:$C,Q$1))</f>
        <v>3.7843333333333335</v>
      </c>
      <c r="R34" s="31">
        <f>VLOOKUP(W34,Barem!$W$39:$X$54,2,0)</f>
        <v>5</v>
      </c>
      <c r="S34" s="31">
        <f>SUM(C34:R34)</f>
        <v>48.213952380952385</v>
      </c>
      <c r="T34" s="31">
        <f>SUMIFS(Data!D:D,Data!A:A,'#ligaSYR'!B29)</f>
        <v>192.05</v>
      </c>
      <c r="U34" s="1" t="str">
        <f>IF(VLOOKUP(B34,Participanti!A:D,4,0)=0," ","New")</f>
        <v xml:space="preserve"> </v>
      </c>
      <c r="W34" s="116">
        <f>SUMIFS(Data!Z:Z,Data!A:A,'#ligaSYR'!B34)</f>
        <v>14</v>
      </c>
      <c r="X34" s="116"/>
      <c r="AF34" s="1" t="str">
        <f>VLOOKUP(B34,Data_Echipe!A:R,18,0)</f>
        <v>The GOATs</v>
      </c>
    </row>
    <row r="35" spans="1:32" ht="13" x14ac:dyDescent="0.3">
      <c r="A35" s="79">
        <v>34</v>
      </c>
      <c r="B35" s="30" t="s">
        <v>247</v>
      </c>
      <c r="C35" s="31">
        <f>IF(SUMIFS(Data!$U:$U,Data!$A:$A,$B35,Data!$C:$C,C$1)=0,"",SUMIFS(Data!$U:$U,Data!$A:$A,$B35,Data!$C:$C,C$1))</f>
        <v>2.4386904761904762</v>
      </c>
      <c r="D35" s="31">
        <f>IF(SUMIFS(Data!$U:$U,Data!$A:$A,$B35,Data!$C:$C,D$1)=0,"",SUMIFS(Data!$U:$U,Data!$A:$A,$B35,Data!$C:$C,D$1))</f>
        <v>2.2053571428571428</v>
      </c>
      <c r="E35" s="31">
        <f>IF(SUMIFS(Data!$U:$U,Data!$A:$A,$B35,Data!$C:$C,E$1)=0,"",SUMIFS(Data!$U:$U,Data!$A:$A,$B35,Data!$C:$C,E$1))</f>
        <v>2.3988095238095237</v>
      </c>
      <c r="F35" s="31">
        <f>IF(SUMIFS(Data!$U:$U,Data!$A:$A,$B35,Data!$C:$C,F$1)=0,"",SUMIFS(Data!$U:$U,Data!$A:$A,$B35,Data!$C:$C,F$1))</f>
        <v>2.956547619047619</v>
      </c>
      <c r="G35" s="31">
        <f>IF(SUMIFS(Data!$U:$U,Data!$A:$A,$B35,Data!$C:$C,G$1)=0,"",SUMIFS(Data!$U:$U,Data!$A:$A,$B35,Data!$C:$C,G$1))</f>
        <v>3.6711666666666667</v>
      </c>
      <c r="H35" s="31">
        <f>IF(SUMIFS(Data!$U:$U,Data!$A:$A,$B35,Data!$C:$C,H$1)=0,"",SUMIFS(Data!$U:$U,Data!$A:$A,$B35,Data!$C:$C,H$1))</f>
        <v>1.6035714285714284</v>
      </c>
      <c r="I35" s="31">
        <f>IF(SUMIFS(Data!$U:$U,Data!$A:$A,$B35,Data!$C:$C,I$1)=0,"",SUMIFS(Data!$U:$U,Data!$A:$A,$B35,Data!$C:$C,I$1))</f>
        <v>3.3873333333333333</v>
      </c>
      <c r="J35" s="31">
        <f>IF(SUMIFS(Data!$U:$U,Data!$A:$A,$B35,Data!$C:$C,J$1)=0,"",SUMIFS(Data!$U:$U,Data!$A:$A,$B35,Data!$C:$C,J$1))</f>
        <v>3.5380000000000003</v>
      </c>
      <c r="K35" s="31">
        <f>IF(SUMIFS(Data!$U:$U,Data!$A:$A,$B35,Data!$C:$C,K$1)=0,"",SUMIFS(Data!$U:$U,Data!$A:$A,$B35,Data!$C:$C,K$1))</f>
        <v>3.0811666666666668</v>
      </c>
      <c r="L35" s="31">
        <f>IF(SUMIFS(Data!$U:$U,Data!$A:$A,$B35,Data!$C:$C,L$1)=0,"",SUMIFS(Data!$U:$U,Data!$A:$A,$B35,Data!$C:$C,L$1))</f>
        <v>5.1843333333333339</v>
      </c>
      <c r="M35" s="31">
        <f>IF(SUMIFS(Data!$U:$U,Data!$A:$A,$B35,Data!$C:$C,M$1)=0,"",SUMIFS(Data!$U:$U,Data!$A:$A,$B35,Data!$C:$C,M$1))</f>
        <v>2.9319523809523806</v>
      </c>
      <c r="N35" s="31">
        <f>IF(SUMIFS(Data!$U:$U,Data!$A:$A,$B35,Data!$C:$C,N$1)=0,"",SUMIFS(Data!$U:$U,Data!$A:$A,$B35,Data!$C:$C,N$1))</f>
        <v>2.325595238095238</v>
      </c>
      <c r="O35" s="31">
        <f>IF(SUMIFS(Data!$U:$U,Data!$A:$A,$B35,Data!$C:$C,O$1)=0,"",SUMIFS(Data!$U:$U,Data!$A:$A,$B35,Data!$C:$C,O$1))</f>
        <v>4.7013333333333334</v>
      </c>
      <c r="P35" s="31">
        <f>IF(SUMIFS(Data!$U:$U,Data!$A:$A,$B35,Data!$C:$C,P$1)=0,"",SUMIFS(Data!$U:$U,Data!$A:$A,$B35,Data!$C:$C,P$1))</f>
        <v>1.9900238095238094</v>
      </c>
      <c r="Q35" s="31">
        <f>IF(SUMIFS(Data!$U:$U,Data!$A:$A,$B35,Data!$C:$C,Q$1)=0,"",SUMIFS(Data!$U:$U,Data!$A:$A,$B35,Data!$C:$C,Q$1))</f>
        <v>2.7959999999999998</v>
      </c>
      <c r="R35" s="31">
        <f>VLOOKUP(W35,Barem!$W$39:$X$54,2,0)</f>
        <v>3</v>
      </c>
      <c r="S35" s="31">
        <f>SUM(C35:R35)</f>
        <v>48.209880952380956</v>
      </c>
      <c r="T35" s="31">
        <f>SUMIFS(Data!D:D,Data!A:A,'#ligaSYR'!B59)</f>
        <v>194.78999999999996</v>
      </c>
      <c r="U35" s="1" t="str">
        <f>IF(VLOOKUP(B35,Participanti!A:D,4,0)=0," ","New")</f>
        <v xml:space="preserve"> </v>
      </c>
      <c r="W35" s="116">
        <f>SUMIFS(Data!Z:Z,Data!A:A,'#ligaSYR'!B35)</f>
        <v>11</v>
      </c>
      <c r="X35" s="116"/>
      <c r="AF35" s="1" t="str">
        <f>VLOOKUP(B35,Data_Echipe!A:R,18,0)</f>
        <v>UltraHaita lu' Borcan</v>
      </c>
    </row>
    <row r="36" spans="1:32" ht="13" x14ac:dyDescent="0.3">
      <c r="A36" s="79">
        <v>35</v>
      </c>
      <c r="B36" s="30" t="s">
        <v>357</v>
      </c>
      <c r="C36" s="31">
        <f>IF(SUMIFS(Data!$U:$U,Data!$A:$A,$B36,Data!$C:$C,C$1)=0,"",SUMIFS(Data!$U:$U,Data!$A:$A,$B36,Data!$C:$C,C$1))</f>
        <v>2.8154761904761907</v>
      </c>
      <c r="D36" s="31">
        <f>IF(SUMIFS(Data!$U:$U,Data!$A:$A,$B36,Data!$C:$C,D$1)=0,"",SUMIFS(Data!$U:$U,Data!$A:$A,$B36,Data!$C:$C,D$1))</f>
        <v>3.5665238095238094</v>
      </c>
      <c r="E36" s="31">
        <f>IF(SUMIFS(Data!$U:$U,Data!$A:$A,$B36,Data!$C:$C,E$1)=0,"",SUMIFS(Data!$U:$U,Data!$A:$A,$B36,Data!$C:$C,E$1))</f>
        <v>3.0386666666666664</v>
      </c>
      <c r="F36" s="31">
        <f>IF(SUMIFS(Data!$U:$U,Data!$A:$A,$B36,Data!$C:$C,F$1)=0,"",SUMIFS(Data!$U:$U,Data!$A:$A,$B36,Data!$C:$C,F$1))</f>
        <v>2.4323095238095238</v>
      </c>
      <c r="G36" s="31">
        <f>IF(SUMIFS(Data!$U:$U,Data!$A:$A,$B36,Data!$C:$C,G$1)=0,"",SUMIFS(Data!$U:$U,Data!$A:$A,$B36,Data!$C:$C,G$1))</f>
        <v>3.7936666666666667</v>
      </c>
      <c r="H36" s="31">
        <f>IF(SUMIFS(Data!$U:$U,Data!$A:$A,$B36,Data!$C:$C,H$1)=0,"",SUMIFS(Data!$U:$U,Data!$A:$A,$B36,Data!$C:$C,H$1))</f>
        <v>2.1136904761904765</v>
      </c>
      <c r="I36" s="31">
        <f>IF(SUMIFS(Data!$U:$U,Data!$A:$A,$B36,Data!$C:$C,I$1)=0,"",SUMIFS(Data!$U:$U,Data!$A:$A,$B36,Data!$C:$C,I$1))</f>
        <v>3.6550000000000002</v>
      </c>
      <c r="J36" s="31">
        <f>IF(SUMIFS(Data!$U:$U,Data!$A:$A,$B36,Data!$C:$C,J$1)=0,"",SUMIFS(Data!$U:$U,Data!$A:$A,$B36,Data!$C:$C,J$1))</f>
        <v>3.9</v>
      </c>
      <c r="K36" s="31">
        <f>IF(SUMIFS(Data!$U:$U,Data!$A:$A,$B36,Data!$C:$C,K$1)=0,"",SUMIFS(Data!$U:$U,Data!$A:$A,$B36,Data!$C:$C,K$1))</f>
        <v>2.1726190476190474</v>
      </c>
      <c r="L36" s="31">
        <f>IF(SUMIFS(Data!$U:$U,Data!$A:$A,$B36,Data!$C:$C,L$1)=0,"",SUMIFS(Data!$U:$U,Data!$A:$A,$B36,Data!$C:$C,L$1))</f>
        <v>2.5892857142857144</v>
      </c>
      <c r="M36" s="31">
        <f>IF(SUMIFS(Data!$U:$U,Data!$A:$A,$B36,Data!$C:$C,M$1)=0,"",SUMIFS(Data!$U:$U,Data!$A:$A,$B36,Data!$C:$C,M$1))</f>
        <v>2.6791666666666667</v>
      </c>
      <c r="N36" s="31">
        <f>IF(SUMIFS(Data!$U:$U,Data!$A:$A,$B36,Data!$C:$C,N$1)=0,"",SUMIFS(Data!$U:$U,Data!$A:$A,$B36,Data!$C:$C,N$1))</f>
        <v>4.4303333333333335</v>
      </c>
      <c r="O36" s="31">
        <f>IF(SUMIFS(Data!$U:$U,Data!$A:$A,$B36,Data!$C:$C,O$1)=0,"",SUMIFS(Data!$U:$U,Data!$A:$A,$B36,Data!$C:$C,O$1))</f>
        <v>1.8571428571428572</v>
      </c>
      <c r="P36" s="31">
        <f>IF(SUMIFS(Data!$U:$U,Data!$A:$A,$B36,Data!$C:$C,P$1)=0,"",SUMIFS(Data!$U:$U,Data!$A:$A,$B36,Data!$C:$C,P$1))</f>
        <v>2.4710000000000001</v>
      </c>
      <c r="Q36" s="31">
        <f>IF(SUMIFS(Data!$U:$U,Data!$A:$A,$B36,Data!$C:$C,Q$1)=0,"",SUMIFS(Data!$U:$U,Data!$A:$A,$B36,Data!$C:$C,Q$1))</f>
        <v>1.9340952380952379</v>
      </c>
      <c r="R36" s="31">
        <f>VLOOKUP(W36,Barem!$W$39:$X$54,2,0)</f>
        <v>4</v>
      </c>
      <c r="S36" s="31">
        <f>SUM(C36:R36)</f>
        <v>47.448976190476188</v>
      </c>
      <c r="T36" s="31">
        <f>SUMIFS(Data!D:D,Data!A:A,'#ligaSYR'!B32)</f>
        <v>190.87999999999997</v>
      </c>
      <c r="U36" s="1" t="str">
        <f>IF(VLOOKUP(B36,Participanti!A:D,4,0)=0," ","New")</f>
        <v>New</v>
      </c>
      <c r="W36" s="116">
        <f>SUMIFS(Data!Z:Z,Data!A:A,'#ligaSYR'!B36)</f>
        <v>13</v>
      </c>
      <c r="X36" s="116" t="s">
        <v>312</v>
      </c>
      <c r="Z36" s="1" t="s">
        <v>312</v>
      </c>
      <c r="AC36" s="1" t="s">
        <v>312</v>
      </c>
      <c r="AD36" s="1" t="s">
        <v>312</v>
      </c>
      <c r="AE36" s="1" t="str">
        <f>VLOOKUP(B36,Participanti!A:B,2,0)</f>
        <v>M</v>
      </c>
      <c r="AF36" s="1" t="e">
        <f>VLOOKUP(B36,Data_Echipe!A:R,18,0)</f>
        <v>#N/A</v>
      </c>
    </row>
    <row r="37" spans="1:32" ht="13" x14ac:dyDescent="0.3">
      <c r="A37" s="79">
        <v>36</v>
      </c>
      <c r="B37" s="30" t="s">
        <v>378</v>
      </c>
      <c r="C37" s="31">
        <f>IF(SUMIFS(Data!$U:$U,Data!$A:$A,$B37,Data!$C:$C,C$1)=0,"",SUMIFS(Data!$U:$U,Data!$A:$A,$B37,Data!$C:$C,C$1))</f>
        <v>2.2719166666666664</v>
      </c>
      <c r="D37" s="31">
        <f>IF(SUMIFS(Data!$U:$U,Data!$A:$A,$B37,Data!$C:$C,D$1)=0,"",SUMIFS(Data!$U:$U,Data!$A:$A,$B37,Data!$C:$C,D$1))</f>
        <v>2.5006249999999999</v>
      </c>
      <c r="E37" s="31">
        <f>IF(SUMIFS(Data!$U:$U,Data!$A:$A,$B37,Data!$C:$C,E$1)=0,"",SUMIFS(Data!$U:$U,Data!$A:$A,$B37,Data!$C:$C,E$1))</f>
        <v>1.5</v>
      </c>
      <c r="F37" s="31" t="str">
        <f>IF(SUMIFS(Data!$U:$U,Data!$A:$A,$B37,Data!$C:$C,F$1)=0,"",SUMIFS(Data!$U:$U,Data!$A:$A,$B37,Data!$C:$C,F$1))</f>
        <v/>
      </c>
      <c r="G37" s="31">
        <f>IF(SUMIFS(Data!$U:$U,Data!$A:$A,$B37,Data!$C:$C,G$1)=0,"",SUMIFS(Data!$U:$U,Data!$A:$A,$B37,Data!$C:$C,G$1))</f>
        <v>2.9412500000000001</v>
      </c>
      <c r="H37" s="31">
        <f>IF(SUMIFS(Data!$U:$U,Data!$A:$A,$B37,Data!$C:$C,H$1)=0,"",SUMIFS(Data!$U:$U,Data!$A:$A,$B37,Data!$C:$C,H$1))</f>
        <v>2.4708333333333332</v>
      </c>
      <c r="I37" s="31">
        <f>IF(SUMIFS(Data!$U:$U,Data!$A:$A,$B37,Data!$C:$C,I$1)=0,"",SUMIFS(Data!$U:$U,Data!$A:$A,$B37,Data!$C:$C,I$1))</f>
        <v>3.1317499999999998</v>
      </c>
      <c r="J37" s="31">
        <f>IF(SUMIFS(Data!$U:$U,Data!$A:$A,$B37,Data!$C:$C,J$1)=0,"",SUMIFS(Data!$U:$U,Data!$A:$A,$B37,Data!$C:$C,J$1))</f>
        <v>3.3162500000000001</v>
      </c>
      <c r="K37" s="31">
        <f>IF(SUMIFS(Data!$U:$U,Data!$A:$A,$B37,Data!$C:$C,K$1)=0,"",SUMIFS(Data!$U:$U,Data!$A:$A,$B37,Data!$C:$C,K$1))</f>
        <v>2.9922499999999999</v>
      </c>
      <c r="L37" s="31">
        <f>IF(SUMIFS(Data!$U:$U,Data!$A:$A,$B37,Data!$C:$C,L$1)=0,"",SUMIFS(Data!$U:$U,Data!$A:$A,$B37,Data!$C:$C,L$1))</f>
        <v>3.5674999999999999</v>
      </c>
      <c r="M37" s="31">
        <f>IF(SUMIFS(Data!$U:$U,Data!$A:$A,$B37,Data!$C:$C,M$1)=0,"",SUMIFS(Data!$U:$U,Data!$A:$A,$B37,Data!$C:$C,M$1))</f>
        <v>4.55</v>
      </c>
      <c r="N37" s="31">
        <f>IF(SUMIFS(Data!$U:$U,Data!$A:$A,$B37,Data!$C:$C,N$1)=0,"",SUMIFS(Data!$U:$U,Data!$A:$A,$B37,Data!$C:$C,N$1))</f>
        <v>3.4229583333333338</v>
      </c>
      <c r="O37" s="31">
        <f>IF(SUMIFS(Data!$U:$U,Data!$A:$A,$B37,Data!$C:$C,O$1)=0,"",SUMIFS(Data!$U:$U,Data!$A:$A,$B37,Data!$C:$C,O$1))</f>
        <v>3.8658333333333332</v>
      </c>
      <c r="P37" s="31">
        <f>IF(SUMIFS(Data!$U:$U,Data!$A:$A,$B37,Data!$C:$C,P$1)=0,"",SUMIFS(Data!$U:$U,Data!$A:$A,$B37,Data!$C:$C,P$1))</f>
        <v>3.6256249999999999</v>
      </c>
      <c r="Q37" s="31">
        <f>IF(SUMIFS(Data!$U:$U,Data!$A:$A,$B37,Data!$C:$C,Q$1)=0,"",SUMIFS(Data!$U:$U,Data!$A:$A,$B37,Data!$C:$C,Q$1))</f>
        <v>3.1262499999999998</v>
      </c>
      <c r="R37" s="31">
        <f>VLOOKUP(W37,Barem!$W$39:$X$54,2,0)</f>
        <v>4</v>
      </c>
      <c r="S37" s="31">
        <f>SUM(C37:R37)</f>
        <v>47.283041666666662</v>
      </c>
      <c r="T37" s="31">
        <f>SUMIFS(Data!D:D,Data!A:A,'#ligaSYR'!B54)</f>
        <v>354.73999999999995</v>
      </c>
      <c r="U37" s="1" t="str">
        <f>IF(VLOOKUP(B37,Participanti!A:D,4,0)=0," ","New")</f>
        <v>New</v>
      </c>
      <c r="W37" s="116">
        <f>SUMIFS(Data!Z:Z,Data!A:A,'#ligaSYR'!B37)</f>
        <v>13</v>
      </c>
      <c r="X37" s="116"/>
      <c r="AF37" s="1" t="str">
        <f>VLOOKUP(B37,Data_Echipe!A:R,18,0)</f>
        <v>MedgidiaRunning</v>
      </c>
    </row>
    <row r="38" spans="1:32" ht="13" x14ac:dyDescent="0.3">
      <c r="A38" s="79">
        <v>37</v>
      </c>
      <c r="B38" s="30" t="s">
        <v>351</v>
      </c>
      <c r="C38" s="31">
        <f>IF(SUMIFS(Data!$U:$U,Data!$A:$A,$B38,Data!$C:$C,C$1)=0,"",SUMIFS(Data!$U:$U,Data!$A:$A,$B38,Data!$C:$C,C$1))</f>
        <v>2.6887499999999998</v>
      </c>
      <c r="D38" s="31" t="str">
        <f>IF(SUMIFS(Data!$U:$U,Data!$A:$A,$B38,Data!$C:$C,D$1)=0,"",SUMIFS(Data!$U:$U,Data!$A:$A,$B38,Data!$C:$C,D$1))</f>
        <v/>
      </c>
      <c r="E38" s="31">
        <f>IF(SUMIFS(Data!$U:$U,Data!$A:$A,$B38,Data!$C:$C,E$1)=0,"",SUMIFS(Data!$U:$U,Data!$A:$A,$B38,Data!$C:$C,E$1))</f>
        <v>2.9849999999999999</v>
      </c>
      <c r="F38" s="31">
        <f>IF(SUMIFS(Data!$U:$U,Data!$A:$A,$B38,Data!$C:$C,F$1)=0,"",SUMIFS(Data!$U:$U,Data!$A:$A,$B38,Data!$C:$C,F$1))</f>
        <v>3.375</v>
      </c>
      <c r="G38" s="31">
        <f>IF(SUMIFS(Data!$U:$U,Data!$A:$A,$B38,Data!$C:$C,G$1)=0,"",SUMIFS(Data!$U:$U,Data!$A:$A,$B38,Data!$C:$C,G$1))</f>
        <v>3.2512500000000002</v>
      </c>
      <c r="H38" s="31">
        <f>IF(SUMIFS(Data!$U:$U,Data!$A:$A,$B38,Data!$C:$C,H$1)=0,"",SUMIFS(Data!$U:$U,Data!$A:$A,$B38,Data!$C:$C,H$1))</f>
        <v>3.0637499999999998</v>
      </c>
      <c r="I38" s="31">
        <f>IF(SUMIFS(Data!$U:$U,Data!$A:$A,$B38,Data!$C:$C,I$1)=0,"",SUMIFS(Data!$U:$U,Data!$A:$A,$B38,Data!$C:$C,I$1))</f>
        <v>3.1875</v>
      </c>
      <c r="J38" s="31">
        <f>IF(SUMIFS(Data!$U:$U,Data!$A:$A,$B38,Data!$C:$C,J$1)=0,"",SUMIFS(Data!$U:$U,Data!$A:$A,$B38,Data!$C:$C,J$1))</f>
        <v>2.6437499999999998</v>
      </c>
      <c r="K38" s="31">
        <f>IF(SUMIFS(Data!$U:$U,Data!$A:$A,$B38,Data!$C:$C,K$1)=0,"",SUMIFS(Data!$U:$U,Data!$A:$A,$B38,Data!$C:$C,K$1))</f>
        <v>2.8756249999999999</v>
      </c>
      <c r="L38" s="31">
        <f>IF(SUMIFS(Data!$U:$U,Data!$A:$A,$B38,Data!$C:$C,L$1)=0,"",SUMIFS(Data!$U:$U,Data!$A:$A,$B38,Data!$C:$C,L$1))</f>
        <v>3.6583333333333332</v>
      </c>
      <c r="M38" s="31">
        <f>IF(SUMIFS(Data!$U:$U,Data!$A:$A,$B38,Data!$C:$C,M$1)=0,"",SUMIFS(Data!$U:$U,Data!$A:$A,$B38,Data!$C:$C,M$1))</f>
        <v>3.75</v>
      </c>
      <c r="N38" s="31">
        <f>IF(SUMIFS(Data!$U:$U,Data!$A:$A,$B38,Data!$C:$C,N$1)=0,"",SUMIFS(Data!$U:$U,Data!$A:$A,$B38,Data!$C:$C,N$1))</f>
        <v>2.0631249999999999</v>
      </c>
      <c r="O38" s="31">
        <f>IF(SUMIFS(Data!$U:$U,Data!$A:$A,$B38,Data!$C:$C,O$1)=0,"",SUMIFS(Data!$U:$U,Data!$A:$A,$B38,Data!$C:$C,O$1))</f>
        <v>3.26</v>
      </c>
      <c r="P38" s="31">
        <f>IF(SUMIFS(Data!$U:$U,Data!$A:$A,$B38,Data!$C:$C,P$1)=0,"",SUMIFS(Data!$U:$U,Data!$A:$A,$B38,Data!$C:$C,P$1))</f>
        <v>2.2255000000000003</v>
      </c>
      <c r="Q38" s="31">
        <f>IF(SUMIFS(Data!$U:$U,Data!$A:$A,$B38,Data!$C:$C,Q$1)=0,"",SUMIFS(Data!$U:$U,Data!$A:$A,$B38,Data!$C:$C,Q$1))</f>
        <v>2.5056250000000002</v>
      </c>
      <c r="R38" s="31">
        <f>VLOOKUP(W38,Barem!$W$39:$X$54,2,0)</f>
        <v>5</v>
      </c>
      <c r="S38" s="31">
        <f>SUM(C38:R38)</f>
        <v>46.533208333333327</v>
      </c>
      <c r="T38" s="31">
        <f>SUMIFS(Data!D:D,Data!A:A,'#ligaSYR'!B85)</f>
        <v>105.65</v>
      </c>
      <c r="U38" s="1" t="str">
        <f>IF(VLOOKUP(B38,Participanti!A:D,4,0)=0," ","New")</f>
        <v>New</v>
      </c>
      <c r="W38" s="116">
        <f>SUMIFS(Data!Z:Z,Data!A:A,'#ligaSYR'!B38)</f>
        <v>14</v>
      </c>
      <c r="X38" s="116"/>
      <c r="AF38" s="1" t="e">
        <f>VLOOKUP(B38,Data_Echipe!A:R,18,0)</f>
        <v>#N/A</v>
      </c>
    </row>
    <row r="39" spans="1:32" ht="13" x14ac:dyDescent="0.3">
      <c r="A39" s="79">
        <v>38</v>
      </c>
      <c r="B39" s="30" t="s">
        <v>374</v>
      </c>
      <c r="C39" s="31">
        <f>IF(SUMIFS(Data!$U:$U,Data!$A:$A,$B39,Data!$C:$C,C$1)=0,"",SUMIFS(Data!$U:$U,Data!$A:$A,$B39,Data!$C:$C,C$1))</f>
        <v>2.0785714285714283</v>
      </c>
      <c r="D39" s="31">
        <f>IF(SUMIFS(Data!$U:$U,Data!$A:$A,$B39,Data!$C:$C,D$1)=0,"",SUMIFS(Data!$U:$U,Data!$A:$A,$B39,Data!$C:$C,D$1))</f>
        <v>4.711904761904762</v>
      </c>
      <c r="E39" s="31">
        <f>IF(SUMIFS(Data!$U:$U,Data!$A:$A,$B39,Data!$C:$C,E$1)=0,"",SUMIFS(Data!$U:$U,Data!$A:$A,$B39,Data!$C:$C,E$1))</f>
        <v>3.2087619047619049</v>
      </c>
      <c r="F39" s="31">
        <f>IF(SUMIFS(Data!$U:$U,Data!$A:$A,$B39,Data!$C:$C,F$1)=0,"",SUMIFS(Data!$U:$U,Data!$A:$A,$B39,Data!$C:$C,F$1))</f>
        <v>3.592166666666667</v>
      </c>
      <c r="G39" s="31">
        <f>IF(SUMIFS(Data!$U:$U,Data!$A:$A,$B39,Data!$C:$C,G$1)=0,"",SUMIFS(Data!$U:$U,Data!$A:$A,$B39,Data!$C:$C,G$1))</f>
        <v>3.0444999999999998</v>
      </c>
      <c r="H39" s="31">
        <f>IF(SUMIFS(Data!$U:$U,Data!$A:$A,$B39,Data!$C:$C,H$1)=0,"",SUMIFS(Data!$U:$U,Data!$A:$A,$B39,Data!$C:$C,H$1))</f>
        <v>3.2142857142857144</v>
      </c>
      <c r="I39" s="31">
        <f>IF(SUMIFS(Data!$U:$U,Data!$A:$A,$B39,Data!$C:$C,I$1)=0,"",SUMIFS(Data!$U:$U,Data!$A:$A,$B39,Data!$C:$C,I$1))</f>
        <v>5.0422619047619044</v>
      </c>
      <c r="J39" s="31">
        <f>IF(SUMIFS(Data!$U:$U,Data!$A:$A,$B39,Data!$C:$C,J$1)=0,"",SUMIFS(Data!$U:$U,Data!$A:$A,$B39,Data!$C:$C,J$1))</f>
        <v>3.5550000000000002</v>
      </c>
      <c r="K39" s="31">
        <f>IF(SUMIFS(Data!$U:$U,Data!$A:$A,$B39,Data!$C:$C,K$1)=0,"",SUMIFS(Data!$U:$U,Data!$A:$A,$B39,Data!$C:$C,K$1))</f>
        <v>4.2046666666666663</v>
      </c>
      <c r="L39" s="31" t="str">
        <f>IF(SUMIFS(Data!$U:$U,Data!$A:$A,$B39,Data!$C:$C,L$1)=0,"",SUMIFS(Data!$U:$U,Data!$A:$A,$B39,Data!$C:$C,L$1))</f>
        <v/>
      </c>
      <c r="M39" s="31">
        <f>IF(SUMIFS(Data!$U:$U,Data!$A:$A,$B39,Data!$C:$C,M$1)=0,"",SUMIFS(Data!$U:$U,Data!$A:$A,$B39,Data!$C:$C,M$1))</f>
        <v>10.485714285714286</v>
      </c>
      <c r="N39" s="31" t="str">
        <f>IF(SUMIFS(Data!$U:$U,Data!$A:$A,$B39,Data!$C:$C,N$1)=0,"",SUMIFS(Data!$U:$U,Data!$A:$A,$B39,Data!$C:$C,N$1))</f>
        <v/>
      </c>
      <c r="O39" s="31" t="str">
        <f>IF(SUMIFS(Data!$U:$U,Data!$A:$A,$B39,Data!$C:$C,O$1)=0,"",SUMIFS(Data!$U:$U,Data!$A:$A,$B39,Data!$C:$C,O$1))</f>
        <v/>
      </c>
      <c r="P39" s="31" t="str">
        <f>IF(SUMIFS(Data!$U:$U,Data!$A:$A,$B39,Data!$C:$C,P$1)=0,"",SUMIFS(Data!$U:$U,Data!$A:$A,$B39,Data!$C:$C,P$1))</f>
        <v/>
      </c>
      <c r="Q39" s="31" t="str">
        <f>IF(SUMIFS(Data!$U:$U,Data!$A:$A,$B39,Data!$C:$C,Q$1)=0,"",SUMIFS(Data!$U:$U,Data!$A:$A,$B39,Data!$C:$C,Q$1))</f>
        <v/>
      </c>
      <c r="R39" s="31">
        <f>VLOOKUP(W39,Barem!$W$39:$X$54,2,0)</f>
        <v>3</v>
      </c>
      <c r="S39" s="31">
        <f>SUM(C39:R39)</f>
        <v>46.137833333333333</v>
      </c>
      <c r="T39" s="31">
        <f>SUMIFS(Data!D:D,Data!A:A,'#ligaSYR'!B23)</f>
        <v>251.24</v>
      </c>
      <c r="U39" s="1" t="str">
        <f>IF(VLOOKUP(B39,Participanti!A:D,4,0)=0," ","New")</f>
        <v>New</v>
      </c>
      <c r="W39" s="116">
        <f>SUMIFS(Data!Z:Z,Data!A:A,'#ligaSYR'!B39)</f>
        <v>10</v>
      </c>
      <c r="X39" s="116"/>
      <c r="AE39" s="1" t="str">
        <f>VLOOKUP(B39,Participanti!A:B,2,0)</f>
        <v>M</v>
      </c>
      <c r="AF39" s="1" t="e">
        <f>VLOOKUP(B39,Data_Echipe!A:R,18,0)</f>
        <v>#N/A</v>
      </c>
    </row>
    <row r="40" spans="1:32" ht="13" x14ac:dyDescent="0.3">
      <c r="A40" s="79">
        <v>39</v>
      </c>
      <c r="B40" s="30" t="s">
        <v>122</v>
      </c>
      <c r="C40" s="31">
        <f>IF(SUMIFS(Data!$U:$U,Data!$A:$A,$B40,Data!$C:$C,C$1)=0,"",SUMIFS(Data!$U:$U,Data!$A:$A,$B40,Data!$C:$C,C$1))</f>
        <v>2.6244047619047617</v>
      </c>
      <c r="D40" s="31">
        <f>IF(SUMIFS(Data!$U:$U,Data!$A:$A,$B40,Data!$C:$C,D$1)=0,"",SUMIFS(Data!$U:$U,Data!$A:$A,$B40,Data!$C:$C,D$1))</f>
        <v>2.5676666666666668</v>
      </c>
      <c r="E40" s="31">
        <f>IF(SUMIFS(Data!$U:$U,Data!$A:$A,$B40,Data!$C:$C,E$1)=0,"",SUMIFS(Data!$U:$U,Data!$A:$A,$B40,Data!$C:$C,E$1))</f>
        <v>3.5573333333333332</v>
      </c>
      <c r="F40" s="31">
        <f>IF(SUMIFS(Data!$U:$U,Data!$A:$A,$B40,Data!$C:$C,F$1)=0,"",SUMIFS(Data!$U:$U,Data!$A:$A,$B40,Data!$C:$C,F$1))</f>
        <v>2.1636904761904763</v>
      </c>
      <c r="G40" s="31">
        <f>IF(SUMIFS(Data!$U:$U,Data!$A:$A,$B40,Data!$C:$C,G$1)=0,"",SUMIFS(Data!$U:$U,Data!$A:$A,$B40,Data!$C:$C,G$1))</f>
        <v>2.8261904761904759</v>
      </c>
      <c r="H40" s="31">
        <f>IF(SUMIFS(Data!$U:$U,Data!$A:$A,$B40,Data!$C:$C,H$1)=0,"",SUMIFS(Data!$U:$U,Data!$A:$A,$B40,Data!$C:$C,H$1))</f>
        <v>3.2017619047619048</v>
      </c>
      <c r="I40" s="31">
        <f>IF(SUMIFS(Data!$U:$U,Data!$A:$A,$B40,Data!$C:$C,I$1)=0,"",SUMIFS(Data!$U:$U,Data!$A:$A,$B40,Data!$C:$C,I$1))</f>
        <v>2.174404761904762</v>
      </c>
      <c r="J40" s="31">
        <f>IF(SUMIFS(Data!$U:$U,Data!$A:$A,$B40,Data!$C:$C,J$1)=0,"",SUMIFS(Data!$U:$U,Data!$A:$A,$B40,Data!$C:$C,J$1))</f>
        <v>3.6695000000000002</v>
      </c>
      <c r="K40" s="31">
        <f>IF(SUMIFS(Data!$U:$U,Data!$A:$A,$B40,Data!$C:$C,K$1)=0,"",SUMIFS(Data!$U:$U,Data!$A:$A,$B40,Data!$C:$C,K$1))</f>
        <v>2.8016428571428569</v>
      </c>
      <c r="L40" s="31">
        <f>IF(SUMIFS(Data!$U:$U,Data!$A:$A,$B40,Data!$C:$C,L$1)=0,"",SUMIFS(Data!$U:$U,Data!$A:$A,$B40,Data!$C:$C,L$1))</f>
        <v>3.1609761904761906</v>
      </c>
      <c r="M40" s="31">
        <f>IF(SUMIFS(Data!$U:$U,Data!$A:$A,$B40,Data!$C:$C,M$1)=0,"",SUMIFS(Data!$U:$U,Data!$A:$A,$B40,Data!$C:$C,M$1))</f>
        <v>3.75</v>
      </c>
      <c r="N40" s="31">
        <f>IF(SUMIFS(Data!$U:$U,Data!$A:$A,$B40,Data!$C:$C,N$1)=0,"",SUMIFS(Data!$U:$U,Data!$A:$A,$B40,Data!$C:$C,N$1))</f>
        <v>2.9044285714285714</v>
      </c>
      <c r="O40" s="31">
        <f>IF(SUMIFS(Data!$U:$U,Data!$A:$A,$B40,Data!$C:$C,O$1)=0,"",SUMIFS(Data!$U:$U,Data!$A:$A,$B40,Data!$C:$C,O$1))</f>
        <v>1.3794761904761903</v>
      </c>
      <c r="P40" s="31">
        <f>IF(SUMIFS(Data!$U:$U,Data!$A:$A,$B40,Data!$C:$C,P$1)=0,"",SUMIFS(Data!$U:$U,Data!$A:$A,$B40,Data!$C:$C,P$1))</f>
        <v>2.6833333333333331</v>
      </c>
      <c r="Q40" s="31">
        <f>IF(SUMIFS(Data!$U:$U,Data!$A:$A,$B40,Data!$C:$C,Q$1)=0,"",SUMIFS(Data!$U:$U,Data!$A:$A,$B40,Data!$C:$C,Q$1))</f>
        <v>1.6260714285714286</v>
      </c>
      <c r="R40" s="31">
        <f>VLOOKUP(W40,Barem!$W$39:$X$54,2,0)</f>
        <v>4</v>
      </c>
      <c r="S40" s="31">
        <f>SUM(C40:R40)</f>
        <v>45.09088095238095</v>
      </c>
      <c r="T40" s="31">
        <f>SUMIFS(Data!D:D,Data!A:A,'#ligaSYR'!B50)</f>
        <v>246.10999999999996</v>
      </c>
      <c r="U40" s="1" t="str">
        <f>IF(VLOOKUP(B40,Participanti!A:D,4,0)=0," ","New")</f>
        <v xml:space="preserve"> </v>
      </c>
      <c r="W40" s="116">
        <f>SUMIFS(Data!Z:Z,Data!A:A,'#ligaSYR'!B40)</f>
        <v>12</v>
      </c>
      <c r="X40" s="116" t="s">
        <v>312</v>
      </c>
      <c r="Y40" s="1" t="s">
        <v>312</v>
      </c>
      <c r="AC40" s="1" t="s">
        <v>312</v>
      </c>
      <c r="AD40" s="1" t="s">
        <v>312</v>
      </c>
      <c r="AE40" s="1" t="str">
        <f>VLOOKUP(B40,Participanti!A:B,2,0)</f>
        <v>M</v>
      </c>
      <c r="AF40" s="1" t="str">
        <f>VLOOKUP(B40,Data_Echipe!A:R,18,0)</f>
        <v>#notSYRious</v>
      </c>
    </row>
    <row r="41" spans="1:32" ht="13" x14ac:dyDescent="0.3">
      <c r="A41" s="79">
        <v>40</v>
      </c>
      <c r="B41" s="30" t="s">
        <v>59</v>
      </c>
      <c r="C41" s="31">
        <f>IF(SUMIFS(Data!$U:$U,Data!$A:$A,$B41,Data!$C:$C,C$1)=0,"",SUMIFS(Data!$U:$U,Data!$A:$A,$B41,Data!$C:$C,C$1))</f>
        <v>1.5</v>
      </c>
      <c r="D41" s="31">
        <f>IF(SUMIFS(Data!$U:$U,Data!$A:$A,$B41,Data!$C:$C,D$1)=0,"",SUMIFS(Data!$U:$U,Data!$A:$A,$B41,Data!$C:$C,D$1))</f>
        <v>1.7267857142857141</v>
      </c>
      <c r="E41" s="31">
        <f>IF(SUMIFS(Data!$U:$U,Data!$A:$A,$B41,Data!$C:$C,E$1)=0,"",SUMIFS(Data!$U:$U,Data!$A:$A,$B41,Data!$C:$C,E$1))</f>
        <v>2.1541666666666668</v>
      </c>
      <c r="F41" s="31">
        <f>IF(SUMIFS(Data!$U:$U,Data!$A:$A,$B41,Data!$C:$C,F$1)=0,"",SUMIFS(Data!$U:$U,Data!$A:$A,$B41,Data!$C:$C,F$1))</f>
        <v>3.3267857142857142</v>
      </c>
      <c r="G41" s="31">
        <f>IF(SUMIFS(Data!$U:$U,Data!$A:$A,$B41,Data!$C:$C,G$1)=0,"",SUMIFS(Data!$U:$U,Data!$A:$A,$B41,Data!$C:$C,G$1))</f>
        <v>2.8023809523809522</v>
      </c>
      <c r="H41" s="31">
        <f>IF(SUMIFS(Data!$U:$U,Data!$A:$A,$B41,Data!$C:$C,H$1)=0,"",SUMIFS(Data!$U:$U,Data!$A:$A,$B41,Data!$C:$C,H$1))</f>
        <v>4.0744047619047619</v>
      </c>
      <c r="I41" s="31">
        <f>IF(SUMIFS(Data!$U:$U,Data!$A:$A,$B41,Data!$C:$C,I$1)=0,"",SUMIFS(Data!$U:$U,Data!$A:$A,$B41,Data!$C:$C,I$1))</f>
        <v>2.6951666666666667</v>
      </c>
      <c r="J41" s="31">
        <f>IF(SUMIFS(Data!$U:$U,Data!$A:$A,$B41,Data!$C:$C,J$1)=0,"",SUMIFS(Data!$U:$U,Data!$A:$A,$B41,Data!$C:$C,J$1))</f>
        <v>3.3482142857142856</v>
      </c>
      <c r="K41" s="31">
        <f>IF(SUMIFS(Data!$U:$U,Data!$A:$A,$B41,Data!$C:$C,K$1)=0,"",SUMIFS(Data!$U:$U,Data!$A:$A,$B41,Data!$C:$C,K$1))</f>
        <v>1.9812619047619047</v>
      </c>
      <c r="L41" s="31">
        <f>IF(SUMIFS(Data!$U:$U,Data!$A:$A,$B41,Data!$C:$C,L$1)=0,"",SUMIFS(Data!$U:$U,Data!$A:$A,$B41,Data!$C:$C,L$1))</f>
        <v>2.4538809523809522</v>
      </c>
      <c r="M41" s="31">
        <f>IF(SUMIFS(Data!$U:$U,Data!$A:$A,$B41,Data!$C:$C,M$1)=0,"",SUMIFS(Data!$U:$U,Data!$A:$A,$B41,Data!$C:$C,M$1))</f>
        <v>4.3513333333333337</v>
      </c>
      <c r="N41" s="31">
        <f>IF(SUMIFS(Data!$U:$U,Data!$A:$A,$B41,Data!$C:$C,N$1)=0,"",SUMIFS(Data!$U:$U,Data!$A:$A,$B41,Data!$C:$C,N$1))</f>
        <v>3.8885952380952382</v>
      </c>
      <c r="O41" s="31">
        <f>IF(SUMIFS(Data!$U:$U,Data!$A:$A,$B41,Data!$C:$C,O$1)=0,"",SUMIFS(Data!$U:$U,Data!$A:$A,$B41,Data!$C:$C,O$1))</f>
        <v>2.3601190476190474</v>
      </c>
      <c r="P41" s="31" t="str">
        <f>IF(SUMIFS(Data!$U:$U,Data!$A:$A,$B41,Data!$C:$C,P$1)=0,"",SUMIFS(Data!$U:$U,Data!$A:$A,$B41,Data!$C:$C,P$1))</f>
        <v/>
      </c>
      <c r="Q41" s="31">
        <f>IF(SUMIFS(Data!$U:$U,Data!$A:$A,$B41,Data!$C:$C,Q$1)=0,"",SUMIFS(Data!$U:$U,Data!$A:$A,$B41,Data!$C:$C,Q$1))</f>
        <v>3.6874761904761906</v>
      </c>
      <c r="R41" s="31">
        <f>VLOOKUP(W41,Barem!$W$39:$X$54,2,0)</f>
        <v>4</v>
      </c>
      <c r="S41" s="31">
        <f>SUM(C41:R41)</f>
        <v>44.350571428571428</v>
      </c>
      <c r="T41" s="31">
        <f>SUMIFS(Data!D:D,Data!A:A,'#ligaSYR'!B81)</f>
        <v>150.17000000000002</v>
      </c>
      <c r="U41" s="1" t="str">
        <f>IF(VLOOKUP(B41,Participanti!A:D,4,0)=0," ","New")</f>
        <v xml:space="preserve"> </v>
      </c>
      <c r="W41" s="116">
        <f>SUMIFS(Data!Z:Z,Data!A:A,'#ligaSYR'!B41)</f>
        <v>12</v>
      </c>
      <c r="X41" s="116" t="s">
        <v>312</v>
      </c>
      <c r="Y41" s="1" t="s">
        <v>312</v>
      </c>
      <c r="Z41" s="1" t="s">
        <v>312</v>
      </c>
      <c r="AC41" s="1" t="s">
        <v>312</v>
      </c>
      <c r="AD41" s="1" t="s">
        <v>312</v>
      </c>
      <c r="AE41" s="1" t="str">
        <f>VLOOKUP(B41,Participanti!A:B,2,0)</f>
        <v>M</v>
      </c>
      <c r="AF41" s="1" t="str">
        <f>VLOOKUP(B41,Data_Echipe!A:R,18,0)</f>
        <v>Almost Kenyan Runners</v>
      </c>
    </row>
    <row r="42" spans="1:32" ht="13" x14ac:dyDescent="0.3">
      <c r="A42" s="79">
        <v>41</v>
      </c>
      <c r="B42" s="30" t="s">
        <v>133</v>
      </c>
      <c r="C42" s="31">
        <f>IF(SUMIFS(Data!$U:$U,Data!$A:$A,$B42,Data!$C:$C,C$1)=0,"",SUMIFS(Data!$U:$U,Data!$A:$A,$B42,Data!$C:$C,C$1))</f>
        <v>4.9482142857142861</v>
      </c>
      <c r="D42" s="31">
        <f>IF(SUMIFS(Data!$U:$U,Data!$A:$A,$B42,Data!$C:$C,D$1)=0,"",SUMIFS(Data!$U:$U,Data!$A:$A,$B42,Data!$C:$C,D$1))</f>
        <v>4.9000000000000004</v>
      </c>
      <c r="E42" s="31">
        <f>IF(SUMIFS(Data!$U:$U,Data!$A:$A,$B42,Data!$C:$C,E$1)=0,"",SUMIFS(Data!$U:$U,Data!$A:$A,$B42,Data!$C:$C,E$1))</f>
        <v>5.6116666666666672</v>
      </c>
      <c r="F42" s="31">
        <f>IF(SUMIFS(Data!$U:$U,Data!$A:$A,$B42,Data!$C:$C,F$1)=0,"",SUMIFS(Data!$U:$U,Data!$A:$A,$B42,Data!$C:$C,F$1))</f>
        <v>4.6820000000000004</v>
      </c>
      <c r="G42" s="31">
        <f>IF(SUMIFS(Data!$U:$U,Data!$A:$A,$B42,Data!$C:$C,G$1)=0,"",SUMIFS(Data!$U:$U,Data!$A:$A,$B42,Data!$C:$C,G$1))</f>
        <v>3.7464285714285714</v>
      </c>
      <c r="H42" s="31">
        <f>IF(SUMIFS(Data!$U:$U,Data!$A:$A,$B42,Data!$C:$C,H$1)=0,"",SUMIFS(Data!$U:$U,Data!$A:$A,$B42,Data!$C:$C,H$1))</f>
        <v>4.9000000000000004</v>
      </c>
      <c r="I42" s="31">
        <f>IF(SUMIFS(Data!$U:$U,Data!$A:$A,$B42,Data!$C:$C,I$1)=0,"",SUMIFS(Data!$U:$U,Data!$A:$A,$B42,Data!$C:$C,I$1))</f>
        <v>3.5893333333333333</v>
      </c>
      <c r="J42" s="31">
        <f>IF(SUMIFS(Data!$U:$U,Data!$A:$A,$B42,Data!$C:$C,J$1)=0,"",SUMIFS(Data!$U:$U,Data!$A:$A,$B42,Data!$C:$C,J$1))</f>
        <v>3.4160714285714282</v>
      </c>
      <c r="K42" s="31">
        <f>IF(SUMIFS(Data!$U:$U,Data!$A:$A,$B42,Data!$C:$C,K$1)=0,"",SUMIFS(Data!$U:$U,Data!$A:$A,$B42,Data!$C:$C,K$1))</f>
        <v>2.3708333333333331</v>
      </c>
      <c r="L42" s="31">
        <f>IF(SUMIFS(Data!$U:$U,Data!$A:$A,$B42,Data!$C:$C,L$1)=0,"",SUMIFS(Data!$U:$U,Data!$A:$A,$B42,Data!$C:$C,L$1))</f>
        <v>2.7392857142857143</v>
      </c>
      <c r="M42" s="31" t="str">
        <f>IF(SUMIFS(Data!$U:$U,Data!$A:$A,$B42,Data!$C:$C,M$1)=0,"",SUMIFS(Data!$U:$U,Data!$A:$A,$B42,Data!$C:$C,M$1))</f>
        <v/>
      </c>
      <c r="N42" s="31" t="str">
        <f>IF(SUMIFS(Data!$U:$U,Data!$A:$A,$B42,Data!$C:$C,N$1)=0,"",SUMIFS(Data!$U:$U,Data!$A:$A,$B42,Data!$C:$C,N$1))</f>
        <v/>
      </c>
      <c r="O42" s="31" t="str">
        <f>IF(SUMIFS(Data!$U:$U,Data!$A:$A,$B42,Data!$C:$C,O$1)=0,"",SUMIFS(Data!$U:$U,Data!$A:$A,$B42,Data!$C:$C,O$1))</f>
        <v/>
      </c>
      <c r="P42" s="31" t="str">
        <f>IF(SUMIFS(Data!$U:$U,Data!$A:$A,$B42,Data!$C:$C,P$1)=0,"",SUMIFS(Data!$U:$U,Data!$A:$A,$B42,Data!$C:$C,P$1))</f>
        <v/>
      </c>
      <c r="Q42" s="31" t="str">
        <f>IF(SUMIFS(Data!$U:$U,Data!$A:$A,$B42,Data!$C:$C,Q$1)=0,"",SUMIFS(Data!$U:$U,Data!$A:$A,$B42,Data!$C:$C,Q$1))</f>
        <v/>
      </c>
      <c r="R42" s="31">
        <f>VLOOKUP(W42,Barem!$W$39:$X$54,2,0)</f>
        <v>3</v>
      </c>
      <c r="S42" s="31">
        <f>SUM(C42:R42)</f>
        <v>43.903833333333331</v>
      </c>
      <c r="T42" s="31">
        <f>SUMIFS(Data!D:D,Data!A:A,'#ligaSYR'!B7)</f>
        <v>427.75</v>
      </c>
      <c r="U42" s="1" t="str">
        <f>IF(VLOOKUP(B42,Participanti!A:D,4,0)=0," ","New")</f>
        <v xml:space="preserve"> </v>
      </c>
      <c r="W42" s="116">
        <f>SUMIFS(Data!Z:Z,Data!A:A,'#ligaSYR'!B42)</f>
        <v>10</v>
      </c>
      <c r="X42" s="116" t="s">
        <v>312</v>
      </c>
      <c r="AE42" s="1" t="str">
        <f>VLOOKUP(B42,Participanti!A:B,2,0)</f>
        <v>M</v>
      </c>
      <c r="AF42" s="1" t="str">
        <f>VLOOKUP(B42,Data_Echipe!A:R,18,0)</f>
        <v>UltraHaita lu' Borcan</v>
      </c>
    </row>
    <row r="43" spans="1:32" ht="13" x14ac:dyDescent="0.3">
      <c r="A43" s="79">
        <v>42</v>
      </c>
      <c r="B43" s="30" t="s">
        <v>403</v>
      </c>
      <c r="C43" s="31" t="str">
        <f>IF(SUMIFS(Data!$U:$U,Data!$A:$A,$B43,Data!$C:$C,C$1)=0,"",SUMIFS(Data!$U:$U,Data!$A:$A,$B43,Data!$C:$C,C$1))</f>
        <v/>
      </c>
      <c r="D43" s="31" t="str">
        <f>IF(SUMIFS(Data!$U:$U,Data!$A:$A,$B43,Data!$C:$C,D$1)=0,"",SUMIFS(Data!$U:$U,Data!$A:$A,$B43,Data!$C:$C,D$1))</f>
        <v/>
      </c>
      <c r="E43" s="31" t="str">
        <f>IF(SUMIFS(Data!$U:$U,Data!$A:$A,$B43,Data!$C:$C,E$1)=0,"",SUMIFS(Data!$U:$U,Data!$A:$A,$B43,Data!$C:$C,E$1))</f>
        <v/>
      </c>
      <c r="F43" s="31">
        <f>IF(SUMIFS(Data!$U:$U,Data!$A:$A,$B43,Data!$C:$C,F$1)=0,"",SUMIFS(Data!$U:$U,Data!$A:$A,$B43,Data!$C:$C,F$1))</f>
        <v>3.3035000000000001</v>
      </c>
      <c r="G43" s="31">
        <f>IF(SUMIFS(Data!$U:$U,Data!$A:$A,$B43,Data!$C:$C,G$1)=0,"",SUMIFS(Data!$U:$U,Data!$A:$A,$B43,Data!$C:$C,G$1))</f>
        <v>5.3348333333333331</v>
      </c>
      <c r="H43" s="31">
        <f>IF(SUMIFS(Data!$U:$U,Data!$A:$A,$B43,Data!$C:$C,H$1)=0,"",SUMIFS(Data!$U:$U,Data!$A:$A,$B43,Data!$C:$C,H$1))</f>
        <v>3.6631666666666667</v>
      </c>
      <c r="I43" s="31">
        <f>IF(SUMIFS(Data!$U:$U,Data!$A:$A,$B43,Data!$C:$C,I$1)=0,"",SUMIFS(Data!$U:$U,Data!$A:$A,$B43,Data!$C:$C,I$1))</f>
        <v>5.2818333333333332</v>
      </c>
      <c r="J43" s="31">
        <f>IF(SUMIFS(Data!$U:$U,Data!$A:$A,$B43,Data!$C:$C,J$1)=0,"",SUMIFS(Data!$U:$U,Data!$A:$A,$B43,Data!$C:$C,J$1))</f>
        <v>3.2343333333333333</v>
      </c>
      <c r="K43" s="31">
        <f>IF(SUMIFS(Data!$U:$U,Data!$A:$A,$B43,Data!$C:$C,K$1)=0,"",SUMIFS(Data!$U:$U,Data!$A:$A,$B43,Data!$C:$C,K$1))</f>
        <v>2.8138095238095238</v>
      </c>
      <c r="L43" s="31">
        <f>IF(SUMIFS(Data!$U:$U,Data!$A:$A,$B43,Data!$C:$C,L$1)=0,"",SUMIFS(Data!$U:$U,Data!$A:$A,$B43,Data!$C:$C,L$1))</f>
        <v>3.4824999999999999</v>
      </c>
      <c r="M43" s="31">
        <f>IF(SUMIFS(Data!$U:$U,Data!$A:$A,$B43,Data!$C:$C,M$1)=0,"",SUMIFS(Data!$U:$U,Data!$A:$A,$B43,Data!$C:$C,M$1))</f>
        <v>2.9125000000000001</v>
      </c>
      <c r="N43" s="31">
        <f>IF(SUMIFS(Data!$U:$U,Data!$A:$A,$B43,Data!$C:$C,N$1)=0,"",SUMIFS(Data!$U:$U,Data!$A:$A,$B43,Data!$C:$C,N$1))</f>
        <v>2.1410714285714283</v>
      </c>
      <c r="O43" s="31">
        <f>IF(SUMIFS(Data!$U:$U,Data!$A:$A,$B43,Data!$C:$C,O$1)=0,"",SUMIFS(Data!$U:$U,Data!$A:$A,$B43,Data!$C:$C,O$1))</f>
        <v>3.0464523809523807</v>
      </c>
      <c r="P43" s="31">
        <f>IF(SUMIFS(Data!$U:$U,Data!$A:$A,$B43,Data!$C:$C,P$1)=0,"",SUMIFS(Data!$U:$U,Data!$A:$A,$B43,Data!$C:$C,P$1))</f>
        <v>3.4381666666666666</v>
      </c>
      <c r="Q43" s="31">
        <f>IF(SUMIFS(Data!$U:$U,Data!$A:$A,$B43,Data!$C:$C,Q$1)=0,"",SUMIFS(Data!$U:$U,Data!$A:$A,$B43,Data!$C:$C,Q$1))</f>
        <v>2.2261904761904763</v>
      </c>
      <c r="R43" s="31">
        <f>VLOOKUP(W43,Barem!$W$39:$X$54,2,0)</f>
        <v>3</v>
      </c>
      <c r="S43" s="31">
        <f>SUM(C43:R43)</f>
        <v>43.878357142857148</v>
      </c>
      <c r="T43" s="31">
        <f>SUMIFS(Data!D:D,Data!A:A,'#ligaSYR'!B100)</f>
        <v>44.63</v>
      </c>
      <c r="U43" s="1" t="str">
        <f>IF(VLOOKUP(B43,Participanti!A:D,4,0)=0," ","New")</f>
        <v>New</v>
      </c>
      <c r="W43" s="116">
        <f>SUMIFS(Data!Z:Z,Data!A:A,'#ligaSYR'!B43)</f>
        <v>11</v>
      </c>
      <c r="X43" s="116" t="s">
        <v>312</v>
      </c>
      <c r="Y43" s="1" t="s">
        <v>312</v>
      </c>
      <c r="Z43" s="1" t="s">
        <v>312</v>
      </c>
      <c r="AC43" s="1" t="s">
        <v>312</v>
      </c>
      <c r="AD43" s="1" t="s">
        <v>312</v>
      </c>
      <c r="AE43" s="1" t="str">
        <f>VLOOKUP(B43,Participanti!A:B,2,0)</f>
        <v>M</v>
      </c>
      <c r="AF43" s="1" t="str">
        <f>VLOOKUP(B43,Data_Echipe!A:R,18,0)</f>
        <v>The GOATs</v>
      </c>
    </row>
    <row r="44" spans="1:32" ht="13" x14ac:dyDescent="0.3">
      <c r="A44" s="79">
        <v>43</v>
      </c>
      <c r="B44" s="30" t="s">
        <v>333</v>
      </c>
      <c r="C44" s="31">
        <f>IF(SUMIFS(Data!$U:$U,Data!$A:$A,$B44,Data!$C:$C,C$1)=0,"",SUMIFS(Data!$U:$U,Data!$A:$A,$B44,Data!$C:$C,C$1))</f>
        <v>2.352380952380952</v>
      </c>
      <c r="D44" s="31">
        <f>IF(SUMIFS(Data!$U:$U,Data!$A:$A,$B44,Data!$C:$C,D$1)=0,"",SUMIFS(Data!$U:$U,Data!$A:$A,$B44,Data!$C:$C,D$1))</f>
        <v>3.5</v>
      </c>
      <c r="E44" s="31">
        <f>IF(SUMIFS(Data!$U:$U,Data!$A:$A,$B44,Data!$C:$C,E$1)=0,"",SUMIFS(Data!$U:$U,Data!$A:$A,$B44,Data!$C:$C,E$1))</f>
        <v>2.0154761904761904</v>
      </c>
      <c r="F44" s="31">
        <f>IF(SUMIFS(Data!$U:$U,Data!$A:$A,$B44,Data!$C:$C,F$1)=0,"",SUMIFS(Data!$U:$U,Data!$A:$A,$B44,Data!$C:$C,F$1))</f>
        <v>2.3619047619047615</v>
      </c>
      <c r="G44" s="31">
        <f>IF(SUMIFS(Data!$U:$U,Data!$A:$A,$B44,Data!$C:$C,G$1)=0,"",SUMIFS(Data!$U:$U,Data!$A:$A,$B44,Data!$C:$C,G$1))</f>
        <v>2.2374999999999998</v>
      </c>
      <c r="H44" s="31">
        <f>IF(SUMIFS(Data!$U:$U,Data!$A:$A,$B44,Data!$C:$C,H$1)=0,"",SUMIFS(Data!$U:$U,Data!$A:$A,$B44,Data!$C:$C,H$1))</f>
        <v>2.674404761904762</v>
      </c>
      <c r="I44" s="31">
        <f>IF(SUMIFS(Data!$U:$U,Data!$A:$A,$B44,Data!$C:$C,I$1)=0,"",SUMIFS(Data!$U:$U,Data!$A:$A,$B44,Data!$C:$C,I$1))</f>
        <v>3.6375000000000002</v>
      </c>
      <c r="J44" s="31">
        <f>IF(SUMIFS(Data!$U:$U,Data!$A:$A,$B44,Data!$C:$C,J$1)=0,"",SUMIFS(Data!$U:$U,Data!$A:$A,$B44,Data!$C:$C,J$1))</f>
        <v>3.65</v>
      </c>
      <c r="K44" s="31">
        <f>IF(SUMIFS(Data!$U:$U,Data!$A:$A,$B44,Data!$C:$C,K$1)=0,"",SUMIFS(Data!$U:$U,Data!$A:$A,$B44,Data!$C:$C,K$1))</f>
        <v>2.331547619047619</v>
      </c>
      <c r="L44" s="31">
        <f>IF(SUMIFS(Data!$U:$U,Data!$A:$A,$B44,Data!$C:$C,L$1)=0,"",SUMIFS(Data!$U:$U,Data!$A:$A,$B44,Data!$C:$C,L$1))</f>
        <v>1.8607142857142858</v>
      </c>
      <c r="M44" s="31">
        <f>IF(SUMIFS(Data!$U:$U,Data!$A:$A,$B44,Data!$C:$C,M$1)=0,"",SUMIFS(Data!$U:$U,Data!$A:$A,$B44,Data!$C:$C,M$1))</f>
        <v>3.0625</v>
      </c>
      <c r="N44" s="31">
        <f>IF(SUMIFS(Data!$U:$U,Data!$A:$A,$B44,Data!$C:$C,N$1)=0,"",SUMIFS(Data!$U:$U,Data!$A:$A,$B44,Data!$C:$C,N$1))</f>
        <v>2.7333333333333334</v>
      </c>
      <c r="O44" s="31">
        <f>IF(SUMIFS(Data!$U:$U,Data!$A:$A,$B44,Data!$C:$C,O$1)=0,"",SUMIFS(Data!$U:$U,Data!$A:$A,$B44,Data!$C:$C,O$1))</f>
        <v>2.1124999999999998</v>
      </c>
      <c r="P44" s="31">
        <f>IF(SUMIFS(Data!$U:$U,Data!$A:$A,$B44,Data!$C:$C,P$1)=0,"",SUMIFS(Data!$U:$U,Data!$A:$A,$B44,Data!$C:$C,P$1))</f>
        <v>1.6797619047619048</v>
      </c>
      <c r="Q44" s="31">
        <f>IF(SUMIFS(Data!$U:$U,Data!$A:$A,$B44,Data!$C:$C,Q$1)=0,"",SUMIFS(Data!$U:$U,Data!$A:$A,$B44,Data!$C:$C,Q$1))</f>
        <v>2.4726190476190477</v>
      </c>
      <c r="R44" s="31">
        <f>VLOOKUP(W44,Barem!$W$39:$X$54,2,0)</f>
        <v>5</v>
      </c>
      <c r="S44" s="31">
        <f>SUM(C44:R44)</f>
        <v>43.682142857142857</v>
      </c>
      <c r="T44" s="31">
        <f>SUMIFS(Data!D:D,Data!A:A,'#ligaSYR'!B38)</f>
        <v>198.39000000000001</v>
      </c>
      <c r="U44" s="1" t="str">
        <f>IF(VLOOKUP(B44,Participanti!A:D,4,0)=0," ","New")</f>
        <v>New</v>
      </c>
      <c r="W44" s="116">
        <f>SUMIFS(Data!Z:Z,Data!A:A,'#ligaSYR'!B44)</f>
        <v>15</v>
      </c>
      <c r="X44" s="116" t="s">
        <v>312</v>
      </c>
      <c r="Z44" s="1" t="s">
        <v>312</v>
      </c>
      <c r="AC44" s="1" t="s">
        <v>312</v>
      </c>
      <c r="AD44" s="1" t="s">
        <v>312</v>
      </c>
      <c r="AE44" s="1" t="str">
        <f>VLOOKUP(B44,Participanti!A:B,2,0)</f>
        <v>M</v>
      </c>
      <c r="AF44" s="1" t="str">
        <f>VLOOKUP(B44,Data_Echipe!A:R,18,0)</f>
        <v>UltraHaita lu' Borcan</v>
      </c>
    </row>
    <row r="45" spans="1:32" ht="13" x14ac:dyDescent="0.3">
      <c r="A45" s="79">
        <v>44</v>
      </c>
      <c r="B45" s="30" t="s">
        <v>387</v>
      </c>
      <c r="C45" s="31" t="str">
        <f>IF(SUMIFS(Data!$U:$U,Data!$A:$A,$B45,Data!$C:$C,C$1)=0,"",SUMIFS(Data!$U:$U,Data!$A:$A,$B45,Data!$C:$C,C$1))</f>
        <v/>
      </c>
      <c r="D45" s="31" t="str">
        <f>IF(SUMIFS(Data!$U:$U,Data!$A:$A,$B45,Data!$C:$C,D$1)=0,"",SUMIFS(Data!$U:$U,Data!$A:$A,$B45,Data!$C:$C,D$1))</f>
        <v/>
      </c>
      <c r="E45" s="31">
        <f>IF(SUMIFS(Data!$U:$U,Data!$A:$A,$B45,Data!$C:$C,E$1)=0,"",SUMIFS(Data!$U:$U,Data!$A:$A,$B45,Data!$C:$C,E$1))</f>
        <v>3.50725</v>
      </c>
      <c r="F45" s="31">
        <f>IF(SUMIFS(Data!$U:$U,Data!$A:$A,$B45,Data!$C:$C,F$1)=0,"",SUMIFS(Data!$U:$U,Data!$A:$A,$B45,Data!$C:$C,F$1))</f>
        <v>2.4693749999999999</v>
      </c>
      <c r="G45" s="31">
        <f>IF(SUMIFS(Data!$U:$U,Data!$A:$A,$B45,Data!$C:$C,G$1)=0,"",SUMIFS(Data!$U:$U,Data!$A:$A,$B45,Data!$C:$C,G$1))</f>
        <v>2.6256249999999999</v>
      </c>
      <c r="H45" s="31">
        <f>IF(SUMIFS(Data!$U:$U,Data!$A:$A,$B45,Data!$C:$C,H$1)=0,"",SUMIFS(Data!$U:$U,Data!$A:$A,$B45,Data!$C:$C,H$1))</f>
        <v>3.3131249999999999</v>
      </c>
      <c r="I45" s="31">
        <f>IF(SUMIFS(Data!$U:$U,Data!$A:$A,$B45,Data!$C:$C,I$1)=0,"",SUMIFS(Data!$U:$U,Data!$A:$A,$B45,Data!$C:$C,I$1))</f>
        <v>3.7294999999999998</v>
      </c>
      <c r="J45" s="31">
        <f>IF(SUMIFS(Data!$U:$U,Data!$A:$A,$B45,Data!$C:$C,J$1)=0,"",SUMIFS(Data!$U:$U,Data!$A:$A,$B45,Data!$C:$C,J$1))</f>
        <v>2.4381249999999999</v>
      </c>
      <c r="K45" s="31">
        <f>IF(SUMIFS(Data!$U:$U,Data!$A:$A,$B45,Data!$C:$C,K$1)=0,"",SUMIFS(Data!$U:$U,Data!$A:$A,$B45,Data!$C:$C,K$1))</f>
        <v>3.25</v>
      </c>
      <c r="L45" s="31">
        <f>IF(SUMIFS(Data!$U:$U,Data!$A:$A,$B45,Data!$C:$C,L$1)=0,"",SUMIFS(Data!$U:$U,Data!$A:$A,$B45,Data!$C:$C,L$1))</f>
        <v>3.4375</v>
      </c>
      <c r="M45" s="31">
        <f>IF(SUMIFS(Data!$U:$U,Data!$A:$A,$B45,Data!$C:$C,M$1)=0,"",SUMIFS(Data!$U:$U,Data!$A:$A,$B45,Data!$C:$C,M$1))</f>
        <v>2.961875</v>
      </c>
      <c r="N45" s="31">
        <f>IF(SUMIFS(Data!$U:$U,Data!$A:$A,$B45,Data!$C:$C,N$1)=0,"",SUMIFS(Data!$U:$U,Data!$A:$A,$B45,Data!$C:$C,N$1))</f>
        <v>3.2506250000000003</v>
      </c>
      <c r="O45" s="31">
        <f>IF(SUMIFS(Data!$U:$U,Data!$A:$A,$B45,Data!$C:$C,O$1)=0,"",SUMIFS(Data!$U:$U,Data!$A:$A,$B45,Data!$C:$C,O$1))</f>
        <v>3.8125</v>
      </c>
      <c r="P45" s="31">
        <f>IF(SUMIFS(Data!$U:$U,Data!$A:$A,$B45,Data!$C:$C,P$1)=0,"",SUMIFS(Data!$U:$U,Data!$A:$A,$B45,Data!$C:$C,P$1))</f>
        <v>2.125</v>
      </c>
      <c r="Q45" s="31">
        <f>IF(SUMIFS(Data!$U:$U,Data!$A:$A,$B45,Data!$C:$C,Q$1)=0,"",SUMIFS(Data!$U:$U,Data!$A:$A,$B45,Data!$C:$C,Q$1))</f>
        <v>2.5637499999999998</v>
      </c>
      <c r="R45" s="31">
        <f>VLOOKUP(W45,Barem!$W$39:$X$54,2,0)</f>
        <v>4</v>
      </c>
      <c r="S45" s="31">
        <f>SUM(C45:R45)</f>
        <v>43.484249999999996</v>
      </c>
      <c r="T45" s="31">
        <f>SUMIFS(Data!D:D,Data!A:A,'#ligaSYR'!B100)</f>
        <v>44.63</v>
      </c>
      <c r="U45" s="1" t="str">
        <f>IF(VLOOKUP(B45,Participanti!A:D,4,0)=0," ","New")</f>
        <v>New</v>
      </c>
      <c r="W45" s="116">
        <f>SUMIFS(Data!Z:Z,Data!A:A,'#ligaSYR'!B45)</f>
        <v>13</v>
      </c>
      <c r="X45" s="116" t="s">
        <v>312</v>
      </c>
      <c r="Y45" s="1" t="s">
        <v>312</v>
      </c>
      <c r="Z45" s="1" t="s">
        <v>312</v>
      </c>
      <c r="AC45" s="1" t="s">
        <v>312</v>
      </c>
      <c r="AD45" s="1" t="s">
        <v>312</v>
      </c>
      <c r="AE45" s="1" t="str">
        <f>VLOOKUP(B45,Participanti!A:B,2,0)</f>
        <v>F</v>
      </c>
      <c r="AF45" s="1" t="str">
        <f>VLOOKUP(B45,Data_Echipe!A:R,18,0)</f>
        <v>#notSYRious</v>
      </c>
    </row>
    <row r="46" spans="1:32" ht="13" x14ac:dyDescent="0.3">
      <c r="A46" s="79">
        <v>45</v>
      </c>
      <c r="B46" s="30" t="s">
        <v>368</v>
      </c>
      <c r="C46" s="31">
        <f>IF(SUMIFS(Data!$U:$U,Data!$A:$A,$B46,Data!$C:$C,C$1)=0,"",SUMIFS(Data!$U:$U,Data!$A:$A,$B46,Data!$C:$C,C$1))</f>
        <v>1.9785714285714286</v>
      </c>
      <c r="D46" s="31">
        <f>IF(SUMIFS(Data!$U:$U,Data!$A:$A,$B46,Data!$C:$C,D$1)=0,"",SUMIFS(Data!$U:$U,Data!$A:$A,$B46,Data!$C:$C,D$1))</f>
        <v>1.7547619047619047</v>
      </c>
      <c r="E46" s="31">
        <f>IF(SUMIFS(Data!$U:$U,Data!$A:$A,$B46,Data!$C:$C,E$1)=0,"",SUMIFS(Data!$U:$U,Data!$A:$A,$B46,Data!$C:$C,E$1))</f>
        <v>2.1875</v>
      </c>
      <c r="F46" s="31">
        <f>IF(SUMIFS(Data!$U:$U,Data!$A:$A,$B46,Data!$C:$C,F$1)=0,"",SUMIFS(Data!$U:$U,Data!$A:$A,$B46,Data!$C:$C,F$1))</f>
        <v>2.1898809523809524</v>
      </c>
      <c r="G46" s="31">
        <f>IF(SUMIFS(Data!$U:$U,Data!$A:$A,$B46,Data!$C:$C,G$1)=0,"",SUMIFS(Data!$U:$U,Data!$A:$A,$B46,Data!$C:$C,G$1))</f>
        <v>3.1190476190476191</v>
      </c>
      <c r="H46" s="31">
        <f>IF(SUMIFS(Data!$U:$U,Data!$A:$A,$B46,Data!$C:$C,H$1)=0,"",SUMIFS(Data!$U:$U,Data!$A:$A,$B46,Data!$C:$C,H$1))</f>
        <v>2.6220238095238093</v>
      </c>
      <c r="I46" s="31" t="str">
        <f>IF(SUMIFS(Data!$U:$U,Data!$A:$A,$B46,Data!$C:$C,I$1)=0,"",SUMIFS(Data!$U:$U,Data!$A:$A,$B46,Data!$C:$C,I$1))</f>
        <v/>
      </c>
      <c r="J46" s="31">
        <f>IF(SUMIFS(Data!$U:$U,Data!$A:$A,$B46,Data!$C:$C,J$1)=0,"",SUMIFS(Data!$U:$U,Data!$A:$A,$B46,Data!$C:$C,J$1))</f>
        <v>2.9898809523809522</v>
      </c>
      <c r="K46" s="31">
        <f>IF(SUMIFS(Data!$U:$U,Data!$A:$A,$B46,Data!$C:$C,K$1)=0,"",SUMIFS(Data!$U:$U,Data!$A:$A,$B46,Data!$C:$C,K$1))</f>
        <v>2.6410714285714283</v>
      </c>
      <c r="L46" s="31">
        <f>IF(SUMIFS(Data!$U:$U,Data!$A:$A,$B46,Data!$C:$C,L$1)=0,"",SUMIFS(Data!$U:$U,Data!$A:$A,$B46,Data!$C:$C,L$1))</f>
        <v>3.875</v>
      </c>
      <c r="M46" s="31">
        <f>IF(SUMIFS(Data!$U:$U,Data!$A:$A,$B46,Data!$C:$C,M$1)=0,"",SUMIFS(Data!$U:$U,Data!$A:$A,$B46,Data!$C:$C,M$1))</f>
        <v>3.3601190476190474</v>
      </c>
      <c r="N46" s="31">
        <f>IF(SUMIFS(Data!$U:$U,Data!$A:$A,$B46,Data!$C:$C,N$1)=0,"",SUMIFS(Data!$U:$U,Data!$A:$A,$B46,Data!$C:$C,N$1))</f>
        <v>2.7386904761904765</v>
      </c>
      <c r="O46" s="31">
        <f>IF(SUMIFS(Data!$U:$U,Data!$A:$A,$B46,Data!$C:$C,O$1)=0,"",SUMIFS(Data!$U:$U,Data!$A:$A,$B46,Data!$C:$C,O$1))</f>
        <v>2.8047619047619046</v>
      </c>
      <c r="P46" s="31">
        <f>IF(SUMIFS(Data!$U:$U,Data!$A:$A,$B46,Data!$C:$C,P$1)=0,"",SUMIFS(Data!$U:$U,Data!$A:$A,$B46,Data!$C:$C,P$1))</f>
        <v>2.4910714285714284</v>
      </c>
      <c r="Q46" s="31">
        <f>IF(SUMIFS(Data!$U:$U,Data!$A:$A,$B46,Data!$C:$C,Q$1)=0,"",SUMIFS(Data!$U:$U,Data!$A:$A,$B46,Data!$C:$C,Q$1))</f>
        <v>3.3303571428571428</v>
      </c>
      <c r="R46" s="31">
        <f>VLOOKUP(W46,Barem!$W$39:$X$54,2,0)</f>
        <v>5</v>
      </c>
      <c r="S46" s="31">
        <f>SUM(C46:R46)</f>
        <v>43.082738095238106</v>
      </c>
      <c r="T46" s="31">
        <f>SUMIFS(Data!D:D,Data!A:A,'#ligaSYR'!B71)</f>
        <v>138.20000000000002</v>
      </c>
      <c r="U46" s="1" t="str">
        <f>IF(VLOOKUP(B46,Participanti!A:D,4,0)=0," ","New")</f>
        <v>New</v>
      </c>
      <c r="W46" s="116">
        <f>SUMIFS(Data!Z:Z,Data!A:A,'#ligaSYR'!B46)</f>
        <v>14</v>
      </c>
      <c r="X46" s="116"/>
      <c r="AE46" s="1" t="str">
        <f>VLOOKUP(B46,Participanti!A:B,2,0)</f>
        <v>M</v>
      </c>
      <c r="AF46" s="1" t="str">
        <f>VLOOKUP(B46,Data_Echipe!A:R,18,0)</f>
        <v>Almost Kenyan Runners</v>
      </c>
    </row>
    <row r="47" spans="1:32" ht="13" x14ac:dyDescent="0.3">
      <c r="A47" s="79">
        <v>46</v>
      </c>
      <c r="B47" s="30" t="s">
        <v>48</v>
      </c>
      <c r="C47" s="31">
        <f>IF(SUMIFS(Data!$U:$U,Data!$A:$A,$B47,Data!$C:$C,C$1)=0,"",SUMIFS(Data!$U:$U,Data!$A:$A,$B47,Data!$C:$C,C$1))</f>
        <v>2.7994523809523808</v>
      </c>
      <c r="D47" s="31">
        <f>IF(SUMIFS(Data!$U:$U,Data!$A:$A,$B47,Data!$C:$C,D$1)=0,"",SUMIFS(Data!$U:$U,Data!$A:$A,$B47,Data!$C:$C,D$1))</f>
        <v>2.0969047619047618</v>
      </c>
      <c r="E47" s="31">
        <f>IF(SUMIFS(Data!$U:$U,Data!$A:$A,$B47,Data!$C:$C,E$1)=0,"",SUMIFS(Data!$U:$U,Data!$A:$A,$B47,Data!$C:$C,E$1))</f>
        <v>2.1990714285714286</v>
      </c>
      <c r="F47" s="31">
        <f>IF(SUMIFS(Data!$U:$U,Data!$A:$A,$B47,Data!$C:$C,F$1)=0,"",SUMIFS(Data!$U:$U,Data!$A:$A,$B47,Data!$C:$C,F$1))</f>
        <v>3.3841428571428573</v>
      </c>
      <c r="G47" s="31">
        <f>IF(SUMIFS(Data!$U:$U,Data!$A:$A,$B47,Data!$C:$C,G$1)=0,"",SUMIFS(Data!$U:$U,Data!$A:$A,$B47,Data!$C:$C,G$1))</f>
        <v>2.1398809523809521</v>
      </c>
      <c r="H47" s="31">
        <f>IF(SUMIFS(Data!$U:$U,Data!$A:$A,$B47,Data!$C:$C,H$1)=0,"",SUMIFS(Data!$U:$U,Data!$A:$A,$B47,Data!$C:$C,H$1))</f>
        <v>3.231095238095238</v>
      </c>
      <c r="I47" s="31">
        <f>IF(SUMIFS(Data!$U:$U,Data!$A:$A,$B47,Data!$C:$C,I$1)=0,"",SUMIFS(Data!$U:$U,Data!$A:$A,$B47,Data!$C:$C,I$1))</f>
        <v>2.2765714285714287</v>
      </c>
      <c r="J47" s="31">
        <f>IF(SUMIFS(Data!$U:$U,Data!$A:$A,$B47,Data!$C:$C,J$1)=0,"",SUMIFS(Data!$U:$U,Data!$A:$A,$B47,Data!$C:$C,J$1))</f>
        <v>2.526928571428571</v>
      </c>
      <c r="K47" s="31">
        <f>IF(SUMIFS(Data!$U:$U,Data!$A:$A,$B47,Data!$C:$C,K$1)=0,"",SUMIFS(Data!$U:$U,Data!$A:$A,$B47,Data!$C:$C,K$1))</f>
        <v>2.925238095238095</v>
      </c>
      <c r="L47" s="31">
        <f>IF(SUMIFS(Data!$U:$U,Data!$A:$A,$B47,Data!$C:$C,L$1)=0,"",SUMIFS(Data!$U:$U,Data!$A:$A,$B47,Data!$C:$C,L$1))</f>
        <v>2.679904761904762</v>
      </c>
      <c r="M47" s="31">
        <f>IF(SUMIFS(Data!$U:$U,Data!$A:$A,$B47,Data!$C:$C,M$1)=0,"",SUMIFS(Data!$U:$U,Data!$A:$A,$B47,Data!$C:$C,M$1))</f>
        <v>2.6297619047619047</v>
      </c>
      <c r="N47" s="31">
        <f>IF(SUMIFS(Data!$U:$U,Data!$A:$A,$B47,Data!$C:$C,N$1)=0,"",SUMIFS(Data!$U:$U,Data!$A:$A,$B47,Data!$C:$C,N$1))</f>
        <v>2.1526904761904762</v>
      </c>
      <c r="O47" s="31">
        <f>IF(SUMIFS(Data!$U:$U,Data!$A:$A,$B47,Data!$C:$C,O$1)=0,"",SUMIFS(Data!$U:$U,Data!$A:$A,$B47,Data!$C:$C,O$1))</f>
        <v>2.7760000000000002</v>
      </c>
      <c r="P47" s="31">
        <f>IF(SUMIFS(Data!$U:$U,Data!$A:$A,$B47,Data!$C:$C,P$1)=0,"",SUMIFS(Data!$U:$U,Data!$A:$A,$B47,Data!$C:$C,P$1))</f>
        <v>1.2027142857142858</v>
      </c>
      <c r="Q47" s="31">
        <f>IF(SUMIFS(Data!$U:$U,Data!$A:$A,$B47,Data!$C:$C,Q$1)=0,"",SUMIFS(Data!$U:$U,Data!$A:$A,$B47,Data!$C:$C,Q$1))</f>
        <v>3.020833333333333</v>
      </c>
      <c r="R47" s="31">
        <f>VLOOKUP(W47,Barem!$W$39:$X$54,2,0)</f>
        <v>5</v>
      </c>
      <c r="S47" s="31">
        <f>SUM(C47:R47)</f>
        <v>43.041190476190472</v>
      </c>
      <c r="T47" s="31">
        <f>SUMIFS(Data!D:D,Data!A:A,'#ligaSYR'!B52)</f>
        <v>163.83000000000001</v>
      </c>
      <c r="U47" s="1" t="str">
        <f>IF(VLOOKUP(B47,Participanti!A:D,4,0)=0," ","New")</f>
        <v xml:space="preserve"> </v>
      </c>
      <c r="W47" s="116">
        <f>SUMIFS(Data!Z:Z,Data!A:A,'#ligaSYR'!B47)</f>
        <v>14</v>
      </c>
      <c r="X47" s="116" t="s">
        <v>312</v>
      </c>
      <c r="Z47" s="1" t="s">
        <v>312</v>
      </c>
      <c r="AA47" s="1" t="s">
        <v>312</v>
      </c>
      <c r="AE47" s="1" t="str">
        <f>VLOOKUP(B47,Participanti!A:B,2,0)</f>
        <v>M</v>
      </c>
      <c r="AF47" s="1" t="str">
        <f>VLOOKUP(B47,Data_Echipe!A:R,18,0)</f>
        <v>#notSYRious</v>
      </c>
    </row>
    <row r="48" spans="1:32" ht="13" x14ac:dyDescent="0.3">
      <c r="A48" s="79">
        <v>47</v>
      </c>
      <c r="B48" s="30" t="s">
        <v>275</v>
      </c>
      <c r="C48" s="31">
        <f>IF(SUMIFS(Data!$U:$U,Data!$A:$A,$B48,Data!$C:$C,C$1)=0,"",SUMIFS(Data!$U:$U,Data!$A:$A,$B48,Data!$C:$C,C$1))</f>
        <v>2.458333333333333</v>
      </c>
      <c r="D48" s="31">
        <f>IF(SUMIFS(Data!$U:$U,Data!$A:$A,$B48,Data!$C:$C,D$1)=0,"",SUMIFS(Data!$U:$U,Data!$A:$A,$B48,Data!$C:$C,D$1))</f>
        <v>2.0964285714285715</v>
      </c>
      <c r="E48" s="31">
        <f>IF(SUMIFS(Data!$U:$U,Data!$A:$A,$B48,Data!$C:$C,E$1)=0,"",SUMIFS(Data!$U:$U,Data!$A:$A,$B48,Data!$C:$C,E$1))</f>
        <v>3.3202619047619049</v>
      </c>
      <c r="F48" s="31">
        <f>IF(SUMIFS(Data!$U:$U,Data!$A:$A,$B48,Data!$C:$C,F$1)=0,"",SUMIFS(Data!$U:$U,Data!$A:$A,$B48,Data!$C:$C,F$1))</f>
        <v>2.9982142857142859</v>
      </c>
      <c r="G48" s="31">
        <f>IF(SUMIFS(Data!$U:$U,Data!$A:$A,$B48,Data!$C:$C,G$1)=0,"",SUMIFS(Data!$U:$U,Data!$A:$A,$B48,Data!$C:$C,G$1))</f>
        <v>3.1985000000000001</v>
      </c>
      <c r="H48" s="31">
        <f>IF(SUMIFS(Data!$U:$U,Data!$A:$A,$B48,Data!$C:$C,H$1)=0,"",SUMIFS(Data!$U:$U,Data!$A:$A,$B48,Data!$C:$C,H$1))</f>
        <v>4.0683333333333334</v>
      </c>
      <c r="I48" s="31">
        <f>IF(SUMIFS(Data!$U:$U,Data!$A:$A,$B48,Data!$C:$C,I$1)=0,"",SUMIFS(Data!$U:$U,Data!$A:$A,$B48,Data!$C:$C,I$1))</f>
        <v>3.375</v>
      </c>
      <c r="J48" s="31">
        <f>IF(SUMIFS(Data!$U:$U,Data!$A:$A,$B48,Data!$C:$C,J$1)=0,"",SUMIFS(Data!$U:$U,Data!$A:$A,$B48,Data!$C:$C,J$1))</f>
        <v>3.4139523809523808</v>
      </c>
      <c r="K48" s="31" t="str">
        <f>IF(SUMIFS(Data!$U:$U,Data!$A:$A,$B48,Data!$C:$C,K$1)=0,"",SUMIFS(Data!$U:$U,Data!$A:$A,$B48,Data!$C:$C,K$1))</f>
        <v/>
      </c>
      <c r="L48" s="31">
        <f>IF(SUMIFS(Data!$U:$U,Data!$A:$A,$B48,Data!$C:$C,L$1)=0,"",SUMIFS(Data!$U:$U,Data!$A:$A,$B48,Data!$C:$C,L$1))</f>
        <v>1.5297619047619047</v>
      </c>
      <c r="M48" s="31">
        <f>IF(SUMIFS(Data!$U:$U,Data!$A:$A,$B48,Data!$C:$C,M$1)=0,"",SUMIFS(Data!$U:$U,Data!$A:$A,$B48,Data!$C:$C,M$1))</f>
        <v>4.1583333333333332</v>
      </c>
      <c r="N48" s="31">
        <f>IF(SUMIFS(Data!$U:$U,Data!$A:$A,$B48,Data!$C:$C,N$1)=0,"",SUMIFS(Data!$U:$U,Data!$A:$A,$B48,Data!$C:$C,N$1))</f>
        <v>3.125</v>
      </c>
      <c r="O48" s="31" t="str">
        <f>IF(SUMIFS(Data!$U:$U,Data!$A:$A,$B48,Data!$C:$C,O$1)=0,"",SUMIFS(Data!$U:$U,Data!$A:$A,$B48,Data!$C:$C,O$1))</f>
        <v/>
      </c>
      <c r="P48" s="31">
        <f>IF(SUMIFS(Data!$U:$U,Data!$A:$A,$B48,Data!$C:$C,P$1)=0,"",SUMIFS(Data!$U:$U,Data!$A:$A,$B48,Data!$C:$C,P$1))</f>
        <v>1.2869047619047618</v>
      </c>
      <c r="Q48" s="31">
        <f>IF(SUMIFS(Data!$U:$U,Data!$A:$A,$B48,Data!$C:$C,Q$1)=0,"",SUMIFS(Data!$U:$U,Data!$A:$A,$B48,Data!$C:$C,Q$1))</f>
        <v>3.3968333333333334</v>
      </c>
      <c r="R48" s="31">
        <f>VLOOKUP(W48,Barem!$W$39:$X$54,2,0)</f>
        <v>4</v>
      </c>
      <c r="S48" s="31">
        <f>SUM(C48:R48)</f>
        <v>42.425857142857147</v>
      </c>
      <c r="T48" s="31">
        <f>SUMIFS(Data!D:D,Data!A:A,'#ligaSYR'!B60)</f>
        <v>149.85999999999999</v>
      </c>
      <c r="U48" s="1" t="str">
        <f>IF(VLOOKUP(B48,Participanti!A:D,4,0)=0," ","New")</f>
        <v xml:space="preserve"> </v>
      </c>
      <c r="W48" s="116">
        <f>SUMIFS(Data!Z:Z,Data!A:A,'#ligaSYR'!B48)</f>
        <v>12</v>
      </c>
      <c r="X48" s="116"/>
      <c r="AE48" s="1" t="str">
        <f>VLOOKUP(B48,Participanti!A:B,2,0)</f>
        <v>M</v>
      </c>
      <c r="AF48" s="1" t="e">
        <f>VLOOKUP(B48,Data_Echipe!A:R,18,0)</f>
        <v>#N/A</v>
      </c>
    </row>
    <row r="49" spans="1:32" ht="13" x14ac:dyDescent="0.3">
      <c r="A49" s="79">
        <v>48</v>
      </c>
      <c r="B49" s="30" t="s">
        <v>345</v>
      </c>
      <c r="C49" s="31">
        <f>IF(SUMIFS(Data!$U:$U,Data!$A:$A,$B49,Data!$C:$C,C$1)=0,"",SUMIFS(Data!$U:$U,Data!$A:$A,$B49,Data!$C:$C,C$1))</f>
        <v>1.9381249999999999</v>
      </c>
      <c r="D49" s="31">
        <f>IF(SUMIFS(Data!$U:$U,Data!$A:$A,$B49,Data!$C:$C,D$1)=0,"",SUMIFS(Data!$U:$U,Data!$A:$A,$B49,Data!$C:$C,D$1))</f>
        <v>2.292583333333333</v>
      </c>
      <c r="E49" s="31">
        <f>IF(SUMIFS(Data!$U:$U,Data!$A:$A,$B49,Data!$C:$C,E$1)=0,"",SUMIFS(Data!$U:$U,Data!$A:$A,$B49,Data!$C:$C,E$1))</f>
        <v>3.046875</v>
      </c>
      <c r="F49" s="31">
        <f>IF(SUMIFS(Data!$U:$U,Data!$A:$A,$B49,Data!$C:$C,F$1)=0,"",SUMIFS(Data!$U:$U,Data!$A:$A,$B49,Data!$C:$C,F$1))</f>
        <v>1.8787500000000001</v>
      </c>
      <c r="G49" s="31">
        <f>IF(SUMIFS(Data!$U:$U,Data!$A:$A,$B49,Data!$C:$C,G$1)=0,"",SUMIFS(Data!$U:$U,Data!$A:$A,$B49,Data!$C:$C,G$1))</f>
        <v>2.3142499999999999</v>
      </c>
      <c r="H49" s="31">
        <f>IF(SUMIFS(Data!$U:$U,Data!$A:$A,$B49,Data!$C:$C,H$1)=0,"",SUMIFS(Data!$U:$U,Data!$A:$A,$B49,Data!$C:$C,H$1))</f>
        <v>2.6256249999999999</v>
      </c>
      <c r="I49" s="31">
        <f>IF(SUMIFS(Data!$U:$U,Data!$A:$A,$B49,Data!$C:$C,I$1)=0,"",SUMIFS(Data!$U:$U,Data!$A:$A,$B49,Data!$C:$C,I$1))</f>
        <v>2.375</v>
      </c>
      <c r="J49" s="31">
        <f>IF(SUMIFS(Data!$U:$U,Data!$A:$A,$B49,Data!$C:$C,J$1)=0,"",SUMIFS(Data!$U:$U,Data!$A:$A,$B49,Data!$C:$C,J$1))</f>
        <v>2.9381249999999999</v>
      </c>
      <c r="K49" s="31">
        <f>IF(SUMIFS(Data!$U:$U,Data!$A:$A,$B49,Data!$C:$C,K$1)=0,"",SUMIFS(Data!$U:$U,Data!$A:$A,$B49,Data!$C:$C,K$1))</f>
        <v>3.3</v>
      </c>
      <c r="L49" s="31">
        <f>IF(SUMIFS(Data!$U:$U,Data!$A:$A,$B49,Data!$C:$C,L$1)=0,"",SUMIFS(Data!$U:$U,Data!$A:$A,$B49,Data!$C:$C,L$1))</f>
        <v>1.5</v>
      </c>
      <c r="M49" s="31">
        <f>IF(SUMIFS(Data!$U:$U,Data!$A:$A,$B49,Data!$C:$C,M$1)=0,"",SUMIFS(Data!$U:$U,Data!$A:$A,$B49,Data!$C:$C,M$1))</f>
        <v>2.4169999999999998</v>
      </c>
      <c r="N49" s="31">
        <f>IF(SUMIFS(Data!$U:$U,Data!$A:$A,$B49,Data!$C:$C,N$1)=0,"",SUMIFS(Data!$U:$U,Data!$A:$A,$B49,Data!$C:$C,N$1))</f>
        <v>2.7506249999999999</v>
      </c>
      <c r="O49" s="31">
        <f>IF(SUMIFS(Data!$U:$U,Data!$A:$A,$B49,Data!$C:$C,O$1)=0,"",SUMIFS(Data!$U:$U,Data!$A:$A,$B49,Data!$C:$C,O$1))</f>
        <v>2.9935</v>
      </c>
      <c r="P49" s="31">
        <f>IF(SUMIFS(Data!$U:$U,Data!$A:$A,$B49,Data!$C:$C,P$1)=0,"",SUMIFS(Data!$U:$U,Data!$A:$A,$B49,Data!$C:$C,P$1))</f>
        <v>2.0649999999999999</v>
      </c>
      <c r="Q49" s="31">
        <f>IF(SUMIFS(Data!$U:$U,Data!$A:$A,$B49,Data!$C:$C,Q$1)=0,"",SUMIFS(Data!$U:$U,Data!$A:$A,$B49,Data!$C:$C,Q$1))</f>
        <v>2.5041666666666669</v>
      </c>
      <c r="R49" s="31">
        <f>VLOOKUP(W49,Barem!$W$39:$X$54,2,0)</f>
        <v>5</v>
      </c>
      <c r="S49" s="31">
        <f>SUM(C49:R49)</f>
        <v>41.939624999999992</v>
      </c>
      <c r="T49" s="31">
        <f>SUMIFS(Data!D:D,Data!A:A,'#ligaSYR'!B64)</f>
        <v>122.39999999999999</v>
      </c>
      <c r="U49" s="1" t="str">
        <f>IF(VLOOKUP(B49,Participanti!A:D,4,0)=0," ","New")</f>
        <v>New</v>
      </c>
      <c r="W49" s="116">
        <f>SUMIFS(Data!Z:Z,Data!A:A,'#ligaSYR'!B49)</f>
        <v>14</v>
      </c>
      <c r="X49" s="116"/>
      <c r="AE49" s="1" t="str">
        <f>VLOOKUP(B49,Participanti!A:B,2,0)</f>
        <v>F</v>
      </c>
      <c r="AF49" s="1" t="str">
        <f>VLOOKUP(B49,Data_Echipe!A:R,18,0)</f>
        <v>MedgidiaRunning</v>
      </c>
    </row>
    <row r="50" spans="1:32" ht="13" x14ac:dyDescent="0.3">
      <c r="A50" s="79">
        <v>49</v>
      </c>
      <c r="B50" s="30" t="s">
        <v>359</v>
      </c>
      <c r="C50" s="31">
        <f>IF(SUMIFS(Data!$U:$U,Data!$A:$A,$B50,Data!$C:$C,C$1)=0,"",SUMIFS(Data!$U:$U,Data!$A:$A,$B50,Data!$C:$C,C$1))</f>
        <v>2.4119047619047618</v>
      </c>
      <c r="D50" s="31">
        <f>IF(SUMIFS(Data!$U:$U,Data!$A:$A,$B50,Data!$C:$C,D$1)=0,"",SUMIFS(Data!$U:$U,Data!$A:$A,$B50,Data!$C:$C,D$1))</f>
        <v>1.9285714285714286</v>
      </c>
      <c r="E50" s="31">
        <f>IF(SUMIFS(Data!$U:$U,Data!$A:$A,$B50,Data!$C:$C,E$1)=0,"",SUMIFS(Data!$U:$U,Data!$A:$A,$B50,Data!$C:$C,E$1))</f>
        <v>2.1130952380952381</v>
      </c>
      <c r="F50" s="31">
        <f>IF(SUMIFS(Data!$U:$U,Data!$A:$A,$B50,Data!$C:$C,F$1)=0,"",SUMIFS(Data!$U:$U,Data!$A:$A,$B50,Data!$C:$C,F$1))</f>
        <v>2.4702380952380949</v>
      </c>
      <c r="G50" s="31">
        <f>IF(SUMIFS(Data!$U:$U,Data!$A:$A,$B50,Data!$C:$C,G$1)=0,"",SUMIFS(Data!$U:$U,Data!$A:$A,$B50,Data!$C:$C,G$1))</f>
        <v>2.1726190476190474</v>
      </c>
      <c r="H50" s="31">
        <f>IF(SUMIFS(Data!$U:$U,Data!$A:$A,$B50,Data!$C:$C,H$1)=0,"",SUMIFS(Data!$U:$U,Data!$A:$A,$B50,Data!$C:$C,H$1))</f>
        <v>2.9053571428571425</v>
      </c>
      <c r="I50" s="31">
        <f>IF(SUMIFS(Data!$U:$U,Data!$A:$A,$B50,Data!$C:$C,I$1)=0,"",SUMIFS(Data!$U:$U,Data!$A:$A,$B50,Data!$C:$C,I$1))</f>
        <v>2.3345238095238097</v>
      </c>
      <c r="J50" s="31">
        <f>IF(SUMIFS(Data!$U:$U,Data!$A:$A,$B50,Data!$C:$C,J$1)=0,"",SUMIFS(Data!$U:$U,Data!$A:$A,$B50,Data!$C:$C,J$1))</f>
        <v>3.5873333333333335</v>
      </c>
      <c r="K50" s="31">
        <f>IF(SUMIFS(Data!$U:$U,Data!$A:$A,$B50,Data!$C:$C,K$1)=0,"",SUMIFS(Data!$U:$U,Data!$A:$A,$B50,Data!$C:$C,K$1))</f>
        <v>2.8857142857142857</v>
      </c>
      <c r="L50" s="31">
        <f>IF(SUMIFS(Data!$U:$U,Data!$A:$A,$B50,Data!$C:$C,L$1)=0,"",SUMIFS(Data!$U:$U,Data!$A:$A,$B50,Data!$C:$C,L$1))</f>
        <v>4.484</v>
      </c>
      <c r="M50" s="31">
        <f>IF(SUMIFS(Data!$U:$U,Data!$A:$A,$B50,Data!$C:$C,M$1)=0,"",SUMIFS(Data!$U:$U,Data!$A:$A,$B50,Data!$C:$C,M$1))</f>
        <v>1.5</v>
      </c>
      <c r="N50" s="31">
        <f>IF(SUMIFS(Data!$U:$U,Data!$A:$A,$B50,Data!$C:$C,N$1)=0,"",SUMIFS(Data!$U:$U,Data!$A:$A,$B50,Data!$C:$C,N$1))</f>
        <v>1.842857142857143</v>
      </c>
      <c r="O50" s="31">
        <f>IF(SUMIFS(Data!$U:$U,Data!$A:$A,$B50,Data!$C:$C,O$1)=0,"",SUMIFS(Data!$U:$U,Data!$A:$A,$B50,Data!$C:$C,O$1))</f>
        <v>3.069142857142857</v>
      </c>
      <c r="P50" s="31">
        <f>IF(SUMIFS(Data!$U:$U,Data!$A:$A,$B50,Data!$C:$C,P$1)=0,"",SUMIFS(Data!$U:$U,Data!$A:$A,$B50,Data!$C:$C,P$1))</f>
        <v>1.8666666666666667</v>
      </c>
      <c r="Q50" s="31">
        <f>IF(SUMIFS(Data!$U:$U,Data!$A:$A,$B50,Data!$C:$C,Q$1)=0,"",SUMIFS(Data!$U:$U,Data!$A:$A,$B50,Data!$C:$C,Q$1))</f>
        <v>3.3246666666666664</v>
      </c>
      <c r="R50" s="31">
        <f>VLOOKUP(W50,Barem!$W$39:$X$54,2,0)</f>
        <v>3</v>
      </c>
      <c r="S50" s="31">
        <f>SUM(C50:R50)</f>
        <v>41.896690476190471</v>
      </c>
      <c r="T50" s="31">
        <f>SUMIFS(Data!D:D,Data!A:A,'#ligaSYR'!B61)</f>
        <v>128.36000000000001</v>
      </c>
      <c r="U50" s="1" t="str">
        <f>IF(VLOOKUP(B50,Participanti!A:D,4,0)=0," ","New")</f>
        <v>New</v>
      </c>
      <c r="W50" s="116">
        <f>SUMIFS(Data!Z:Z,Data!A:A,'#ligaSYR'!B50)</f>
        <v>11</v>
      </c>
      <c r="X50" s="116"/>
      <c r="AE50" s="1" t="str">
        <f>VLOOKUP(B50,Participanti!A:B,2,0)</f>
        <v>M</v>
      </c>
      <c r="AF50" s="1" t="str">
        <f>VLOOKUP(B50,Data_Echipe!A:R,18,0)</f>
        <v>Almost Kenyan Runners</v>
      </c>
    </row>
    <row r="51" spans="1:32" ht="13" x14ac:dyDescent="0.3">
      <c r="A51" s="79">
        <v>50</v>
      </c>
      <c r="B51" s="30" t="s">
        <v>288</v>
      </c>
      <c r="C51" s="31">
        <f>IF(SUMIFS(Data!$U:$U,Data!$A:$A,$B51,Data!$C:$C,C$1)=0,"",SUMIFS(Data!$U:$U,Data!$A:$A,$B51,Data!$C:$C,C$1))</f>
        <v>3.1785714285714284</v>
      </c>
      <c r="D51" s="31">
        <f>IF(SUMIFS(Data!$U:$U,Data!$A:$A,$B51,Data!$C:$C,D$1)=0,"",SUMIFS(Data!$U:$U,Data!$A:$A,$B51,Data!$C:$C,D$1))</f>
        <v>2.5660714285714286</v>
      </c>
      <c r="E51" s="31">
        <f>IF(SUMIFS(Data!$U:$U,Data!$A:$A,$B51,Data!$C:$C,E$1)=0,"",SUMIFS(Data!$U:$U,Data!$A:$A,$B51,Data!$C:$C,E$1))</f>
        <v>2.1482142857142859</v>
      </c>
      <c r="F51" s="31">
        <f>IF(SUMIFS(Data!$U:$U,Data!$A:$A,$B51,Data!$C:$C,F$1)=0,"",SUMIFS(Data!$U:$U,Data!$A:$A,$B51,Data!$C:$C,F$1))</f>
        <v>2.2166666666666668</v>
      </c>
      <c r="G51" s="31">
        <f>IF(SUMIFS(Data!$U:$U,Data!$A:$A,$B51,Data!$C:$C,G$1)=0,"",SUMIFS(Data!$U:$U,Data!$A:$A,$B51,Data!$C:$C,G$1))</f>
        <v>2.0868809523809526</v>
      </c>
      <c r="H51" s="31">
        <f>IF(SUMIFS(Data!$U:$U,Data!$A:$A,$B51,Data!$C:$C,H$1)=0,"",SUMIFS(Data!$U:$U,Data!$A:$A,$B51,Data!$C:$C,H$1))</f>
        <v>2.0708333333333333</v>
      </c>
      <c r="I51" s="31">
        <f>IF(SUMIFS(Data!$U:$U,Data!$A:$A,$B51,Data!$C:$C,I$1)=0,"",SUMIFS(Data!$U:$U,Data!$A:$A,$B51,Data!$C:$C,I$1))</f>
        <v>2.4202380952380951</v>
      </c>
      <c r="J51" s="31">
        <f>IF(SUMIFS(Data!$U:$U,Data!$A:$A,$B51,Data!$C:$C,J$1)=0,"",SUMIFS(Data!$U:$U,Data!$A:$A,$B51,Data!$C:$C,J$1))</f>
        <v>2.4571428571428569</v>
      </c>
      <c r="K51" s="31">
        <f>IF(SUMIFS(Data!$U:$U,Data!$A:$A,$B51,Data!$C:$C,K$1)=0,"",SUMIFS(Data!$U:$U,Data!$A:$A,$B51,Data!$C:$C,K$1))</f>
        <v>3.1848571428571426</v>
      </c>
      <c r="L51" s="31">
        <f>IF(SUMIFS(Data!$U:$U,Data!$A:$A,$B51,Data!$C:$C,L$1)=0,"",SUMIFS(Data!$U:$U,Data!$A:$A,$B51,Data!$C:$C,L$1))</f>
        <v>2.2327380952380951</v>
      </c>
      <c r="M51" s="31">
        <f>IF(SUMIFS(Data!$U:$U,Data!$A:$A,$B51,Data!$C:$C,M$1)=0,"",SUMIFS(Data!$U:$U,Data!$A:$A,$B51,Data!$C:$C,M$1))</f>
        <v>3.1678571428571427</v>
      </c>
      <c r="N51" s="31">
        <f>IF(SUMIFS(Data!$U:$U,Data!$A:$A,$B51,Data!$C:$C,N$1)=0,"",SUMIFS(Data!$U:$U,Data!$A:$A,$B51,Data!$C:$C,N$1))</f>
        <v>3.038095238095238</v>
      </c>
      <c r="O51" s="31">
        <f>IF(SUMIFS(Data!$U:$U,Data!$A:$A,$B51,Data!$C:$C,O$1)=0,"",SUMIFS(Data!$U:$U,Data!$A:$A,$B51,Data!$C:$C,O$1))</f>
        <v>1.8577380952380951</v>
      </c>
      <c r="P51" s="31">
        <f>IF(SUMIFS(Data!$U:$U,Data!$A:$A,$B51,Data!$C:$C,P$1)=0,"",SUMIFS(Data!$U:$U,Data!$A:$A,$B51,Data!$C:$C,P$1))</f>
        <v>1.5</v>
      </c>
      <c r="Q51" s="31">
        <f>IF(SUMIFS(Data!$U:$U,Data!$A:$A,$B51,Data!$C:$C,Q$1)=0,"",SUMIFS(Data!$U:$U,Data!$A:$A,$B51,Data!$C:$C,Q$1))</f>
        <v>2.7244999999999999</v>
      </c>
      <c r="R51" s="31">
        <f>VLOOKUP(W51,Barem!$W$39:$X$54,2,0)</f>
        <v>5</v>
      </c>
      <c r="S51" s="31">
        <f>SUM(C51:R51)</f>
        <v>41.850404761904763</v>
      </c>
      <c r="T51" s="31">
        <f>SUMIFS(Data!D:D,Data!A:A,'#ligaSYR'!B40)</f>
        <v>212.65</v>
      </c>
      <c r="U51" s="1" t="str">
        <f>IF(VLOOKUP(B51,Participanti!A:D,4,0)=0," ","New")</f>
        <v xml:space="preserve"> </v>
      </c>
      <c r="W51" s="116">
        <f>SUMIFS(Data!Z:Z,Data!A:A,'#ligaSYR'!B51)</f>
        <v>14</v>
      </c>
      <c r="X51" s="116"/>
      <c r="AF51" s="1" t="e">
        <f>VLOOKUP(B51,Data_Echipe!A:R,18,0)</f>
        <v>#N/A</v>
      </c>
    </row>
    <row r="52" spans="1:32" ht="13" x14ac:dyDescent="0.3">
      <c r="A52" s="79">
        <v>51</v>
      </c>
      <c r="B52" s="157" t="s">
        <v>114</v>
      </c>
      <c r="C52" s="31">
        <f>IF(SUMIFS(Data!$U:$U,Data!$A:$A,$B52,Data!$C:$C,C$1)=0,"",SUMIFS(Data!$U:$U,Data!$A:$A,$B52,Data!$C:$C,C$1))</f>
        <v>2.8440476190476192</v>
      </c>
      <c r="D52" s="31">
        <f>IF(SUMIFS(Data!$U:$U,Data!$A:$A,$B52,Data!$C:$C,D$1)=0,"",SUMIFS(Data!$U:$U,Data!$A:$A,$B52,Data!$C:$C,D$1))</f>
        <v>2.6773809523809522</v>
      </c>
      <c r="E52" s="31">
        <f>IF(SUMIFS(Data!$U:$U,Data!$A:$A,$B52,Data!$C:$C,E$1)=0,"",SUMIFS(Data!$U:$U,Data!$A:$A,$B52,Data!$C:$C,E$1))</f>
        <v>2.1196428571428569</v>
      </c>
      <c r="F52" s="31">
        <f>IF(SUMIFS(Data!$U:$U,Data!$A:$A,$B52,Data!$C:$C,F$1)=0,"",SUMIFS(Data!$U:$U,Data!$A:$A,$B52,Data!$C:$C,F$1))</f>
        <v>2.8815476190476188</v>
      </c>
      <c r="G52" s="31">
        <f>IF(SUMIFS(Data!$U:$U,Data!$A:$A,$B52,Data!$C:$C,G$1)=0,"",SUMIFS(Data!$U:$U,Data!$A:$A,$B52,Data!$C:$C,G$1))</f>
        <v>2.7398809523809522</v>
      </c>
      <c r="H52" s="31">
        <f>IF(SUMIFS(Data!$U:$U,Data!$A:$A,$B52,Data!$C:$C,H$1)=0,"",SUMIFS(Data!$U:$U,Data!$A:$A,$B52,Data!$C:$C,H$1))</f>
        <v>1.9214285714285715</v>
      </c>
      <c r="I52" s="31">
        <f>IF(SUMIFS(Data!$U:$U,Data!$A:$A,$B52,Data!$C:$C,I$1)=0,"",SUMIFS(Data!$U:$U,Data!$A:$A,$B52,Data!$C:$C,I$1))</f>
        <v>1.9874999999999998</v>
      </c>
      <c r="J52" s="31">
        <f>IF(SUMIFS(Data!$U:$U,Data!$A:$A,$B52,Data!$C:$C,J$1)=0,"",SUMIFS(Data!$U:$U,Data!$A:$A,$B52,Data!$C:$C,J$1))</f>
        <v>2.1310952380952379</v>
      </c>
      <c r="K52" s="31">
        <f>IF(SUMIFS(Data!$U:$U,Data!$A:$A,$B52,Data!$C:$C,K$1)=0,"",SUMIFS(Data!$U:$U,Data!$A:$A,$B52,Data!$C:$C,K$1))</f>
        <v>2.9280714285714287</v>
      </c>
      <c r="L52" s="31">
        <f>IF(SUMIFS(Data!$U:$U,Data!$A:$A,$B52,Data!$C:$C,L$1)=0,"",SUMIFS(Data!$U:$U,Data!$A:$A,$B52,Data!$C:$C,L$1))</f>
        <v>2.5398809523809525</v>
      </c>
      <c r="M52" s="31">
        <f>IF(SUMIFS(Data!$U:$U,Data!$A:$A,$B52,Data!$C:$C,M$1)=0,"",SUMIFS(Data!$U:$U,Data!$A:$A,$B52,Data!$C:$C,M$1))</f>
        <v>3.0428571428571427</v>
      </c>
      <c r="N52" s="31">
        <f>IF(SUMIFS(Data!$U:$U,Data!$A:$A,$B52,Data!$C:$C,N$1)=0,"",SUMIFS(Data!$U:$U,Data!$A:$A,$B52,Data!$C:$C,N$1))</f>
        <v>2.6565476190476192</v>
      </c>
      <c r="O52" s="31">
        <f>IF(SUMIFS(Data!$U:$U,Data!$A:$A,$B52,Data!$C:$C,O$1)=0,"",SUMIFS(Data!$U:$U,Data!$A:$A,$B52,Data!$C:$C,O$1))</f>
        <v>3.1965476190476187</v>
      </c>
      <c r="P52" s="31">
        <f>IF(SUMIFS(Data!$U:$U,Data!$A:$A,$B52,Data!$C:$C,P$1)=0,"",SUMIFS(Data!$U:$U,Data!$A:$A,$B52,Data!$C:$C,P$1))</f>
        <v>2.0720476190476189</v>
      </c>
      <c r="Q52" s="31">
        <f>IF(SUMIFS(Data!$U:$U,Data!$A:$A,$B52,Data!$C:$C,Q$1)=0,"",SUMIFS(Data!$U:$U,Data!$A:$A,$B52,Data!$C:$C,Q$1))</f>
        <v>2.0499999999999998</v>
      </c>
      <c r="R52" s="31">
        <f>VLOOKUP(W52,Barem!$W$39:$X$54,2,0)</f>
        <v>4</v>
      </c>
      <c r="S52" s="31">
        <f>SUM(C52:R52)</f>
        <v>41.788476190476182</v>
      </c>
      <c r="T52" s="31">
        <f>SUMIFS(Data!D:D,Data!A:A,'#ligaSYR'!B43)</f>
        <v>295.23</v>
      </c>
      <c r="U52" s="1" t="str">
        <f>IF(VLOOKUP(B52,Participanti!A:D,4,0)=0," ","New")</f>
        <v xml:space="preserve"> </v>
      </c>
      <c r="W52" s="116">
        <f>SUMIFS(Data!Z:Z,Data!A:A,'#ligaSYR'!B52)</f>
        <v>12</v>
      </c>
      <c r="X52" s="116" t="s">
        <v>312</v>
      </c>
      <c r="Z52" s="1" t="s">
        <v>312</v>
      </c>
      <c r="AC52" s="1" t="s">
        <v>312</v>
      </c>
      <c r="AD52" s="1" t="s">
        <v>312</v>
      </c>
      <c r="AE52" s="1" t="str">
        <f>VLOOKUP(B52,Participanti!A:B,2,0)</f>
        <v>M</v>
      </c>
      <c r="AF52" s="1" t="str">
        <f>VLOOKUP(B52,Data_Echipe!A:R,18,0)</f>
        <v>#notSYRious</v>
      </c>
    </row>
    <row r="53" spans="1:32" ht="13" x14ac:dyDescent="0.3">
      <c r="A53" s="79">
        <v>52</v>
      </c>
      <c r="B53" s="30" t="s">
        <v>41</v>
      </c>
      <c r="C53" s="31">
        <f>IF(SUMIFS(Data!$U:$U,Data!$A:$A,$B53,Data!$C:$C,C$1)=0,"",SUMIFS(Data!$U:$U,Data!$A:$A,$B53,Data!$C:$C,C$1))</f>
        <v>2.3985714285714286</v>
      </c>
      <c r="D53" s="31">
        <f>IF(SUMIFS(Data!$U:$U,Data!$A:$A,$B53,Data!$C:$C,D$1)=0,"",SUMIFS(Data!$U:$U,Data!$A:$A,$B53,Data!$C:$C,D$1))</f>
        <v>2.3738095238095238</v>
      </c>
      <c r="E53" s="31">
        <f>IF(SUMIFS(Data!$U:$U,Data!$A:$A,$B53,Data!$C:$C,E$1)=0,"",SUMIFS(Data!$U:$U,Data!$A:$A,$B53,Data!$C:$C,E$1))</f>
        <v>2.1667380952380952</v>
      </c>
      <c r="F53" s="31">
        <f>IF(SUMIFS(Data!$U:$U,Data!$A:$A,$B53,Data!$C:$C,F$1)=0,"",SUMIFS(Data!$U:$U,Data!$A:$A,$B53,Data!$C:$C,F$1))</f>
        <v>1.5904761904761904</v>
      </c>
      <c r="G53" s="31">
        <f>IF(SUMIFS(Data!$U:$U,Data!$A:$A,$B53,Data!$C:$C,G$1)=0,"",SUMIFS(Data!$U:$U,Data!$A:$A,$B53,Data!$C:$C,G$1))</f>
        <v>1.5089285714285714</v>
      </c>
      <c r="H53" s="31">
        <f>IF(SUMIFS(Data!$U:$U,Data!$A:$A,$B53,Data!$C:$C,H$1)=0,"",SUMIFS(Data!$U:$U,Data!$A:$A,$B53,Data!$C:$C,H$1))</f>
        <v>1.5</v>
      </c>
      <c r="I53" s="31">
        <f>IF(SUMIFS(Data!$U:$U,Data!$A:$A,$B53,Data!$C:$C,I$1)=0,"",SUMIFS(Data!$U:$U,Data!$A:$A,$B53,Data!$C:$C,I$1))</f>
        <v>3.0279285714285713</v>
      </c>
      <c r="J53" s="31">
        <f>IF(SUMIFS(Data!$U:$U,Data!$A:$A,$B53,Data!$C:$C,J$1)=0,"",SUMIFS(Data!$U:$U,Data!$A:$A,$B53,Data!$C:$C,J$1))</f>
        <v>2.2089285714285714</v>
      </c>
      <c r="K53" s="31">
        <f>IF(SUMIFS(Data!$U:$U,Data!$A:$A,$B53,Data!$C:$C,K$1)=0,"",SUMIFS(Data!$U:$U,Data!$A:$A,$B53,Data!$C:$C,K$1))</f>
        <v>2.7684523809523807</v>
      </c>
      <c r="L53" s="31">
        <f>IF(SUMIFS(Data!$U:$U,Data!$A:$A,$B53,Data!$C:$C,L$1)=0,"",SUMIFS(Data!$U:$U,Data!$A:$A,$B53,Data!$C:$C,L$1))</f>
        <v>2.2404761904761905</v>
      </c>
      <c r="M53" s="31">
        <f>IF(SUMIFS(Data!$U:$U,Data!$A:$A,$B53,Data!$C:$C,M$1)=0,"",SUMIFS(Data!$U:$U,Data!$A:$A,$B53,Data!$C:$C,M$1))</f>
        <v>3.2351190476190474</v>
      </c>
      <c r="N53" s="31">
        <f>IF(SUMIFS(Data!$U:$U,Data!$A:$A,$B53,Data!$C:$C,N$1)=0,"",SUMIFS(Data!$U:$U,Data!$A:$A,$B53,Data!$C:$C,N$1))</f>
        <v>3.0726190476190478</v>
      </c>
      <c r="O53" s="31">
        <f>IF(SUMIFS(Data!$U:$U,Data!$A:$A,$B53,Data!$C:$C,O$1)=0,"",SUMIFS(Data!$U:$U,Data!$A:$A,$B53,Data!$C:$C,O$1))</f>
        <v>3.3690476190476191</v>
      </c>
      <c r="P53" s="31">
        <f>IF(SUMIFS(Data!$U:$U,Data!$A:$A,$B53,Data!$C:$C,P$1)=0,"",SUMIFS(Data!$U:$U,Data!$A:$A,$B53,Data!$C:$C,P$1))</f>
        <v>2.236904761904762</v>
      </c>
      <c r="Q53" s="31">
        <f>IF(SUMIFS(Data!$U:$U,Data!$A:$A,$B53,Data!$C:$C,Q$1)=0,"",SUMIFS(Data!$U:$U,Data!$A:$A,$B53,Data!$C:$C,Q$1))</f>
        <v>2.9750000000000001</v>
      </c>
      <c r="R53" s="31">
        <f>VLOOKUP(W53,Barem!$W$39:$X$54,2,0)</f>
        <v>5</v>
      </c>
      <c r="S53" s="31">
        <f>SUM(C53:R53)</f>
        <v>41.673000000000002</v>
      </c>
      <c r="T53" s="31">
        <f>SUMIFS(Data!D:D,Data!A:A,'#ligaSYR'!B55)</f>
        <v>116.60000000000002</v>
      </c>
      <c r="U53" s="1" t="str">
        <f>IF(VLOOKUP(B53,Participanti!A:D,4,0)=0," ","New")</f>
        <v xml:space="preserve"> </v>
      </c>
      <c r="W53" s="116">
        <f>SUMIFS(Data!Z:Z,Data!A:A,'#ligaSYR'!B53)</f>
        <v>14</v>
      </c>
      <c r="X53" s="116"/>
      <c r="AE53" s="1" t="str">
        <f>VLOOKUP(B53,Participanti!A:B,2,0)</f>
        <v>M</v>
      </c>
      <c r="AF53" s="1" t="str">
        <f>VLOOKUP(B53,Data_Echipe!A:R,18,0)</f>
        <v>Almost Kenyan Runners</v>
      </c>
    </row>
    <row r="54" spans="1:32" ht="13" x14ac:dyDescent="0.3">
      <c r="A54" s="79">
        <v>53</v>
      </c>
      <c r="B54" s="30" t="s">
        <v>336</v>
      </c>
      <c r="C54" s="31">
        <f>IF(SUMIFS(Data!$U:$U,Data!$A:$A,$B54,Data!$C:$C,C$1)=0,"",SUMIFS(Data!$U:$U,Data!$A:$A,$B54,Data!$C:$C,C$1))</f>
        <v>3.2625000000000002</v>
      </c>
      <c r="D54" s="31">
        <f>IF(SUMIFS(Data!$U:$U,Data!$A:$A,$B54,Data!$C:$C,D$1)=0,"",SUMIFS(Data!$U:$U,Data!$A:$A,$B54,Data!$C:$C,D$1))</f>
        <v>2.0625</v>
      </c>
      <c r="E54" s="31">
        <f>IF(SUMIFS(Data!$U:$U,Data!$A:$A,$B54,Data!$C:$C,E$1)=0,"",SUMIFS(Data!$U:$U,Data!$A:$A,$B54,Data!$C:$C,E$1))</f>
        <v>2.0375000000000001</v>
      </c>
      <c r="F54" s="31">
        <f>IF(SUMIFS(Data!$U:$U,Data!$A:$A,$B54,Data!$C:$C,F$1)=0,"",SUMIFS(Data!$U:$U,Data!$A:$A,$B54,Data!$C:$C,F$1))</f>
        <v>3.2625000000000002</v>
      </c>
      <c r="G54" s="31">
        <f>IF(SUMIFS(Data!$U:$U,Data!$A:$A,$B54,Data!$C:$C,G$1)=0,"",SUMIFS(Data!$U:$U,Data!$A:$A,$B54,Data!$C:$C,G$1))</f>
        <v>2.4249999999999998</v>
      </c>
      <c r="H54" s="31">
        <f>IF(SUMIFS(Data!$U:$U,Data!$A:$A,$B54,Data!$C:$C,H$1)=0,"",SUMIFS(Data!$U:$U,Data!$A:$A,$B54,Data!$C:$C,H$1))</f>
        <v>2.2250000000000001</v>
      </c>
      <c r="I54" s="31">
        <f>IF(SUMIFS(Data!$U:$U,Data!$A:$A,$B54,Data!$C:$C,I$1)=0,"",SUMIFS(Data!$U:$U,Data!$A:$A,$B54,Data!$C:$C,I$1))</f>
        <v>3.1</v>
      </c>
      <c r="J54" s="31">
        <f>IF(SUMIFS(Data!$U:$U,Data!$A:$A,$B54,Data!$C:$C,J$1)=0,"",SUMIFS(Data!$U:$U,Data!$A:$A,$B54,Data!$C:$C,J$1))</f>
        <v>2.5499999999999998</v>
      </c>
      <c r="K54" s="31">
        <f>IF(SUMIFS(Data!$U:$U,Data!$A:$A,$B54,Data!$C:$C,K$1)=0,"",SUMIFS(Data!$U:$U,Data!$A:$A,$B54,Data!$C:$C,K$1))</f>
        <v>1.85</v>
      </c>
      <c r="L54" s="31">
        <f>IF(SUMIFS(Data!$U:$U,Data!$A:$A,$B54,Data!$C:$C,L$1)=0,"",SUMIFS(Data!$U:$U,Data!$A:$A,$B54,Data!$C:$C,L$1))</f>
        <v>3.2</v>
      </c>
      <c r="M54" s="31">
        <f>IF(SUMIFS(Data!$U:$U,Data!$A:$A,$B54,Data!$C:$C,M$1)=0,"",SUMIFS(Data!$U:$U,Data!$A:$A,$B54,Data!$C:$C,M$1))</f>
        <v>2.65</v>
      </c>
      <c r="N54" s="31">
        <f>IF(SUMIFS(Data!$U:$U,Data!$A:$A,$B54,Data!$C:$C,N$1)=0,"",SUMIFS(Data!$U:$U,Data!$A:$A,$B54,Data!$C:$C,N$1))</f>
        <v>2.3624999999999998</v>
      </c>
      <c r="O54" s="31">
        <f>IF(SUMIFS(Data!$U:$U,Data!$A:$A,$B54,Data!$C:$C,O$1)=0,"",SUMIFS(Data!$U:$U,Data!$A:$A,$B54,Data!$C:$C,O$1))</f>
        <v>3.125</v>
      </c>
      <c r="P54" s="31" t="str">
        <f>IF(SUMIFS(Data!$U:$U,Data!$A:$A,$B54,Data!$C:$C,P$1)=0,"",SUMIFS(Data!$U:$U,Data!$A:$A,$B54,Data!$C:$C,P$1))</f>
        <v/>
      </c>
      <c r="Q54" s="31">
        <f>IF(SUMIFS(Data!$U:$U,Data!$A:$A,$B54,Data!$C:$C,Q$1)=0,"",SUMIFS(Data!$U:$U,Data!$A:$A,$B54,Data!$C:$C,Q$1))</f>
        <v>2.2625000000000002</v>
      </c>
      <c r="R54" s="31">
        <f>VLOOKUP(W54,Barem!$W$39:$X$54,2,0)</f>
        <v>5</v>
      </c>
      <c r="S54" s="31">
        <f>SUM(C54:R54)</f>
        <v>41.375</v>
      </c>
      <c r="T54" s="31">
        <f>SUMIFS(Data!D:D,Data!A:A,'#ligaSYR'!B47)</f>
        <v>164.88000000000002</v>
      </c>
      <c r="U54" s="1" t="str">
        <f>IF(VLOOKUP(B54,Participanti!A:D,4,0)=0," ","New")</f>
        <v>New</v>
      </c>
      <c r="W54" s="116">
        <f>SUMIFS(Data!Z:Z,Data!A:A,'#ligaSYR'!B54)</f>
        <v>14</v>
      </c>
      <c r="X54" s="116" t="s">
        <v>312</v>
      </c>
      <c r="Z54" s="1" t="s">
        <v>312</v>
      </c>
      <c r="AC54" s="1" t="s">
        <v>312</v>
      </c>
      <c r="AE54" s="1" t="str">
        <f>VLOOKUP(B54,Participanti!A:B,2,0)</f>
        <v>M</v>
      </c>
      <c r="AF54" s="1" t="e">
        <f>VLOOKUP(B54,Data_Echipe!A:R,18,0)</f>
        <v>#N/A</v>
      </c>
    </row>
    <row r="55" spans="1:32" ht="13" x14ac:dyDescent="0.3">
      <c r="A55" s="79">
        <v>54</v>
      </c>
      <c r="B55" s="30" t="s">
        <v>116</v>
      </c>
      <c r="C55" s="31">
        <f>IF(SUMIFS(Data!$U:$U,Data!$A:$A,$B55,Data!$C:$C,C$1)=0,"",SUMIFS(Data!$U:$U,Data!$A:$A,$B55,Data!$C:$C,C$1))</f>
        <v>2.1875</v>
      </c>
      <c r="D55" s="31">
        <f>IF(SUMIFS(Data!$U:$U,Data!$A:$A,$B55,Data!$C:$C,D$1)=0,"",SUMIFS(Data!$U:$U,Data!$A:$A,$B55,Data!$C:$C,D$1))</f>
        <v>3.1176666666666666</v>
      </c>
      <c r="E55" s="31">
        <f>IF(SUMIFS(Data!$U:$U,Data!$A:$A,$B55,Data!$C:$C,E$1)=0,"",SUMIFS(Data!$U:$U,Data!$A:$A,$B55,Data!$C:$C,E$1))</f>
        <v>3.2389583333333332</v>
      </c>
      <c r="F55" s="31">
        <f>IF(SUMIFS(Data!$U:$U,Data!$A:$A,$B55,Data!$C:$C,F$1)=0,"",SUMIFS(Data!$U:$U,Data!$A:$A,$B55,Data!$C:$C,F$1))</f>
        <v>1.5</v>
      </c>
      <c r="G55" s="31">
        <f>IF(SUMIFS(Data!$U:$U,Data!$A:$A,$B55,Data!$C:$C,G$1)=0,"",SUMIFS(Data!$U:$U,Data!$A:$A,$B55,Data!$C:$C,G$1))</f>
        <v>3.1893750000000001</v>
      </c>
      <c r="H55" s="31">
        <f>IF(SUMIFS(Data!$U:$U,Data!$A:$A,$B55,Data!$C:$C,H$1)=0,"",SUMIFS(Data!$U:$U,Data!$A:$A,$B55,Data!$C:$C,H$1))</f>
        <v>2.7919999999999998</v>
      </c>
      <c r="I55" s="31">
        <f>IF(SUMIFS(Data!$U:$U,Data!$A:$A,$B55,Data!$C:$C,I$1)=0,"",SUMIFS(Data!$U:$U,Data!$A:$A,$B55,Data!$C:$C,I$1))</f>
        <v>2.1875</v>
      </c>
      <c r="J55" s="31">
        <f>IF(SUMIFS(Data!$U:$U,Data!$A:$A,$B55,Data!$C:$C,J$1)=0,"",SUMIFS(Data!$U:$U,Data!$A:$A,$B55,Data!$C:$C,J$1))</f>
        <v>3.19</v>
      </c>
      <c r="K55" s="31">
        <f>IF(SUMIFS(Data!$U:$U,Data!$A:$A,$B55,Data!$C:$C,K$1)=0,"",SUMIFS(Data!$U:$U,Data!$A:$A,$B55,Data!$C:$C,K$1))</f>
        <v>2.53125</v>
      </c>
      <c r="L55" s="31" t="str">
        <f>IF(SUMIFS(Data!$U:$U,Data!$A:$A,$B55,Data!$C:$C,L$1)=0,"",SUMIFS(Data!$U:$U,Data!$A:$A,$B55,Data!$C:$C,L$1))</f>
        <v/>
      </c>
      <c r="M55" s="31">
        <f>IF(SUMIFS(Data!$U:$U,Data!$A:$A,$B55,Data!$C:$C,M$1)=0,"",SUMIFS(Data!$U:$U,Data!$A:$A,$B55,Data!$C:$C,M$1))</f>
        <v>2.5649999999999999</v>
      </c>
      <c r="N55" s="31">
        <f>IF(SUMIFS(Data!$U:$U,Data!$A:$A,$B55,Data!$C:$C,N$1)=0,"",SUMIFS(Data!$U:$U,Data!$A:$A,$B55,Data!$C:$C,N$1))</f>
        <v>2.19</v>
      </c>
      <c r="O55" s="31">
        <f>IF(SUMIFS(Data!$U:$U,Data!$A:$A,$B55,Data!$C:$C,O$1)=0,"",SUMIFS(Data!$U:$U,Data!$A:$A,$B55,Data!$C:$C,O$1))</f>
        <v>3.8860833333333331</v>
      </c>
      <c r="P55" s="31">
        <f>IF(SUMIFS(Data!$U:$U,Data!$A:$A,$B55,Data!$C:$C,P$1)=0,"",SUMIFS(Data!$U:$U,Data!$A:$A,$B55,Data!$C:$C,P$1))</f>
        <v>2.1306250000000002</v>
      </c>
      <c r="Q55" s="31">
        <f>IF(SUMIFS(Data!$U:$U,Data!$A:$A,$B55,Data!$C:$C,Q$1)=0,"",SUMIFS(Data!$U:$U,Data!$A:$A,$B55,Data!$C:$C,Q$1))</f>
        <v>2.5</v>
      </c>
      <c r="R55" s="31">
        <f>VLOOKUP(W55,Barem!$W$39:$X$54,2,0)</f>
        <v>4</v>
      </c>
      <c r="S55" s="31">
        <f>SUM(C55:R55)</f>
        <v>41.205958333333342</v>
      </c>
      <c r="T55" s="31">
        <f>SUMIFS(Data!D:D,Data!A:A,'#ligaSYR'!B49)</f>
        <v>145.96</v>
      </c>
      <c r="U55" s="1" t="str">
        <f>IF(VLOOKUP(B55,Participanti!A:D,4,0)=0," ","New")</f>
        <v xml:space="preserve"> </v>
      </c>
      <c r="W55" s="116">
        <f>SUMIFS(Data!Z:Z,Data!A:A,'#ligaSYR'!B55)</f>
        <v>13</v>
      </c>
      <c r="X55" s="116"/>
      <c r="AE55" s="1" t="str">
        <f>VLOOKUP(B55,Participanti!A:B,2,0)</f>
        <v>F</v>
      </c>
      <c r="AF55" s="1" t="str">
        <f>VLOOKUP(B55,Data_Echipe!A:R,18,0)</f>
        <v>#notSYRious</v>
      </c>
    </row>
    <row r="56" spans="1:32" ht="13" x14ac:dyDescent="0.3">
      <c r="A56" s="79">
        <v>55</v>
      </c>
      <c r="B56" s="30" t="s">
        <v>355</v>
      </c>
      <c r="C56" s="31">
        <f>IF(SUMIFS(Data!$U:$U,Data!$A:$A,$B56,Data!$C:$C,C$1)=0,"",SUMIFS(Data!$U:$U,Data!$A:$A,$B56,Data!$C:$C,C$1))</f>
        <v>2.3337500000000002</v>
      </c>
      <c r="D56" s="31">
        <f>IF(SUMIFS(Data!$U:$U,Data!$A:$A,$B56,Data!$C:$C,D$1)=0,"",SUMIFS(Data!$U:$U,Data!$A:$A,$B56,Data!$C:$C,D$1))</f>
        <v>1.5562499999999999</v>
      </c>
      <c r="E56" s="31">
        <f>IF(SUMIFS(Data!$U:$U,Data!$A:$A,$B56,Data!$C:$C,E$1)=0,"",SUMIFS(Data!$U:$U,Data!$A:$A,$B56,Data!$C:$C,E$1))</f>
        <v>2.6225000000000001</v>
      </c>
      <c r="F56" s="31">
        <f>IF(SUMIFS(Data!$U:$U,Data!$A:$A,$B56,Data!$C:$C,F$1)=0,"",SUMIFS(Data!$U:$U,Data!$A:$A,$B56,Data!$C:$C,F$1))</f>
        <v>2.75875</v>
      </c>
      <c r="G56" s="31">
        <f>IF(SUMIFS(Data!$U:$U,Data!$A:$A,$B56,Data!$C:$C,G$1)=0,"",SUMIFS(Data!$U:$U,Data!$A:$A,$B56,Data!$C:$C,G$1))</f>
        <v>2.6262499999999998</v>
      </c>
      <c r="H56" s="31">
        <f>IF(SUMIFS(Data!$U:$U,Data!$A:$A,$B56,Data!$C:$C,H$1)=0,"",SUMIFS(Data!$U:$U,Data!$A:$A,$B56,Data!$C:$C,H$1))</f>
        <v>2.7662499999999999</v>
      </c>
      <c r="I56" s="31">
        <f>IF(SUMIFS(Data!$U:$U,Data!$A:$A,$B56,Data!$C:$C,I$1)=0,"",SUMIFS(Data!$U:$U,Data!$A:$A,$B56,Data!$C:$C,I$1))</f>
        <v>3.5</v>
      </c>
      <c r="J56" s="31">
        <f>IF(SUMIFS(Data!$U:$U,Data!$A:$A,$B56,Data!$C:$C,J$1)=0,"",SUMIFS(Data!$U:$U,Data!$A:$A,$B56,Data!$C:$C,J$1))</f>
        <v>1.9381249999999999</v>
      </c>
      <c r="K56" s="31">
        <f>IF(SUMIFS(Data!$U:$U,Data!$A:$A,$B56,Data!$C:$C,K$1)=0,"",SUMIFS(Data!$U:$U,Data!$A:$A,$B56,Data!$C:$C,K$1))</f>
        <v>2.4587500000000002</v>
      </c>
      <c r="L56" s="31">
        <f>IF(SUMIFS(Data!$U:$U,Data!$A:$A,$B56,Data!$C:$C,L$1)=0,"",SUMIFS(Data!$U:$U,Data!$A:$A,$B56,Data!$C:$C,L$1))</f>
        <v>1.8879999999999999</v>
      </c>
      <c r="M56" s="31">
        <f>IF(SUMIFS(Data!$U:$U,Data!$A:$A,$B56,Data!$C:$C,M$1)=0,"",SUMIFS(Data!$U:$U,Data!$A:$A,$B56,Data!$C:$C,M$1))</f>
        <v>2.6425000000000001</v>
      </c>
      <c r="N56" s="31">
        <f>IF(SUMIFS(Data!$U:$U,Data!$A:$A,$B56,Data!$C:$C,N$1)=0,"",SUMIFS(Data!$U:$U,Data!$A:$A,$B56,Data!$C:$C,N$1))</f>
        <v>2.1225000000000001</v>
      </c>
      <c r="O56" s="31">
        <f>IF(SUMIFS(Data!$U:$U,Data!$A:$A,$B56,Data!$C:$C,O$1)=0,"",SUMIFS(Data!$U:$U,Data!$A:$A,$B56,Data!$C:$C,O$1))</f>
        <v>2.3712499999999999</v>
      </c>
      <c r="P56" s="31">
        <f>IF(SUMIFS(Data!$U:$U,Data!$A:$A,$B56,Data!$C:$C,P$1)=0,"",SUMIFS(Data!$U:$U,Data!$A:$A,$B56,Data!$C:$C,P$1))</f>
        <v>2.42625</v>
      </c>
      <c r="Q56" s="31">
        <f>IF(SUMIFS(Data!$U:$U,Data!$A:$A,$B56,Data!$C:$C,Q$1)=0,"",SUMIFS(Data!$U:$U,Data!$A:$A,$B56,Data!$C:$C,Q$1))</f>
        <v>1.93875</v>
      </c>
      <c r="R56" s="31">
        <f>VLOOKUP(W56,Barem!$W$39:$X$54,2,0)</f>
        <v>5</v>
      </c>
      <c r="S56" s="31">
        <f>SUM(C56:R56)</f>
        <v>40.949874999999999</v>
      </c>
      <c r="T56" s="31">
        <f>SUMIFS(Data!D:D,Data!A:A,'#ligaSYR'!B62)</f>
        <v>183.00000000000003</v>
      </c>
      <c r="U56" s="1" t="str">
        <f>IF(VLOOKUP(B56,Participanti!A:D,4,0)=0," ","New")</f>
        <v>New</v>
      </c>
      <c r="W56" s="116">
        <f>SUMIFS(Data!Z:Z,Data!A:A,'#ligaSYR'!B56)</f>
        <v>15</v>
      </c>
      <c r="X56" s="116"/>
      <c r="AE56" s="1" t="str">
        <f>VLOOKUP(B56,Participanti!A:B,2,0)</f>
        <v>F</v>
      </c>
      <c r="AF56" s="1" t="str">
        <f>VLOOKUP(B56,Data_Echipe!A:R,18,0)</f>
        <v>#notSYRious</v>
      </c>
    </row>
    <row r="57" spans="1:32" ht="13" x14ac:dyDescent="0.3">
      <c r="A57" s="79">
        <v>56</v>
      </c>
      <c r="B57" s="30" t="s">
        <v>136</v>
      </c>
      <c r="C57" s="31">
        <f>IF(SUMIFS(Data!$U:$U,Data!$A:$A,$B57,Data!$C:$C,C$1)=0,"",SUMIFS(Data!$U:$U,Data!$A:$A,$B57,Data!$C:$C,C$1))</f>
        <v>2.2146666666666666</v>
      </c>
      <c r="D57" s="31">
        <f>IF(SUMIFS(Data!$U:$U,Data!$A:$A,$B57,Data!$C:$C,D$1)=0,"",SUMIFS(Data!$U:$U,Data!$A:$A,$B57,Data!$C:$C,D$1))</f>
        <v>1.4481250000000001</v>
      </c>
      <c r="E57" s="31">
        <f>IF(SUMIFS(Data!$U:$U,Data!$A:$A,$B57,Data!$C:$C,E$1)=0,"",SUMIFS(Data!$U:$U,Data!$A:$A,$B57,Data!$C:$C,E$1))</f>
        <v>2.4634166666666664</v>
      </c>
      <c r="F57" s="31">
        <f>IF(SUMIFS(Data!$U:$U,Data!$A:$A,$B57,Data!$C:$C,F$1)=0,"",SUMIFS(Data!$U:$U,Data!$A:$A,$B57,Data!$C:$C,F$1))</f>
        <v>3.5974999999999997</v>
      </c>
      <c r="G57" s="31">
        <f>IF(SUMIFS(Data!$U:$U,Data!$A:$A,$B57,Data!$C:$C,G$1)=0,"",SUMIFS(Data!$U:$U,Data!$A:$A,$B57,Data!$C:$C,G$1))</f>
        <v>2.7286666666666664</v>
      </c>
      <c r="H57" s="31">
        <f>IF(SUMIFS(Data!$U:$U,Data!$A:$A,$B57,Data!$C:$C,H$1)=0,"",SUMIFS(Data!$U:$U,Data!$A:$A,$B57,Data!$C:$C,H$1))</f>
        <v>3.2862916666666671</v>
      </c>
      <c r="I57" s="31">
        <f>IF(SUMIFS(Data!$U:$U,Data!$A:$A,$B57,Data!$C:$C,I$1)=0,"",SUMIFS(Data!$U:$U,Data!$A:$A,$B57,Data!$C:$C,I$1))</f>
        <v>2.9849166666666664</v>
      </c>
      <c r="J57" s="31">
        <f>IF(SUMIFS(Data!$U:$U,Data!$A:$A,$B57,Data!$C:$C,J$1)=0,"",SUMIFS(Data!$U:$U,Data!$A:$A,$B57,Data!$C:$C,J$1))</f>
        <v>2.1881249999999999</v>
      </c>
      <c r="K57" s="31">
        <f>IF(SUMIFS(Data!$U:$U,Data!$A:$A,$B57,Data!$C:$C,K$1)=0,"",SUMIFS(Data!$U:$U,Data!$A:$A,$B57,Data!$C:$C,K$1))</f>
        <v>3.5561666666666669</v>
      </c>
      <c r="L57" s="31">
        <f>IF(SUMIFS(Data!$U:$U,Data!$A:$A,$B57,Data!$C:$C,L$1)=0,"",SUMIFS(Data!$U:$U,Data!$A:$A,$B57,Data!$C:$C,L$1))</f>
        <v>3.8823333333333334</v>
      </c>
      <c r="M57" s="31">
        <f>IF(SUMIFS(Data!$U:$U,Data!$A:$A,$B57,Data!$C:$C,M$1)=0,"",SUMIFS(Data!$U:$U,Data!$A:$A,$B57,Data!$C:$C,M$1))</f>
        <v>2.0443750000000001</v>
      </c>
      <c r="N57" s="31">
        <f>IF(SUMIFS(Data!$U:$U,Data!$A:$A,$B57,Data!$C:$C,N$1)=0,"",SUMIFS(Data!$U:$U,Data!$A:$A,$B57,Data!$C:$C,N$1))</f>
        <v>3.1891250000000002</v>
      </c>
      <c r="O57" s="31">
        <f>IF(SUMIFS(Data!$U:$U,Data!$A:$A,$B57,Data!$C:$C,O$1)=0,"",SUMIFS(Data!$U:$U,Data!$A:$A,$B57,Data!$C:$C,O$1))</f>
        <v>3.2444583333333337</v>
      </c>
      <c r="P57" s="31">
        <f>IF(SUMIFS(Data!$U:$U,Data!$A:$A,$B57,Data!$C:$C,P$1)=0,"",SUMIFS(Data!$U:$U,Data!$A:$A,$B57,Data!$C:$C,P$1))</f>
        <v>1.5</v>
      </c>
      <c r="Q57" s="31" t="str">
        <f>IF(SUMIFS(Data!$U:$U,Data!$A:$A,$B57,Data!$C:$C,Q$1)=0,"",SUMIFS(Data!$U:$U,Data!$A:$A,$B57,Data!$C:$C,Q$1))</f>
        <v/>
      </c>
      <c r="R57" s="31">
        <f>VLOOKUP(W57,Barem!$W$39:$X$54,2,0)</f>
        <v>2</v>
      </c>
      <c r="S57" s="31">
        <f>SUM(C57:R57)</f>
        <v>40.328166666666668</v>
      </c>
      <c r="T57" s="31">
        <f>SUMIFS(Data!D:D,Data!A:A,'#ligaSYR'!B72)</f>
        <v>125.74</v>
      </c>
      <c r="U57" s="1" t="str">
        <f>IF(VLOOKUP(B57,Participanti!A:D,4,0)=0," ","New")</f>
        <v xml:space="preserve"> </v>
      </c>
      <c r="W57" s="116">
        <f>SUMIFS(Data!Z:Z,Data!A:A,'#ligaSYR'!B57)</f>
        <v>9</v>
      </c>
      <c r="X57" s="116"/>
      <c r="AE57" s="1" t="str">
        <f>VLOOKUP(B57,Participanti!A:B,2,0)</f>
        <v>F</v>
      </c>
      <c r="AF57" s="1" t="e">
        <f>VLOOKUP(B57,Data_Echipe!A:R,18,0)</f>
        <v>#N/A</v>
      </c>
    </row>
    <row r="58" spans="1:32" ht="13" x14ac:dyDescent="0.3">
      <c r="A58" s="79">
        <v>57</v>
      </c>
      <c r="B58" s="30" t="s">
        <v>177</v>
      </c>
      <c r="C58" s="31">
        <f>IF(SUMIFS(Data!$U:$U,Data!$A:$A,$B58,Data!$C:$C,C$1)=0,"",SUMIFS(Data!$U:$U,Data!$A:$A,$B58,Data!$C:$C,C$1))</f>
        <v>1.878125</v>
      </c>
      <c r="D58" s="31">
        <f>IF(SUMIFS(Data!$U:$U,Data!$A:$A,$B58,Data!$C:$C,D$1)=0,"",SUMIFS(Data!$U:$U,Data!$A:$A,$B58,Data!$C:$C,D$1))</f>
        <v>2.1912500000000001</v>
      </c>
      <c r="E58" s="31">
        <f>IF(SUMIFS(Data!$U:$U,Data!$A:$A,$B58,Data!$C:$C,E$1)=0,"",SUMIFS(Data!$U:$U,Data!$A:$A,$B58,Data!$C:$C,E$1))</f>
        <v>2.1524999999999999</v>
      </c>
      <c r="F58" s="31">
        <f>IF(SUMIFS(Data!$U:$U,Data!$A:$A,$B58,Data!$C:$C,F$1)=0,"",SUMIFS(Data!$U:$U,Data!$A:$A,$B58,Data!$C:$C,F$1))</f>
        <v>2.0637499999999998</v>
      </c>
      <c r="G58" s="31">
        <f>IF(SUMIFS(Data!$U:$U,Data!$A:$A,$B58,Data!$C:$C,G$1)=0,"",SUMIFS(Data!$U:$U,Data!$A:$A,$B58,Data!$C:$C,G$1))</f>
        <v>2.0756250000000001</v>
      </c>
      <c r="H58" s="31">
        <f>IF(SUMIFS(Data!$U:$U,Data!$A:$A,$B58,Data!$C:$C,H$1)=0,"",SUMIFS(Data!$U:$U,Data!$A:$A,$B58,Data!$C:$C,H$1))</f>
        <v>3.5</v>
      </c>
      <c r="I58" s="31">
        <f>IF(SUMIFS(Data!$U:$U,Data!$A:$A,$B58,Data!$C:$C,I$1)=0,"",SUMIFS(Data!$U:$U,Data!$A:$A,$B58,Data!$C:$C,I$1))</f>
        <v>2.3306249999999999</v>
      </c>
      <c r="J58" s="31">
        <f>IF(SUMIFS(Data!$U:$U,Data!$A:$A,$B58,Data!$C:$C,J$1)=0,"",SUMIFS(Data!$U:$U,Data!$A:$A,$B58,Data!$C:$C,J$1))</f>
        <v>2.3149999999999999</v>
      </c>
      <c r="K58" s="31">
        <f>IF(SUMIFS(Data!$U:$U,Data!$A:$A,$B58,Data!$C:$C,K$1)=0,"",SUMIFS(Data!$U:$U,Data!$A:$A,$B58,Data!$C:$C,K$1))</f>
        <v>2.3262499999999999</v>
      </c>
      <c r="L58" s="31">
        <f>IF(SUMIFS(Data!$U:$U,Data!$A:$A,$B58,Data!$C:$C,L$1)=0,"",SUMIFS(Data!$U:$U,Data!$A:$A,$B58,Data!$C:$C,L$1))</f>
        <v>2.1881249999999999</v>
      </c>
      <c r="M58" s="31">
        <f>IF(SUMIFS(Data!$U:$U,Data!$A:$A,$B58,Data!$C:$C,M$1)=0,"",SUMIFS(Data!$U:$U,Data!$A:$A,$B58,Data!$C:$C,M$1))</f>
        <v>2.2625000000000002</v>
      </c>
      <c r="N58" s="31">
        <f>IF(SUMIFS(Data!$U:$U,Data!$A:$A,$B58,Data!$C:$C,N$1)=0,"",SUMIFS(Data!$U:$U,Data!$A:$A,$B58,Data!$C:$C,N$1))</f>
        <v>2.1262499999999998</v>
      </c>
      <c r="O58" s="31">
        <f>IF(SUMIFS(Data!$U:$U,Data!$A:$A,$B58,Data!$C:$C,O$1)=0,"",SUMIFS(Data!$U:$U,Data!$A:$A,$B58,Data!$C:$C,O$1))</f>
        <v>3.6</v>
      </c>
      <c r="P58" s="31">
        <f>IF(SUMIFS(Data!$U:$U,Data!$A:$A,$B58,Data!$C:$C,P$1)=0,"",SUMIFS(Data!$U:$U,Data!$A:$A,$B58,Data!$C:$C,P$1))</f>
        <v>2.0756250000000001</v>
      </c>
      <c r="Q58" s="31">
        <f>IF(SUMIFS(Data!$U:$U,Data!$A:$A,$B58,Data!$C:$C,Q$1)=0,"",SUMIFS(Data!$U:$U,Data!$A:$A,$B58,Data!$C:$C,Q$1))</f>
        <v>1.975625</v>
      </c>
      <c r="R58" s="31">
        <f>VLOOKUP(W58,Barem!$W$39:$X$54,2,0)</f>
        <v>5</v>
      </c>
      <c r="S58" s="31">
        <f>SUM(C58:R58)</f>
        <v>40.061250000000001</v>
      </c>
      <c r="T58" s="31">
        <f>SUMIFS(Data!D:D,Data!A:A,'#ligaSYR'!B67)</f>
        <v>201.25</v>
      </c>
      <c r="U58" s="1" t="str">
        <f>IF(VLOOKUP(B58,Participanti!A:D,4,0)=0," ","New")</f>
        <v xml:space="preserve"> </v>
      </c>
      <c r="W58" s="116">
        <f>SUMIFS(Data!Z:Z,Data!A:A,'#ligaSYR'!B58)</f>
        <v>15</v>
      </c>
      <c r="X58" s="116"/>
      <c r="AF58" s="1" t="str">
        <f>VLOOKUP(B58,Data_Echipe!A:R,18,0)</f>
        <v>UltraHaita lu' Borcan</v>
      </c>
    </row>
    <row r="59" spans="1:32" ht="13" x14ac:dyDescent="0.3">
      <c r="A59" s="79">
        <v>58</v>
      </c>
      <c r="B59" s="30" t="s">
        <v>291</v>
      </c>
      <c r="C59" s="31">
        <f>IF(SUMIFS(Data!$U:$U,Data!$A:$A,$B59,Data!$C:$C,C$1)=0,"",SUMIFS(Data!$U:$U,Data!$A:$A,$B59,Data!$C:$C,C$1))</f>
        <v>2.125</v>
      </c>
      <c r="D59" s="31">
        <f>IF(SUMIFS(Data!$U:$U,Data!$A:$A,$B59,Data!$C:$C,D$1)=0,"",SUMIFS(Data!$U:$U,Data!$A:$A,$B59,Data!$C:$C,D$1))</f>
        <v>1.875</v>
      </c>
      <c r="E59" s="31">
        <f>IF(SUMIFS(Data!$U:$U,Data!$A:$A,$B59,Data!$C:$C,E$1)=0,"",SUMIFS(Data!$U:$U,Data!$A:$A,$B59,Data!$C:$C,E$1))</f>
        <v>3.4416666666666669</v>
      </c>
      <c r="F59" s="31">
        <f>IF(SUMIFS(Data!$U:$U,Data!$A:$A,$B59,Data!$C:$C,F$1)=0,"",SUMIFS(Data!$U:$U,Data!$A:$A,$B59,Data!$C:$C,F$1))</f>
        <v>1.5</v>
      </c>
      <c r="G59" s="31">
        <f>IF(SUMIFS(Data!$U:$U,Data!$A:$A,$B59,Data!$C:$C,G$1)=0,"",SUMIFS(Data!$U:$U,Data!$A:$A,$B59,Data!$C:$C,G$1))</f>
        <v>3.8418333333333332</v>
      </c>
      <c r="H59" s="31">
        <f>IF(SUMIFS(Data!$U:$U,Data!$A:$A,$B59,Data!$C:$C,H$1)=0,"",SUMIFS(Data!$U:$U,Data!$A:$A,$B59,Data!$C:$C,H$1))</f>
        <v>3.2562083333333334</v>
      </c>
      <c r="I59" s="31">
        <f>IF(SUMIFS(Data!$U:$U,Data!$A:$A,$B59,Data!$C:$C,I$1)=0,"",SUMIFS(Data!$U:$U,Data!$A:$A,$B59,Data!$C:$C,I$1))</f>
        <v>1.5</v>
      </c>
      <c r="J59" s="31">
        <f>IF(SUMIFS(Data!$U:$U,Data!$A:$A,$B59,Data!$C:$C,J$1)=0,"",SUMIFS(Data!$U:$U,Data!$A:$A,$B59,Data!$C:$C,J$1))</f>
        <v>2.3050000000000002</v>
      </c>
      <c r="K59" s="31">
        <f>IF(SUMIFS(Data!$U:$U,Data!$A:$A,$B59,Data!$C:$C,K$1)=0,"",SUMIFS(Data!$U:$U,Data!$A:$A,$B59,Data!$C:$C,K$1))</f>
        <v>2.6120833333333335</v>
      </c>
      <c r="L59" s="31">
        <f>IF(SUMIFS(Data!$U:$U,Data!$A:$A,$B59,Data!$C:$C,L$1)=0,"",SUMIFS(Data!$U:$U,Data!$A:$A,$B59,Data!$C:$C,L$1))</f>
        <v>3.3125</v>
      </c>
      <c r="M59" s="31">
        <f>IF(SUMIFS(Data!$U:$U,Data!$A:$A,$B59,Data!$C:$C,M$1)=0,"",SUMIFS(Data!$U:$U,Data!$A:$A,$B59,Data!$C:$C,M$1))</f>
        <v>1.9375</v>
      </c>
      <c r="N59" s="31">
        <f>IF(SUMIFS(Data!$U:$U,Data!$A:$A,$B59,Data!$C:$C,N$1)=0,"",SUMIFS(Data!$U:$U,Data!$A:$A,$B59,Data!$C:$C,N$1))</f>
        <v>2.4187500000000002</v>
      </c>
      <c r="O59" s="31">
        <f>IF(SUMIFS(Data!$U:$U,Data!$A:$A,$B59,Data!$C:$C,O$1)=0,"",SUMIFS(Data!$U:$U,Data!$A:$A,$B59,Data!$C:$C,O$1))</f>
        <v>2.0562499999999999</v>
      </c>
      <c r="P59" s="31">
        <f>IF(SUMIFS(Data!$U:$U,Data!$A:$A,$B59,Data!$C:$C,P$1)=0,"",SUMIFS(Data!$U:$U,Data!$A:$A,$B59,Data!$C:$C,P$1))</f>
        <v>1.875</v>
      </c>
      <c r="Q59" s="31">
        <f>IF(SUMIFS(Data!$U:$U,Data!$A:$A,$B59,Data!$C:$C,Q$1)=0,"",SUMIFS(Data!$U:$U,Data!$A:$A,$B59,Data!$C:$C,Q$1))</f>
        <v>2.5243333333333333</v>
      </c>
      <c r="R59" s="31">
        <f>VLOOKUP(W59,Barem!$W$39:$X$54,2,0)</f>
        <v>3</v>
      </c>
      <c r="S59" s="31">
        <f>SUM(C59:R59)</f>
        <v>39.581125</v>
      </c>
      <c r="T59" s="31">
        <f>SUMIFS(Data!D:D,Data!A:A,'#ligaSYR'!B68)</f>
        <v>148.53000000000003</v>
      </c>
      <c r="U59" s="1" t="str">
        <f>IF(VLOOKUP(B59,Participanti!A:D,4,0)=0," ","New")</f>
        <v xml:space="preserve"> </v>
      </c>
      <c r="W59" s="116">
        <f>SUMIFS(Data!Z:Z,Data!A:A,'#ligaSYR'!B59)</f>
        <v>10</v>
      </c>
      <c r="X59" s="116"/>
      <c r="AF59" s="1" t="str">
        <f>VLOOKUP(B59,Data_Echipe!A:R,18,0)</f>
        <v>#notSYRious</v>
      </c>
    </row>
    <row r="60" spans="1:32" ht="13" x14ac:dyDescent="0.3">
      <c r="A60" s="79">
        <v>59</v>
      </c>
      <c r="B60" s="30" t="s">
        <v>204</v>
      </c>
      <c r="C60" s="31">
        <f>IF(SUMIFS(Data!$U:$U,Data!$A:$A,$B60,Data!$C:$C,C$1)=0,"",SUMIFS(Data!$U:$U,Data!$A:$A,$B60,Data!$C:$C,C$1))</f>
        <v>1.6863095238095238</v>
      </c>
      <c r="D60" s="31">
        <f>IF(SUMIFS(Data!$U:$U,Data!$A:$A,$B60,Data!$C:$C,D$1)=0,"",SUMIFS(Data!$U:$U,Data!$A:$A,$B60,Data!$C:$C,D$1))</f>
        <v>1.926190476190476</v>
      </c>
      <c r="E60" s="31">
        <f>IF(SUMIFS(Data!$U:$U,Data!$A:$A,$B60,Data!$C:$C,E$1)=0,"",SUMIFS(Data!$U:$U,Data!$A:$A,$B60,Data!$C:$C,E$1))</f>
        <v>2.4273809523809522</v>
      </c>
      <c r="F60" s="31">
        <f>IF(SUMIFS(Data!$U:$U,Data!$A:$A,$B60,Data!$C:$C,F$1)=0,"",SUMIFS(Data!$U:$U,Data!$A:$A,$B60,Data!$C:$C,F$1))</f>
        <v>2.1065476190476189</v>
      </c>
      <c r="G60" s="31">
        <f>IF(SUMIFS(Data!$U:$U,Data!$A:$A,$B60,Data!$C:$C,G$1)=0,"",SUMIFS(Data!$U:$U,Data!$A:$A,$B60,Data!$C:$C,G$1))</f>
        <v>1.0904761904761904</v>
      </c>
      <c r="H60" s="31">
        <f>IF(SUMIFS(Data!$U:$U,Data!$A:$A,$B60,Data!$C:$C,H$1)=0,"",SUMIFS(Data!$U:$U,Data!$A:$A,$B60,Data!$C:$C,H$1))</f>
        <v>2.4738095238095239</v>
      </c>
      <c r="I60" s="31">
        <f>IF(SUMIFS(Data!$U:$U,Data!$A:$A,$B60,Data!$C:$C,I$1)=0,"",SUMIFS(Data!$U:$U,Data!$A:$A,$B60,Data!$C:$C,I$1))</f>
        <v>2.2392857142857139</v>
      </c>
      <c r="J60" s="31">
        <f>IF(SUMIFS(Data!$U:$U,Data!$A:$A,$B60,Data!$C:$C,J$1)=0,"",SUMIFS(Data!$U:$U,Data!$A:$A,$B60,Data!$C:$C,J$1))</f>
        <v>3.2398809523809522</v>
      </c>
      <c r="K60" s="31">
        <f>IF(SUMIFS(Data!$U:$U,Data!$A:$A,$B60,Data!$C:$C,K$1)=0,"",SUMIFS(Data!$U:$U,Data!$A:$A,$B60,Data!$C:$C,K$1))</f>
        <v>1.9553571428571428</v>
      </c>
      <c r="L60" s="31">
        <f>IF(SUMIFS(Data!$U:$U,Data!$A:$A,$B60,Data!$C:$C,L$1)=0,"",SUMIFS(Data!$U:$U,Data!$A:$A,$B60,Data!$C:$C,L$1))</f>
        <v>2.3053571428571429</v>
      </c>
      <c r="M60" s="31">
        <f>IF(SUMIFS(Data!$U:$U,Data!$A:$A,$B60,Data!$C:$C,M$1)=0,"",SUMIFS(Data!$U:$U,Data!$A:$A,$B60,Data!$C:$C,M$1))</f>
        <v>4.1500000000000004</v>
      </c>
      <c r="N60" s="31">
        <f>IF(SUMIFS(Data!$U:$U,Data!$A:$A,$B60,Data!$C:$C,N$1)=0,"",SUMIFS(Data!$U:$U,Data!$A:$A,$B60,Data!$C:$C,N$1))</f>
        <v>2.1583333333333332</v>
      </c>
      <c r="O60" s="31">
        <f>IF(SUMIFS(Data!$U:$U,Data!$A:$A,$B60,Data!$C:$C,O$1)=0,"",SUMIFS(Data!$U:$U,Data!$A:$A,$B60,Data!$C:$C,O$1))</f>
        <v>2.6077380952380951</v>
      </c>
      <c r="P60" s="31">
        <f>IF(SUMIFS(Data!$U:$U,Data!$A:$A,$B60,Data!$C:$C,P$1)=0,"",SUMIFS(Data!$U:$U,Data!$A:$A,$B60,Data!$C:$C,P$1))</f>
        <v>1.6053571428571427</v>
      </c>
      <c r="Q60" s="31">
        <f>IF(SUMIFS(Data!$U:$U,Data!$A:$A,$B60,Data!$C:$C,Q$1)=0,"",SUMIFS(Data!$U:$U,Data!$A:$A,$B60,Data!$C:$C,Q$1))</f>
        <v>2.5226190476190475</v>
      </c>
      <c r="R60" s="31">
        <f>VLOOKUP(W60,Barem!$W$39:$X$54,2,0)</f>
        <v>5</v>
      </c>
      <c r="S60" s="31">
        <f>SUM(C60:R60)</f>
        <v>39.49464285714285</v>
      </c>
      <c r="T60" s="31">
        <f>SUMIFS(Data!D:D,Data!A:A,'#ligaSYR'!B75)</f>
        <v>198.53000000000003</v>
      </c>
      <c r="U60" s="1" t="str">
        <f>IF(VLOOKUP(B60,Participanti!A:D,4,0)=0," ","New")</f>
        <v xml:space="preserve"> </v>
      </c>
      <c r="W60" s="116">
        <f>SUMIFS(Data!Z:Z,Data!A:A,'#ligaSYR'!B60)</f>
        <v>15</v>
      </c>
      <c r="X60" s="116"/>
      <c r="AF60" s="1" t="e">
        <f>VLOOKUP(B60,Data_Echipe!A:R,18,0)</f>
        <v>#N/A</v>
      </c>
    </row>
    <row r="61" spans="1:32" ht="13" x14ac:dyDescent="0.3">
      <c r="A61" s="79">
        <v>60</v>
      </c>
      <c r="B61" s="30" t="s">
        <v>125</v>
      </c>
      <c r="C61" s="31" t="str">
        <f>IF(SUMIFS(Data!$U:$U,Data!$A:$A,$B61,Data!$C:$C,C$1)=0,"",SUMIFS(Data!$U:$U,Data!$A:$A,$B61,Data!$C:$C,C$1))</f>
        <v/>
      </c>
      <c r="D61" s="31" t="str">
        <f>IF(SUMIFS(Data!$U:$U,Data!$A:$A,$B61,Data!$C:$C,D$1)=0,"",SUMIFS(Data!$U:$U,Data!$A:$A,$B61,Data!$C:$C,D$1))</f>
        <v/>
      </c>
      <c r="E61" s="31" t="str">
        <f>IF(SUMIFS(Data!$U:$U,Data!$A:$A,$B61,Data!$C:$C,E$1)=0,"",SUMIFS(Data!$U:$U,Data!$A:$A,$B61,Data!$C:$C,E$1))</f>
        <v/>
      </c>
      <c r="F61" s="31">
        <f>IF(SUMIFS(Data!$U:$U,Data!$A:$A,$B61,Data!$C:$C,F$1)=0,"",SUMIFS(Data!$U:$U,Data!$A:$A,$B61,Data!$C:$C,F$1))</f>
        <v>3.7958333333333334</v>
      </c>
      <c r="G61" s="31">
        <f>IF(SUMIFS(Data!$U:$U,Data!$A:$A,$B61,Data!$C:$C,G$1)=0,"",SUMIFS(Data!$U:$U,Data!$A:$A,$B61,Data!$C:$C,G$1))</f>
        <v>3.6791666666666667</v>
      </c>
      <c r="H61" s="31">
        <f>IF(SUMIFS(Data!$U:$U,Data!$A:$A,$B61,Data!$C:$C,H$1)=0,"",SUMIFS(Data!$U:$U,Data!$A:$A,$B61,Data!$C:$C,H$1))</f>
        <v>2.9558571428571425</v>
      </c>
      <c r="I61" s="31">
        <f>IF(SUMIFS(Data!$U:$U,Data!$A:$A,$B61,Data!$C:$C,I$1)=0,"",SUMIFS(Data!$U:$U,Data!$A:$A,$B61,Data!$C:$C,I$1))</f>
        <v>2.3235476190476194</v>
      </c>
      <c r="J61" s="31">
        <f>IF(SUMIFS(Data!$U:$U,Data!$A:$A,$B61,Data!$C:$C,J$1)=0,"",SUMIFS(Data!$U:$U,Data!$A:$A,$B61,Data!$C:$C,J$1))</f>
        <v>3.6708333333333334</v>
      </c>
      <c r="K61" s="31">
        <f>IF(SUMIFS(Data!$U:$U,Data!$A:$A,$B61,Data!$C:$C,K$1)=0,"",SUMIFS(Data!$U:$U,Data!$A:$A,$B61,Data!$C:$C,K$1))</f>
        <v>2.3273809523809526</v>
      </c>
      <c r="L61" s="31">
        <f>IF(SUMIFS(Data!$U:$U,Data!$A:$A,$B61,Data!$C:$C,L$1)=0,"",SUMIFS(Data!$U:$U,Data!$A:$A,$B61,Data!$C:$C,L$1))</f>
        <v>2.3297619047619049</v>
      </c>
      <c r="M61" s="31">
        <f>IF(SUMIFS(Data!$U:$U,Data!$A:$A,$B61,Data!$C:$C,M$1)=0,"",SUMIFS(Data!$U:$U,Data!$A:$A,$B61,Data!$C:$C,M$1))</f>
        <v>3.1404761904761904</v>
      </c>
      <c r="N61" s="31">
        <f>IF(SUMIFS(Data!$U:$U,Data!$A:$A,$B61,Data!$C:$C,N$1)=0,"",SUMIFS(Data!$U:$U,Data!$A:$A,$B61,Data!$C:$C,N$1))</f>
        <v>2.9982142857142859</v>
      </c>
      <c r="O61" s="31">
        <f>IF(SUMIFS(Data!$U:$U,Data!$A:$A,$B61,Data!$C:$C,O$1)=0,"",SUMIFS(Data!$U:$U,Data!$A:$A,$B61,Data!$C:$C,O$1))</f>
        <v>2.1916666666666664</v>
      </c>
      <c r="P61" s="31">
        <f>IF(SUMIFS(Data!$U:$U,Data!$A:$A,$B61,Data!$C:$C,P$1)=0,"",SUMIFS(Data!$U:$U,Data!$A:$A,$B61,Data!$C:$C,P$1))</f>
        <v>2.270833333333333</v>
      </c>
      <c r="Q61" s="31">
        <f>IF(SUMIFS(Data!$U:$U,Data!$A:$A,$B61,Data!$C:$C,Q$1)=0,"",SUMIFS(Data!$U:$U,Data!$A:$A,$B61,Data!$C:$C,Q$1))</f>
        <v>3.5005952380952383</v>
      </c>
      <c r="R61" s="31">
        <f>VLOOKUP(W61,Barem!$W$39:$X$54,2,0)</f>
        <v>4</v>
      </c>
      <c r="S61" s="31">
        <f>SUM(C61:R61)</f>
        <v>39.18416666666667</v>
      </c>
      <c r="T61" s="31">
        <f>SUMIFS(Data!D:D,Data!A:A,'#ligaSYR'!B99)</f>
        <v>47.43</v>
      </c>
      <c r="U61" s="1" t="str">
        <f>IF(VLOOKUP(B61,Participanti!A:D,4,0)=0," ","New")</f>
        <v xml:space="preserve"> </v>
      </c>
      <c r="W61" s="116">
        <f>SUMIFS(Data!Z:Z,Data!A:A,'#ligaSYR'!B61)</f>
        <v>12</v>
      </c>
      <c r="X61" s="116"/>
      <c r="AF61" s="1" t="str">
        <f>VLOOKUP(B61,Data_Echipe!A:R,18,0)</f>
        <v>The GOATs</v>
      </c>
    </row>
    <row r="62" spans="1:32" ht="13" x14ac:dyDescent="0.3">
      <c r="A62" s="79">
        <v>61</v>
      </c>
      <c r="B62" s="30" t="s">
        <v>170</v>
      </c>
      <c r="C62" s="31">
        <f>IF(SUMIFS(Data!$U:$U,Data!$A:$A,$B62,Data!$C:$C,C$1)=0,"",SUMIFS(Data!$U:$U,Data!$A:$A,$B62,Data!$C:$C,C$1))</f>
        <v>2.6306250000000002</v>
      </c>
      <c r="D62" s="31">
        <f>IF(SUMIFS(Data!$U:$U,Data!$A:$A,$B62,Data!$C:$C,D$1)=0,"",SUMIFS(Data!$U:$U,Data!$A:$A,$B62,Data!$C:$C,D$1))</f>
        <v>2.7362500000000001</v>
      </c>
      <c r="E62" s="31">
        <f>IF(SUMIFS(Data!$U:$U,Data!$A:$A,$B62,Data!$C:$C,E$1)=0,"",SUMIFS(Data!$U:$U,Data!$A:$A,$B62,Data!$C:$C,E$1))</f>
        <v>1.3599999999999999</v>
      </c>
      <c r="F62" s="31">
        <f>IF(SUMIFS(Data!$U:$U,Data!$A:$A,$B62,Data!$C:$C,F$1)=0,"",SUMIFS(Data!$U:$U,Data!$A:$A,$B62,Data!$C:$C,F$1))</f>
        <v>2.8462499999999999</v>
      </c>
      <c r="G62" s="31">
        <f>IF(SUMIFS(Data!$U:$U,Data!$A:$A,$B62,Data!$C:$C,G$1)=0,"",SUMIFS(Data!$U:$U,Data!$A:$A,$B62,Data!$C:$C,G$1))</f>
        <v>3.3125</v>
      </c>
      <c r="H62" s="31" t="str">
        <f>IF(SUMIFS(Data!$U:$U,Data!$A:$A,$B62,Data!$C:$C,H$1)=0,"",SUMIFS(Data!$U:$U,Data!$A:$A,$B62,Data!$C:$C,H$1))</f>
        <v/>
      </c>
      <c r="I62" s="31">
        <f>IF(SUMIFS(Data!$U:$U,Data!$A:$A,$B62,Data!$C:$C,I$1)=0,"",SUMIFS(Data!$U:$U,Data!$A:$A,$B62,Data!$C:$C,I$1))</f>
        <v>2.6906249999999998</v>
      </c>
      <c r="J62" s="31">
        <f>IF(SUMIFS(Data!$U:$U,Data!$A:$A,$B62,Data!$C:$C,J$1)=0,"",SUMIFS(Data!$U:$U,Data!$A:$A,$B62,Data!$C:$C,J$1))</f>
        <v>3.1238333333333332</v>
      </c>
      <c r="K62" s="31" t="str">
        <f>IF(SUMIFS(Data!$U:$U,Data!$A:$A,$B62,Data!$C:$C,K$1)=0,"",SUMIFS(Data!$U:$U,Data!$A:$A,$B62,Data!$C:$C,K$1))</f>
        <v/>
      </c>
      <c r="L62" s="31">
        <f>IF(SUMIFS(Data!$U:$U,Data!$A:$A,$B62,Data!$C:$C,L$1)=0,"",SUMIFS(Data!$U:$U,Data!$A:$A,$B62,Data!$C:$C,L$1))</f>
        <v>3.605</v>
      </c>
      <c r="M62" s="31" t="str">
        <f>IF(SUMIFS(Data!$U:$U,Data!$A:$A,$B62,Data!$C:$C,M$1)=0,"",SUMIFS(Data!$U:$U,Data!$A:$A,$B62,Data!$C:$C,M$1))</f>
        <v/>
      </c>
      <c r="N62" s="31">
        <f>IF(SUMIFS(Data!$U:$U,Data!$A:$A,$B62,Data!$C:$C,N$1)=0,"",SUMIFS(Data!$U:$U,Data!$A:$A,$B62,Data!$C:$C,N$1))</f>
        <v>3.7221666666666668</v>
      </c>
      <c r="O62" s="31">
        <f>IF(SUMIFS(Data!$U:$U,Data!$A:$A,$B62,Data!$C:$C,O$1)=0,"",SUMIFS(Data!$U:$U,Data!$A:$A,$B62,Data!$C:$C,O$1))</f>
        <v>3.4806249999999999</v>
      </c>
      <c r="P62" s="31">
        <f>IF(SUMIFS(Data!$U:$U,Data!$A:$A,$B62,Data!$C:$C,P$1)=0,"",SUMIFS(Data!$U:$U,Data!$A:$A,$B62,Data!$C:$C,P$1))</f>
        <v>2.14</v>
      </c>
      <c r="Q62" s="31">
        <f>IF(SUMIFS(Data!$U:$U,Data!$A:$A,$B62,Data!$C:$C,Q$1)=0,"",SUMIFS(Data!$U:$U,Data!$A:$A,$B62,Data!$C:$C,Q$1))</f>
        <v>2.5681250000000002</v>
      </c>
      <c r="R62" s="31">
        <f>VLOOKUP(W62,Barem!$W$39:$X$54,2,0)</f>
        <v>4</v>
      </c>
      <c r="S62" s="31">
        <f>SUM(C62:R62)</f>
        <v>38.216000000000001</v>
      </c>
      <c r="T62" s="31">
        <f>SUMIFS(Data!D:D,Data!A:A,'#ligaSYR'!B46)</f>
        <v>122.88999999999999</v>
      </c>
      <c r="U62" s="1" t="str">
        <f>IF(VLOOKUP(B62,Participanti!A:D,4,0)=0," ","New")</f>
        <v xml:space="preserve"> </v>
      </c>
      <c r="W62" s="116">
        <f>SUMIFS(Data!Z:Z,Data!A:A,'#ligaSYR'!B62)</f>
        <v>12</v>
      </c>
      <c r="X62" s="116" t="s">
        <v>312</v>
      </c>
      <c r="AB62" s="1" t="s">
        <v>312</v>
      </c>
      <c r="AC62" s="1" t="s">
        <v>312</v>
      </c>
      <c r="AD62" s="1" t="s">
        <v>312</v>
      </c>
      <c r="AE62" s="1" t="str">
        <f>VLOOKUP(B62,Participanti!A:B,2,0)</f>
        <v>F</v>
      </c>
      <c r="AF62" s="1" t="str">
        <f>VLOOKUP(B62,Data_Echipe!A:R,18,0)</f>
        <v>Almost Kenyan Runners</v>
      </c>
    </row>
    <row r="63" spans="1:32" ht="13" x14ac:dyDescent="0.3">
      <c r="A63" s="79">
        <v>62</v>
      </c>
      <c r="B63" s="30" t="s">
        <v>343</v>
      </c>
      <c r="C63" s="31">
        <f>IF(SUMIFS(Data!$U:$U,Data!$A:$A,$B63,Data!$C:$C,C$1)=0,"",SUMIFS(Data!$U:$U,Data!$A:$A,$B63,Data!$C:$C,C$1))</f>
        <v>2.7357142857142858</v>
      </c>
      <c r="D63" s="31">
        <f>IF(SUMIFS(Data!$U:$U,Data!$A:$A,$B63,Data!$C:$C,D$1)=0,"",SUMIFS(Data!$U:$U,Data!$A:$A,$B63,Data!$C:$C,D$1))</f>
        <v>4.125</v>
      </c>
      <c r="E63" s="31">
        <f>IF(SUMIFS(Data!$U:$U,Data!$A:$A,$B63,Data!$C:$C,E$1)=0,"",SUMIFS(Data!$U:$U,Data!$A:$A,$B63,Data!$C:$C,E$1))</f>
        <v>4.0566666666666666</v>
      </c>
      <c r="F63" s="31">
        <f>IF(SUMIFS(Data!$U:$U,Data!$A:$A,$B63,Data!$C:$C,F$1)=0,"",SUMIFS(Data!$U:$U,Data!$A:$A,$B63,Data!$C:$C,F$1))</f>
        <v>4.1875</v>
      </c>
      <c r="G63" s="31">
        <f>IF(SUMIFS(Data!$U:$U,Data!$A:$A,$B63,Data!$C:$C,G$1)=0,"",SUMIFS(Data!$U:$U,Data!$A:$A,$B63,Data!$C:$C,G$1))</f>
        <v>3.7876904761904759</v>
      </c>
      <c r="H63" s="31">
        <f>IF(SUMIFS(Data!$U:$U,Data!$A:$A,$B63,Data!$C:$C,H$1)=0,"",SUMIFS(Data!$U:$U,Data!$A:$A,$B63,Data!$C:$C,H$1))</f>
        <v>3.4708333333333332</v>
      </c>
      <c r="I63" s="31">
        <f>IF(SUMIFS(Data!$U:$U,Data!$A:$A,$B63,Data!$C:$C,I$1)=0,"",SUMIFS(Data!$U:$U,Data!$A:$A,$B63,Data!$C:$C,I$1))</f>
        <v>4.4948333333333332</v>
      </c>
      <c r="J63" s="31">
        <f>IF(SUMIFS(Data!$U:$U,Data!$A:$A,$B63,Data!$C:$C,J$1)=0,"",SUMIFS(Data!$U:$U,Data!$A:$A,$B63,Data!$C:$C,J$1))</f>
        <v>3.7202380952380953</v>
      </c>
      <c r="K63" s="31">
        <f>IF(SUMIFS(Data!$U:$U,Data!$A:$A,$B63,Data!$C:$C,K$1)=0,"",SUMIFS(Data!$U:$U,Data!$A:$A,$B63,Data!$C:$C,K$1))</f>
        <v>3.4723809523809521</v>
      </c>
      <c r="L63" s="31" t="str">
        <f>IF(SUMIFS(Data!$U:$U,Data!$A:$A,$B63,Data!$C:$C,L$1)=0,"",SUMIFS(Data!$U:$U,Data!$A:$A,$B63,Data!$C:$C,L$1))</f>
        <v/>
      </c>
      <c r="M63" s="31" t="str">
        <f>IF(SUMIFS(Data!$U:$U,Data!$A:$A,$B63,Data!$C:$C,M$1)=0,"",SUMIFS(Data!$U:$U,Data!$A:$A,$B63,Data!$C:$C,M$1))</f>
        <v/>
      </c>
      <c r="N63" s="31" t="str">
        <f>IF(SUMIFS(Data!$U:$U,Data!$A:$A,$B63,Data!$C:$C,N$1)=0,"",SUMIFS(Data!$U:$U,Data!$A:$A,$B63,Data!$C:$C,N$1))</f>
        <v/>
      </c>
      <c r="O63" s="31" t="str">
        <f>IF(SUMIFS(Data!$U:$U,Data!$A:$A,$B63,Data!$C:$C,O$1)=0,"",SUMIFS(Data!$U:$U,Data!$A:$A,$B63,Data!$C:$C,O$1))</f>
        <v/>
      </c>
      <c r="P63" s="31" t="str">
        <f>IF(SUMIFS(Data!$U:$U,Data!$A:$A,$B63,Data!$C:$C,P$1)=0,"",SUMIFS(Data!$U:$U,Data!$A:$A,$B63,Data!$C:$C,P$1))</f>
        <v/>
      </c>
      <c r="Q63" s="31" t="str">
        <f>IF(SUMIFS(Data!$U:$U,Data!$A:$A,$B63,Data!$C:$C,Q$1)=0,"",SUMIFS(Data!$U:$U,Data!$A:$A,$B63,Data!$C:$C,Q$1))</f>
        <v/>
      </c>
      <c r="R63" s="31">
        <f>VLOOKUP(W63,Barem!$W$39:$X$54,2,0)</f>
        <v>2</v>
      </c>
      <c r="S63" s="31">
        <f>SUM(C63:R63)</f>
        <v>36.05085714285714</v>
      </c>
      <c r="T63" s="31">
        <f>SUMIFS(Data!D:D,Data!A:A,'#ligaSYR'!B21)</f>
        <v>286.58999999999992</v>
      </c>
      <c r="U63" s="1" t="str">
        <f>IF(VLOOKUP(B63,Participanti!A:D,4,0)=0," ","New")</f>
        <v>New</v>
      </c>
      <c r="W63" s="116">
        <f>SUMIFS(Data!Z:Z,Data!A:A,'#ligaSYR'!B63)</f>
        <v>9</v>
      </c>
      <c r="X63" s="116"/>
      <c r="AE63" s="1" t="str">
        <f>VLOOKUP(B63,Participanti!A:B,2,0)</f>
        <v>M</v>
      </c>
      <c r="AF63" s="1" t="str">
        <f>VLOOKUP(B63,Data_Echipe!A:R,18,0)</f>
        <v>#notSYRious</v>
      </c>
    </row>
    <row r="64" spans="1:32" ht="13" x14ac:dyDescent="0.3">
      <c r="A64" s="79">
        <v>63</v>
      </c>
      <c r="B64" s="30" t="s">
        <v>64</v>
      </c>
      <c r="C64" s="31">
        <f>IF(SUMIFS(Data!$U:$U,Data!$A:$A,$B64,Data!$C:$C,C$1)=0,"",SUMIFS(Data!$U:$U,Data!$A:$A,$B64,Data!$C:$C,C$1))</f>
        <v>2.2112499999999997</v>
      </c>
      <c r="D64" s="31">
        <f>IF(SUMIFS(Data!$U:$U,Data!$A:$A,$B64,Data!$C:$C,D$1)=0,"",SUMIFS(Data!$U:$U,Data!$A:$A,$B64,Data!$C:$C,D$1))</f>
        <v>1.7</v>
      </c>
      <c r="E64" s="31">
        <f>IF(SUMIFS(Data!$U:$U,Data!$A:$A,$B64,Data!$C:$C,E$1)=0,"",SUMIFS(Data!$U:$U,Data!$A:$A,$B64,Data!$C:$C,E$1))</f>
        <v>2.2068750000000001</v>
      </c>
      <c r="F64" s="31">
        <f>IF(SUMIFS(Data!$U:$U,Data!$A:$A,$B64,Data!$C:$C,F$1)=0,"",SUMIFS(Data!$U:$U,Data!$A:$A,$B64,Data!$C:$C,F$1))</f>
        <v>2.2149999999999999</v>
      </c>
      <c r="G64" s="31">
        <f>IF(SUMIFS(Data!$U:$U,Data!$A:$A,$B64,Data!$C:$C,G$1)=0,"",SUMIFS(Data!$U:$U,Data!$A:$A,$B64,Data!$C:$C,G$1))</f>
        <v>2.024375</v>
      </c>
      <c r="H64" s="31">
        <f>IF(SUMIFS(Data!$U:$U,Data!$A:$A,$B64,Data!$C:$C,H$1)=0,"",SUMIFS(Data!$U:$U,Data!$A:$A,$B64,Data!$C:$C,H$1))</f>
        <v>2.3312499999999998</v>
      </c>
      <c r="I64" s="31">
        <f>IF(SUMIFS(Data!$U:$U,Data!$A:$A,$B64,Data!$C:$C,I$1)=0,"",SUMIFS(Data!$U:$U,Data!$A:$A,$B64,Data!$C:$C,I$1))</f>
        <v>2.6375000000000002</v>
      </c>
      <c r="J64" s="31">
        <f>IF(SUMIFS(Data!$U:$U,Data!$A:$A,$B64,Data!$C:$C,J$1)=0,"",SUMIFS(Data!$U:$U,Data!$A:$A,$B64,Data!$C:$C,J$1))</f>
        <v>1.9618749999999998</v>
      </c>
      <c r="K64" s="31">
        <f>IF(SUMIFS(Data!$U:$U,Data!$A:$A,$B64,Data!$C:$C,K$1)=0,"",SUMIFS(Data!$U:$U,Data!$A:$A,$B64,Data!$C:$C,K$1))</f>
        <v>2.4031250000000002</v>
      </c>
      <c r="L64" s="31">
        <f>IF(SUMIFS(Data!$U:$U,Data!$A:$A,$B64,Data!$C:$C,L$1)=0,"",SUMIFS(Data!$U:$U,Data!$A:$A,$B64,Data!$C:$C,L$1))</f>
        <v>2.42625</v>
      </c>
      <c r="M64" s="31">
        <f>IF(SUMIFS(Data!$U:$U,Data!$A:$A,$B64,Data!$C:$C,M$1)=0,"",SUMIFS(Data!$U:$U,Data!$A:$A,$B64,Data!$C:$C,M$1))</f>
        <v>1.9025000000000001</v>
      </c>
      <c r="N64" s="31">
        <f>IF(SUMIFS(Data!$U:$U,Data!$A:$A,$B64,Data!$C:$C,N$1)=0,"",SUMIFS(Data!$U:$U,Data!$A:$A,$B64,Data!$C:$C,N$1))</f>
        <v>2.4562499999999998</v>
      </c>
      <c r="O64" s="31">
        <f>IF(SUMIFS(Data!$U:$U,Data!$A:$A,$B64,Data!$C:$C,O$1)=0,"",SUMIFS(Data!$U:$U,Data!$A:$A,$B64,Data!$C:$C,O$1))</f>
        <v>2.0499999999999998</v>
      </c>
      <c r="P64" s="31">
        <f>IF(SUMIFS(Data!$U:$U,Data!$A:$A,$B64,Data!$C:$C,P$1)=0,"",SUMIFS(Data!$U:$U,Data!$A:$A,$B64,Data!$C:$C,P$1))</f>
        <v>1.903125</v>
      </c>
      <c r="Q64" s="31">
        <f>IF(SUMIFS(Data!$U:$U,Data!$A:$A,$B64,Data!$C:$C,Q$1)=0,"",SUMIFS(Data!$U:$U,Data!$A:$A,$B64,Data!$C:$C,Q$1))</f>
        <v>1.8968749999999999</v>
      </c>
      <c r="R64" s="31">
        <f>VLOOKUP(W64,Barem!$W$39:$X$54,2,0)</f>
        <v>3</v>
      </c>
      <c r="S64" s="31">
        <f>SUM(C64:R64)</f>
        <v>35.326249999999995</v>
      </c>
      <c r="T64" s="31">
        <f>SUMIFS(Data!D:D,Data!A:A,'#ligaSYR'!B69)</f>
        <v>144.12</v>
      </c>
      <c r="U64" s="1" t="str">
        <f>IF(VLOOKUP(B64,Participanti!A:D,4,0)=0," ","New")</f>
        <v xml:space="preserve"> </v>
      </c>
      <c r="W64" s="116">
        <f>SUMIFS(Data!Z:Z,Data!A:A,'#ligaSYR'!B64)</f>
        <v>10</v>
      </c>
      <c r="X64" s="116" t="s">
        <v>312</v>
      </c>
      <c r="Y64" s="1" t="s">
        <v>312</v>
      </c>
      <c r="Z64" s="1" t="s">
        <v>312</v>
      </c>
      <c r="AC64" s="1" t="s">
        <v>312</v>
      </c>
      <c r="AD64" s="1" t="s">
        <v>312</v>
      </c>
      <c r="AE64" s="1" t="str">
        <f>VLOOKUP(B64,Participanti!A:B,2,0)</f>
        <v>F</v>
      </c>
      <c r="AF64" s="1" t="str">
        <f>VLOOKUP(B64,Data_Echipe!A:R,18,0)</f>
        <v>UltraHaita lu' Borcan</v>
      </c>
    </row>
    <row r="65" spans="1:32" ht="13" x14ac:dyDescent="0.3">
      <c r="A65" s="79">
        <v>64</v>
      </c>
      <c r="B65" s="30" t="s">
        <v>45</v>
      </c>
      <c r="C65" s="31" t="str">
        <f>IF(SUMIFS(Data!$U:$U,Data!$A:$A,$B65,Data!$C:$C,C$1)=0,"",SUMIFS(Data!$U:$U,Data!$A:$A,$B65,Data!$C:$C,C$1))</f>
        <v/>
      </c>
      <c r="D65" s="31">
        <f>IF(SUMIFS(Data!$U:$U,Data!$A:$A,$B65,Data!$C:$C,D$1)=0,"",SUMIFS(Data!$U:$U,Data!$A:$A,$B65,Data!$C:$C,D$1))</f>
        <v>2.308416666666667</v>
      </c>
      <c r="E65" s="31">
        <f>IF(SUMIFS(Data!$U:$U,Data!$A:$A,$B65,Data!$C:$C,E$1)=0,"",SUMIFS(Data!$U:$U,Data!$A:$A,$B65,Data!$C:$C,E$1))</f>
        <v>3.9518333333333335</v>
      </c>
      <c r="F65" s="31">
        <f>IF(SUMIFS(Data!$U:$U,Data!$A:$A,$B65,Data!$C:$C,F$1)=0,"",SUMIFS(Data!$U:$U,Data!$A:$A,$B65,Data!$C:$C,F$1))</f>
        <v>2.84375</v>
      </c>
      <c r="G65" s="31">
        <f>IF(SUMIFS(Data!$U:$U,Data!$A:$A,$B65,Data!$C:$C,G$1)=0,"",SUMIFS(Data!$U:$U,Data!$A:$A,$B65,Data!$C:$C,G$1))</f>
        <v>2.3337500000000002</v>
      </c>
      <c r="H65" s="31">
        <f>IF(SUMIFS(Data!$U:$U,Data!$A:$A,$B65,Data!$C:$C,H$1)=0,"",SUMIFS(Data!$U:$U,Data!$A:$A,$B65,Data!$C:$C,H$1))</f>
        <v>2.4624999999999999</v>
      </c>
      <c r="I65" s="31" t="str">
        <f>IF(SUMIFS(Data!$U:$U,Data!$A:$A,$B65,Data!$C:$C,I$1)=0,"",SUMIFS(Data!$U:$U,Data!$A:$A,$B65,Data!$C:$C,I$1))</f>
        <v/>
      </c>
      <c r="J65" s="31">
        <f>IF(SUMIFS(Data!$U:$U,Data!$A:$A,$B65,Data!$C:$C,J$1)=0,"",SUMIFS(Data!$U:$U,Data!$A:$A,$B65,Data!$C:$C,J$1))</f>
        <v>2.4493749999999999</v>
      </c>
      <c r="K65" s="31">
        <f>IF(SUMIFS(Data!$U:$U,Data!$A:$A,$B65,Data!$C:$C,K$1)=0,"",SUMIFS(Data!$U:$U,Data!$A:$A,$B65,Data!$C:$C,K$1))</f>
        <v>1.8812500000000001</v>
      </c>
      <c r="L65" s="31">
        <f>IF(SUMIFS(Data!$U:$U,Data!$A:$A,$B65,Data!$C:$C,L$1)=0,"",SUMIFS(Data!$U:$U,Data!$A:$A,$B65,Data!$C:$C,L$1))</f>
        <v>2.44625</v>
      </c>
      <c r="M65" s="31">
        <f>IF(SUMIFS(Data!$U:$U,Data!$A:$A,$B65,Data!$C:$C,M$1)=0,"",SUMIFS(Data!$U:$U,Data!$A:$A,$B65,Data!$C:$C,M$1))</f>
        <v>2.7637499999999999</v>
      </c>
      <c r="N65" s="31">
        <f>IF(SUMIFS(Data!$U:$U,Data!$A:$A,$B65,Data!$C:$C,N$1)=0,"",SUMIFS(Data!$U:$U,Data!$A:$A,$B65,Data!$C:$C,N$1))</f>
        <v>3.6875</v>
      </c>
      <c r="O65" s="31" t="str">
        <f>IF(SUMIFS(Data!$U:$U,Data!$A:$A,$B65,Data!$C:$C,O$1)=0,"",SUMIFS(Data!$U:$U,Data!$A:$A,$B65,Data!$C:$C,O$1))</f>
        <v/>
      </c>
      <c r="P65" s="31">
        <f>IF(SUMIFS(Data!$U:$U,Data!$A:$A,$B65,Data!$C:$C,P$1)=0,"",SUMIFS(Data!$U:$U,Data!$A:$A,$B65,Data!$C:$C,P$1))</f>
        <v>1.5662500000000001</v>
      </c>
      <c r="Q65" s="31">
        <f>IF(SUMIFS(Data!$U:$U,Data!$A:$A,$B65,Data!$C:$C,Q$1)=0,"",SUMIFS(Data!$U:$U,Data!$A:$A,$B65,Data!$C:$C,Q$1))</f>
        <v>1.756875</v>
      </c>
      <c r="R65" s="31">
        <f>VLOOKUP(W65,Barem!$W$39:$X$54,2,0)</f>
        <v>4</v>
      </c>
      <c r="S65" s="31">
        <f>SUM(C65:R65)</f>
        <v>34.45150000000001</v>
      </c>
      <c r="T65" s="31">
        <f>SUMIFS(Data!D:D,Data!A:A,'#ligaSYR'!B88)</f>
        <v>132.47</v>
      </c>
      <c r="U65" s="1" t="str">
        <f>IF(VLOOKUP(B65,Participanti!A:D,4,0)=0," ","New")</f>
        <v xml:space="preserve"> </v>
      </c>
      <c r="W65" s="116">
        <f>SUMIFS(Data!Z:Z,Data!A:A,'#ligaSYR'!B65)</f>
        <v>12</v>
      </c>
      <c r="X65" s="116" t="s">
        <v>312</v>
      </c>
      <c r="Y65" s="1" t="s">
        <v>312</v>
      </c>
      <c r="Z65" s="1" t="s">
        <v>312</v>
      </c>
      <c r="AC65" s="1" t="s">
        <v>312</v>
      </c>
      <c r="AD65" s="1" t="s">
        <v>312</v>
      </c>
      <c r="AE65" s="1" t="str">
        <f>VLOOKUP(B65,Participanti!A:B,2,0)</f>
        <v>F</v>
      </c>
      <c r="AF65" s="1" t="e">
        <f>VLOOKUP(B65,Data_Echipe!A:R,18,0)</f>
        <v>#N/A</v>
      </c>
    </row>
    <row r="66" spans="1:32" ht="13" x14ac:dyDescent="0.3">
      <c r="A66" s="79">
        <v>65</v>
      </c>
      <c r="B66" s="30" t="s">
        <v>303</v>
      </c>
      <c r="C66" s="31">
        <f>IF(SUMIFS(Data!$U:$U,Data!$A:$A,$B66,Data!$C:$C,C$1)=0,"",SUMIFS(Data!$U:$U,Data!$A:$A,$B66,Data!$C:$C,C$1))</f>
        <v>1.2750000000000001</v>
      </c>
      <c r="D66" s="31">
        <f>IF(SUMIFS(Data!$U:$U,Data!$A:$A,$B66,Data!$C:$C,D$1)=0,"",SUMIFS(Data!$U:$U,Data!$A:$A,$B66,Data!$C:$C,D$1))</f>
        <v>1.3496666666666666</v>
      </c>
      <c r="E66" s="31">
        <f>IF(SUMIFS(Data!$U:$U,Data!$A:$A,$B66,Data!$C:$C,E$1)=0,"",SUMIFS(Data!$U:$U,Data!$A:$A,$B66,Data!$C:$C,E$1))</f>
        <v>1.9197500000000001</v>
      </c>
      <c r="F66" s="31">
        <f>IF(SUMIFS(Data!$U:$U,Data!$A:$A,$B66,Data!$C:$C,F$1)=0,"",SUMIFS(Data!$U:$U,Data!$A:$A,$B66,Data!$C:$C,F$1))</f>
        <v>2.0075000000000003</v>
      </c>
      <c r="G66" s="31">
        <f>IF(SUMIFS(Data!$U:$U,Data!$A:$A,$B66,Data!$C:$C,G$1)=0,"",SUMIFS(Data!$U:$U,Data!$A:$A,$B66,Data!$C:$C,G$1))</f>
        <v>1.4325000000000001</v>
      </c>
      <c r="H66" s="31">
        <f>IF(SUMIFS(Data!$U:$U,Data!$A:$A,$B66,Data!$C:$C,H$1)=0,"",SUMIFS(Data!$U:$U,Data!$A:$A,$B66,Data!$C:$C,H$1))</f>
        <v>1.9024583333333331</v>
      </c>
      <c r="I66" s="31">
        <f>IF(SUMIFS(Data!$U:$U,Data!$A:$A,$B66,Data!$C:$C,I$1)=0,"",SUMIFS(Data!$U:$U,Data!$A:$A,$B66,Data!$C:$C,I$1))</f>
        <v>2.3323333333333331</v>
      </c>
      <c r="J66" s="31">
        <f>IF(SUMIFS(Data!$U:$U,Data!$A:$A,$B66,Data!$C:$C,J$1)=0,"",SUMIFS(Data!$U:$U,Data!$A:$A,$B66,Data!$C:$C,J$1))</f>
        <v>1.6831666666666667</v>
      </c>
      <c r="K66" s="31">
        <f>IF(SUMIFS(Data!$U:$U,Data!$A:$A,$B66,Data!$C:$C,K$1)=0,"",SUMIFS(Data!$U:$U,Data!$A:$A,$B66,Data!$C:$C,K$1))</f>
        <v>3.5426666666666664</v>
      </c>
      <c r="L66" s="31">
        <f>IF(SUMIFS(Data!$U:$U,Data!$A:$A,$B66,Data!$C:$C,L$1)=0,"",SUMIFS(Data!$U:$U,Data!$A:$A,$B66,Data!$C:$C,L$1))</f>
        <v>2.2573333333333334</v>
      </c>
      <c r="M66" s="31">
        <f>IF(SUMIFS(Data!$U:$U,Data!$A:$A,$B66,Data!$C:$C,M$1)=0,"",SUMIFS(Data!$U:$U,Data!$A:$A,$B66,Data!$C:$C,M$1))</f>
        <v>1.4734166666666666</v>
      </c>
      <c r="N66" s="31">
        <f>IF(SUMIFS(Data!$U:$U,Data!$A:$A,$B66,Data!$C:$C,N$1)=0,"",SUMIFS(Data!$U:$U,Data!$A:$A,$B66,Data!$C:$C,N$1))</f>
        <v>1.7987500000000001</v>
      </c>
      <c r="O66" s="31">
        <f>IF(SUMIFS(Data!$U:$U,Data!$A:$A,$B66,Data!$C:$C,O$1)=0,"",SUMIFS(Data!$U:$U,Data!$A:$A,$B66,Data!$C:$C,O$1))</f>
        <v>3.0567916666666668</v>
      </c>
      <c r="P66" s="31">
        <f>IF(SUMIFS(Data!$U:$U,Data!$A:$A,$B66,Data!$C:$C,P$1)=0,"",SUMIFS(Data!$U:$U,Data!$A:$A,$B66,Data!$C:$C,P$1))</f>
        <v>1.4506250000000001</v>
      </c>
      <c r="Q66" s="31">
        <f>IF(SUMIFS(Data!$U:$U,Data!$A:$A,$B66,Data!$C:$C,Q$1)=0,"",SUMIFS(Data!$U:$U,Data!$A:$A,$B66,Data!$C:$C,Q$1))</f>
        <v>1.9046666666666667</v>
      </c>
      <c r="R66" s="31">
        <f>VLOOKUP(W66,Barem!$W$39:$X$54,2,0)</f>
        <v>5</v>
      </c>
      <c r="S66" s="31">
        <f>SUM(C66:R66)</f>
        <v>34.386624999999995</v>
      </c>
      <c r="T66" s="31">
        <f>SUMIFS(Data!D:D,Data!A:A,'#ligaSYR'!B87)</f>
        <v>83.259999999999991</v>
      </c>
      <c r="U66" s="1" t="str">
        <f>IF(VLOOKUP(B66,Participanti!A:D,4,0)=0," ","New")</f>
        <v xml:space="preserve"> </v>
      </c>
      <c r="W66" s="116">
        <f>SUMIFS(Data!Z:Z,Data!A:A,'#ligaSYR'!B66)</f>
        <v>15</v>
      </c>
      <c r="X66" s="116" t="s">
        <v>312</v>
      </c>
      <c r="AE66" s="1" t="str">
        <f>VLOOKUP(B66,Participanti!A:B,2,0)</f>
        <v>F</v>
      </c>
      <c r="AF66" s="1" t="e">
        <f>VLOOKUP(B66,Data_Echipe!A:R,18,0)</f>
        <v>#N/A</v>
      </c>
    </row>
    <row r="67" spans="1:32" ht="13" x14ac:dyDescent="0.3">
      <c r="A67" s="79">
        <v>66</v>
      </c>
      <c r="B67" s="30" t="s">
        <v>369</v>
      </c>
      <c r="C67" s="31">
        <f>IF(SUMIFS(Data!$U:$U,Data!$A:$A,$B67,Data!$C:$C,C$1)=0,"",SUMIFS(Data!$U:$U,Data!$A:$A,$B67,Data!$C:$C,C$1))</f>
        <v>2.2831666666666663</v>
      </c>
      <c r="D67" s="31">
        <f>IF(SUMIFS(Data!$U:$U,Data!$A:$A,$B67,Data!$C:$C,D$1)=0,"",SUMIFS(Data!$U:$U,Data!$A:$A,$B67,Data!$C:$C,D$1))</f>
        <v>3.5476904761904762</v>
      </c>
      <c r="E67" s="31">
        <f>IF(SUMIFS(Data!$U:$U,Data!$A:$A,$B67,Data!$C:$C,E$1)=0,"",SUMIFS(Data!$U:$U,Data!$A:$A,$B67,Data!$C:$C,E$1))</f>
        <v>3.2090952380952378</v>
      </c>
      <c r="F67" s="31">
        <f>IF(SUMIFS(Data!$U:$U,Data!$A:$A,$B67,Data!$C:$C,F$1)=0,"",SUMIFS(Data!$U:$U,Data!$A:$A,$B67,Data!$C:$C,F$1))</f>
        <v>1.5</v>
      </c>
      <c r="G67" s="31" t="str">
        <f>IF(SUMIFS(Data!$U:$U,Data!$A:$A,$B67,Data!$C:$C,G$1)=0,"",SUMIFS(Data!$U:$U,Data!$A:$A,$B67,Data!$C:$C,G$1))</f>
        <v/>
      </c>
      <c r="H67" s="31">
        <f>IF(SUMIFS(Data!$U:$U,Data!$A:$A,$B67,Data!$C:$C,H$1)=0,"",SUMIFS(Data!$U:$U,Data!$A:$A,$B67,Data!$C:$C,H$1))</f>
        <v>3.0826666666666664</v>
      </c>
      <c r="I67" s="31">
        <f>IF(SUMIFS(Data!$U:$U,Data!$A:$A,$B67,Data!$C:$C,I$1)=0,"",SUMIFS(Data!$U:$U,Data!$A:$A,$B67,Data!$C:$C,I$1))</f>
        <v>2.7184523809523808</v>
      </c>
      <c r="J67" s="31">
        <f>IF(SUMIFS(Data!$U:$U,Data!$A:$A,$B67,Data!$C:$C,J$1)=0,"",SUMIFS(Data!$U:$U,Data!$A:$A,$B67,Data!$C:$C,J$1))</f>
        <v>2.9739761904761908</v>
      </c>
      <c r="K67" s="31">
        <f>IF(SUMIFS(Data!$U:$U,Data!$A:$A,$B67,Data!$C:$C,K$1)=0,"",SUMIFS(Data!$U:$U,Data!$A:$A,$B67,Data!$C:$C,K$1))</f>
        <v>1.950595238095238</v>
      </c>
      <c r="L67" s="31">
        <f>IF(SUMIFS(Data!$U:$U,Data!$A:$A,$B67,Data!$C:$C,L$1)=0,"",SUMIFS(Data!$U:$U,Data!$A:$A,$B67,Data!$C:$C,L$1))</f>
        <v>3.8716666666666666</v>
      </c>
      <c r="M67" s="31">
        <f>IF(SUMIFS(Data!$U:$U,Data!$A:$A,$B67,Data!$C:$C,M$1)=0,"",SUMIFS(Data!$U:$U,Data!$A:$A,$B67,Data!$C:$C,M$1))</f>
        <v>1.4255952380952381</v>
      </c>
      <c r="N67" s="31">
        <f>IF(SUMIFS(Data!$U:$U,Data!$A:$A,$B67,Data!$C:$C,N$1)=0,"",SUMIFS(Data!$U:$U,Data!$A:$A,$B67,Data!$C:$C,N$1))</f>
        <v>3.8166666666666669</v>
      </c>
      <c r="O67" s="31" t="str">
        <f>IF(SUMIFS(Data!$U:$U,Data!$A:$A,$B67,Data!$C:$C,O$1)=0,"",SUMIFS(Data!$U:$U,Data!$A:$A,$B67,Data!$C:$C,O$1))</f>
        <v/>
      </c>
      <c r="P67" s="31" t="str">
        <f>IF(SUMIFS(Data!$U:$U,Data!$A:$A,$B67,Data!$C:$C,P$1)=0,"",SUMIFS(Data!$U:$U,Data!$A:$A,$B67,Data!$C:$C,P$1))</f>
        <v/>
      </c>
      <c r="Q67" s="31">
        <f>IF(SUMIFS(Data!$U:$U,Data!$A:$A,$B67,Data!$C:$C,Q$1)=0,"",SUMIFS(Data!$U:$U,Data!$A:$A,$B67,Data!$C:$C,Q$1))</f>
        <v>3.625</v>
      </c>
      <c r="R67" s="31">
        <f>VLOOKUP(W67,Barem!$W$39:$X$54,2,0)</f>
        <v>0</v>
      </c>
      <c r="S67" s="31">
        <f>SUM(C67:R67)</f>
        <v>34.004571428571424</v>
      </c>
      <c r="T67" s="31">
        <f>SUMIFS(Data!D:D,Data!A:A,'#ligaSYR'!B39)</f>
        <v>154.34</v>
      </c>
      <c r="U67" s="1" t="str">
        <f>IF(VLOOKUP(B67,Participanti!A:D,4,0)=0," ","New")</f>
        <v>New</v>
      </c>
      <c r="W67" s="116">
        <f>SUMIFS(Data!Z:Z,Data!A:A,'#ligaSYR'!B67)</f>
        <v>5</v>
      </c>
      <c r="X67" s="116"/>
      <c r="AE67" s="1" t="str">
        <f>VLOOKUP(B67,Participanti!A:B,2,0)</f>
        <v>M</v>
      </c>
      <c r="AF67" s="1" t="str">
        <f>VLOOKUP(B67,Data_Echipe!A:R,18,0)</f>
        <v>MedgidiaRunning</v>
      </c>
    </row>
    <row r="68" spans="1:32" ht="13" x14ac:dyDescent="0.3">
      <c r="A68" s="79">
        <v>67</v>
      </c>
      <c r="B68" s="30" t="s">
        <v>300</v>
      </c>
      <c r="C68" s="31">
        <f>IF(SUMIFS(Data!$U:$U,Data!$A:$A,$B68,Data!$C:$C,C$1)=0,"",SUMIFS(Data!$U:$U,Data!$A:$A,$B68,Data!$C:$C,C$1))</f>
        <v>3.6375000000000002</v>
      </c>
      <c r="D68" s="31" t="str">
        <f>IF(SUMIFS(Data!$U:$U,Data!$A:$A,$B68,Data!$C:$C,D$1)=0,"",SUMIFS(Data!$U:$U,Data!$A:$A,$B68,Data!$C:$C,D$1))</f>
        <v/>
      </c>
      <c r="E68" s="31">
        <f>IF(SUMIFS(Data!$U:$U,Data!$A:$A,$B68,Data!$C:$C,E$1)=0,"",SUMIFS(Data!$U:$U,Data!$A:$A,$B68,Data!$C:$C,E$1))</f>
        <v>2.3136904761904762</v>
      </c>
      <c r="F68" s="31">
        <f>IF(SUMIFS(Data!$U:$U,Data!$A:$A,$B68,Data!$C:$C,F$1)=0,"",SUMIFS(Data!$U:$U,Data!$A:$A,$B68,Data!$C:$C,F$1))</f>
        <v>3.5750000000000002</v>
      </c>
      <c r="G68" s="31">
        <f>IF(SUMIFS(Data!$U:$U,Data!$A:$A,$B68,Data!$C:$C,G$1)=0,"",SUMIFS(Data!$U:$U,Data!$A:$A,$B68,Data!$C:$C,G$1))</f>
        <v>1.5</v>
      </c>
      <c r="H68" s="31" t="str">
        <f>IF(SUMIFS(Data!$U:$U,Data!$A:$A,$B68,Data!$C:$C,H$1)=0,"",SUMIFS(Data!$U:$U,Data!$A:$A,$B68,Data!$C:$C,H$1))</f>
        <v/>
      </c>
      <c r="I68" s="31" t="str">
        <f>IF(SUMIFS(Data!$U:$U,Data!$A:$A,$B68,Data!$C:$C,I$1)=0,"",SUMIFS(Data!$U:$U,Data!$A:$A,$B68,Data!$C:$C,I$1))</f>
        <v/>
      </c>
      <c r="J68" s="31">
        <f>IF(SUMIFS(Data!$U:$U,Data!$A:$A,$B68,Data!$C:$C,J$1)=0,"",SUMIFS(Data!$U:$U,Data!$A:$A,$B68,Data!$C:$C,J$1))</f>
        <v>2.4500000000000002</v>
      </c>
      <c r="K68" s="31">
        <f>IF(SUMIFS(Data!$U:$U,Data!$A:$A,$B68,Data!$C:$C,K$1)=0,"",SUMIFS(Data!$U:$U,Data!$A:$A,$B68,Data!$C:$C,K$1))</f>
        <v>2.4141428571428571</v>
      </c>
      <c r="L68" s="31">
        <f>IF(SUMIFS(Data!$U:$U,Data!$A:$A,$B68,Data!$C:$C,L$1)=0,"",SUMIFS(Data!$U:$U,Data!$A:$A,$B68,Data!$C:$C,L$1))</f>
        <v>1.8369047619047618</v>
      </c>
      <c r="M68" s="31">
        <f>IF(SUMIFS(Data!$U:$U,Data!$A:$A,$B68,Data!$C:$C,M$1)=0,"",SUMIFS(Data!$U:$U,Data!$A:$A,$B68,Data!$C:$C,M$1))</f>
        <v>3.0059523809523809</v>
      </c>
      <c r="N68" s="31">
        <f>IF(SUMIFS(Data!$U:$U,Data!$A:$A,$B68,Data!$C:$C,N$1)=0,"",SUMIFS(Data!$U:$U,Data!$A:$A,$B68,Data!$C:$C,N$1))</f>
        <v>1.6071428571428572</v>
      </c>
      <c r="O68" s="31">
        <f>IF(SUMIFS(Data!$U:$U,Data!$A:$A,$B68,Data!$C:$C,O$1)=0,"",SUMIFS(Data!$U:$U,Data!$A:$A,$B68,Data!$C:$C,O$1))</f>
        <v>3.4124999999999996</v>
      </c>
      <c r="P68" s="31">
        <f>IF(SUMIFS(Data!$U:$U,Data!$A:$A,$B68,Data!$C:$C,P$1)=0,"",SUMIFS(Data!$U:$U,Data!$A:$A,$B68,Data!$C:$C,P$1))</f>
        <v>3.4547619047619045</v>
      </c>
      <c r="Q68" s="31">
        <f>IF(SUMIFS(Data!$U:$U,Data!$A:$A,$B68,Data!$C:$C,Q$1)=0,"",SUMIFS(Data!$U:$U,Data!$A:$A,$B68,Data!$C:$C,Q$1))</f>
        <v>2.3583333333333334</v>
      </c>
      <c r="R68" s="31">
        <f>VLOOKUP(W68,Barem!$W$39:$X$54,2,0)</f>
        <v>2</v>
      </c>
      <c r="S68" s="31">
        <f>SUM(C68:R68)</f>
        <v>33.565928571428572</v>
      </c>
      <c r="T68" s="31">
        <f>SUMIFS(Data!D:D,Data!A:A,'#ligaSYR'!B73)</f>
        <v>247.43999999999997</v>
      </c>
      <c r="U68" s="1" t="str">
        <f>IF(VLOOKUP(B68,Participanti!A:D,4,0)=0," ","New")</f>
        <v xml:space="preserve"> </v>
      </c>
      <c r="W68" s="116">
        <f>SUMIFS(Data!Z:Z,Data!A:A,'#ligaSYR'!B68)</f>
        <v>9</v>
      </c>
      <c r="X68" s="116"/>
      <c r="AE68" s="1" t="str">
        <f>VLOOKUP(B68,Participanti!A:B,2,0)</f>
        <v>M</v>
      </c>
      <c r="AF68" s="1" t="str">
        <f>VLOOKUP(B68,Data_Echipe!A:R,18,0)</f>
        <v>#notSYRious</v>
      </c>
    </row>
    <row r="69" spans="1:32" ht="13" x14ac:dyDescent="0.3">
      <c r="A69" s="79">
        <v>68</v>
      </c>
      <c r="B69" s="30" t="s">
        <v>430</v>
      </c>
      <c r="C69" s="31" t="str">
        <f>IF(SUMIFS(Data!$U:$U,Data!$A:$A,$B69,Data!$C:$C,C$1)=0,"",SUMIFS(Data!$U:$U,Data!$A:$A,$B69,Data!$C:$C,C$1))</f>
        <v/>
      </c>
      <c r="D69" s="31" t="str">
        <f>IF(SUMIFS(Data!$U:$U,Data!$A:$A,$B69,Data!$C:$C,D$1)=0,"",SUMIFS(Data!$U:$U,Data!$A:$A,$B69,Data!$C:$C,D$1))</f>
        <v/>
      </c>
      <c r="E69" s="31" t="str">
        <f>IF(SUMIFS(Data!$U:$U,Data!$A:$A,$B69,Data!$C:$C,E$1)=0,"",SUMIFS(Data!$U:$U,Data!$A:$A,$B69,Data!$C:$C,E$1))</f>
        <v/>
      </c>
      <c r="F69" s="31" t="str">
        <f>IF(SUMIFS(Data!$U:$U,Data!$A:$A,$B69,Data!$C:$C,F$1)=0,"",SUMIFS(Data!$U:$U,Data!$A:$A,$B69,Data!$C:$C,F$1))</f>
        <v/>
      </c>
      <c r="G69" s="31">
        <f>IF(SUMIFS(Data!$U:$U,Data!$A:$A,$B69,Data!$C:$C,G$1)=0,"",SUMIFS(Data!$U:$U,Data!$A:$A,$B69,Data!$C:$C,G$1))</f>
        <v>2.2261904761904763</v>
      </c>
      <c r="H69" s="31">
        <f>IF(SUMIFS(Data!$U:$U,Data!$A:$A,$B69,Data!$C:$C,H$1)=0,"",SUMIFS(Data!$U:$U,Data!$A:$A,$B69,Data!$C:$C,H$1))</f>
        <v>2.0892857142857144</v>
      </c>
      <c r="I69" s="31">
        <f>IF(SUMIFS(Data!$U:$U,Data!$A:$A,$B69,Data!$C:$C,I$1)=0,"",SUMIFS(Data!$U:$U,Data!$A:$A,$B69,Data!$C:$C,I$1))</f>
        <v>2.4910714285714288</v>
      </c>
      <c r="J69" s="31">
        <f>IF(SUMIFS(Data!$U:$U,Data!$A:$A,$B69,Data!$C:$C,J$1)=0,"",SUMIFS(Data!$U:$U,Data!$A:$A,$B69,Data!$C:$C,J$1))</f>
        <v>2.333333333333333</v>
      </c>
      <c r="K69" s="31">
        <f>IF(SUMIFS(Data!$U:$U,Data!$A:$A,$B69,Data!$C:$C,K$1)=0,"",SUMIFS(Data!$U:$U,Data!$A:$A,$B69,Data!$C:$C,K$1))</f>
        <v>2.5757142857142861</v>
      </c>
      <c r="L69" s="31">
        <f>IF(SUMIFS(Data!$U:$U,Data!$A:$A,$B69,Data!$C:$C,L$1)=0,"",SUMIFS(Data!$U:$U,Data!$A:$A,$B69,Data!$C:$C,L$1))</f>
        <v>3.1537619047619048</v>
      </c>
      <c r="M69" s="31">
        <f>IF(SUMIFS(Data!$U:$U,Data!$A:$A,$B69,Data!$C:$C,M$1)=0,"",SUMIFS(Data!$U:$U,Data!$A:$A,$B69,Data!$C:$C,M$1))</f>
        <v>3.2019761904761905</v>
      </c>
      <c r="N69" s="31">
        <f>IF(SUMIFS(Data!$U:$U,Data!$A:$A,$B69,Data!$C:$C,N$1)=0,"",SUMIFS(Data!$U:$U,Data!$A:$A,$B69,Data!$C:$C,N$1))</f>
        <v>2.3022857142857145</v>
      </c>
      <c r="O69" s="31">
        <f>IF(SUMIFS(Data!$U:$U,Data!$A:$A,$B69,Data!$C:$C,O$1)=0,"",SUMIFS(Data!$U:$U,Data!$A:$A,$B69,Data!$C:$C,O$1))</f>
        <v>3.5178571428571428</v>
      </c>
      <c r="P69" s="31">
        <f>IF(SUMIFS(Data!$U:$U,Data!$A:$A,$B69,Data!$C:$C,P$1)=0,"",SUMIFS(Data!$U:$U,Data!$A:$A,$B69,Data!$C:$C,P$1))</f>
        <v>2.0576428571428576</v>
      </c>
      <c r="Q69" s="31">
        <f>IF(SUMIFS(Data!$U:$U,Data!$A:$A,$B69,Data!$C:$C,Q$1)=0,"",SUMIFS(Data!$U:$U,Data!$A:$A,$B69,Data!$C:$C,Q$1))</f>
        <v>2.8284523809523807</v>
      </c>
      <c r="R69" s="31">
        <f>VLOOKUP(W69,Barem!$W$39:$X$54,2,0)</f>
        <v>3</v>
      </c>
      <c r="S69" s="31">
        <f>SUM(C69:R69)</f>
        <v>31.777571428571431</v>
      </c>
      <c r="T69" s="31">
        <f>SUMIFS(Data!D:D,Data!A:A,'#ligaSYR'!B99)</f>
        <v>47.43</v>
      </c>
      <c r="U69" s="1" t="str">
        <f>IF(VLOOKUP(B69,Participanti!A:D,4,0)=0," ","New")</f>
        <v>New</v>
      </c>
      <c r="W69" s="116">
        <f>SUMIFS(Data!Z:Z,Data!A:A,'#ligaSYR'!B69)</f>
        <v>11</v>
      </c>
      <c r="X69" s="116"/>
      <c r="AF69" s="1" t="e">
        <f>VLOOKUP(B69,Data_Echipe!A:R,18,0)</f>
        <v>#N/A</v>
      </c>
    </row>
    <row r="70" spans="1:32" ht="13" x14ac:dyDescent="0.3">
      <c r="A70" s="79">
        <v>69</v>
      </c>
      <c r="B70" s="30" t="s">
        <v>431</v>
      </c>
      <c r="C70" s="31" t="str">
        <f>IF(SUMIFS(Data!$U:$U,Data!$A:$A,$B70,Data!$C:$C,C$1)=0,"",SUMIFS(Data!$U:$U,Data!$A:$A,$B70,Data!$C:$C,C$1))</f>
        <v/>
      </c>
      <c r="D70" s="31" t="str">
        <f>IF(SUMIFS(Data!$U:$U,Data!$A:$A,$B70,Data!$C:$C,D$1)=0,"",SUMIFS(Data!$U:$U,Data!$A:$A,$B70,Data!$C:$C,D$1))</f>
        <v/>
      </c>
      <c r="E70" s="31" t="str">
        <f>IF(SUMIFS(Data!$U:$U,Data!$A:$A,$B70,Data!$C:$C,E$1)=0,"",SUMIFS(Data!$U:$U,Data!$A:$A,$B70,Data!$C:$C,E$1))</f>
        <v/>
      </c>
      <c r="F70" s="31" t="str">
        <f>IF(SUMIFS(Data!$U:$U,Data!$A:$A,$B70,Data!$C:$C,F$1)=0,"",SUMIFS(Data!$U:$U,Data!$A:$A,$B70,Data!$C:$C,F$1))</f>
        <v/>
      </c>
      <c r="G70" s="31">
        <f>IF(SUMIFS(Data!$U:$U,Data!$A:$A,$B70,Data!$C:$C,G$1)=0,"",SUMIFS(Data!$U:$U,Data!$A:$A,$B70,Data!$C:$C,G$1))</f>
        <v>2.15</v>
      </c>
      <c r="H70" s="31">
        <f>IF(SUMIFS(Data!$U:$U,Data!$A:$A,$B70,Data!$C:$C,H$1)=0,"",SUMIFS(Data!$U:$U,Data!$A:$A,$B70,Data!$C:$C,H$1))</f>
        <v>2.6993749999999999</v>
      </c>
      <c r="I70" s="31">
        <f>IF(SUMIFS(Data!$U:$U,Data!$A:$A,$B70,Data!$C:$C,I$1)=0,"",SUMIFS(Data!$U:$U,Data!$A:$A,$B70,Data!$C:$C,I$1))</f>
        <v>3.4394166666666668</v>
      </c>
      <c r="J70" s="31">
        <f>IF(SUMIFS(Data!$U:$U,Data!$A:$A,$B70,Data!$C:$C,J$1)=0,"",SUMIFS(Data!$U:$U,Data!$A:$A,$B70,Data!$C:$C,J$1))</f>
        <v>2.4659166666666668</v>
      </c>
      <c r="K70" s="31">
        <f>IF(SUMIFS(Data!$U:$U,Data!$A:$A,$B70,Data!$C:$C,K$1)=0,"",SUMIFS(Data!$U:$U,Data!$A:$A,$B70,Data!$C:$C,K$1))</f>
        <v>2.5887499999999997</v>
      </c>
      <c r="L70" s="31">
        <f>IF(SUMIFS(Data!$U:$U,Data!$A:$A,$B70,Data!$C:$C,L$1)=0,"",SUMIFS(Data!$U:$U,Data!$A:$A,$B70,Data!$C:$C,L$1))</f>
        <v>3.7124999999999999</v>
      </c>
      <c r="M70" s="31">
        <f>IF(SUMIFS(Data!$U:$U,Data!$A:$A,$B70,Data!$C:$C,M$1)=0,"",SUMIFS(Data!$U:$U,Data!$A:$A,$B70,Data!$C:$C,M$1))</f>
        <v>2.0643750000000001</v>
      </c>
      <c r="N70" s="31">
        <f>IF(SUMIFS(Data!$U:$U,Data!$A:$A,$B70,Data!$C:$C,N$1)=0,"",SUMIFS(Data!$U:$U,Data!$A:$A,$B70,Data!$C:$C,N$1))</f>
        <v>3.0187499999999998</v>
      </c>
      <c r="O70" s="31">
        <f>IF(SUMIFS(Data!$U:$U,Data!$A:$A,$B70,Data!$C:$C,O$1)=0,"",SUMIFS(Data!$U:$U,Data!$A:$A,$B70,Data!$C:$C,O$1))</f>
        <v>2.5733333333333333</v>
      </c>
      <c r="P70" s="31">
        <f>IF(SUMIFS(Data!$U:$U,Data!$A:$A,$B70,Data!$C:$C,P$1)=0,"",SUMIFS(Data!$U:$U,Data!$A:$A,$B70,Data!$C:$C,P$1))</f>
        <v>2.4</v>
      </c>
      <c r="Q70" s="31">
        <f>IF(SUMIFS(Data!$U:$U,Data!$A:$A,$B70,Data!$C:$C,Q$1)=0,"",SUMIFS(Data!$U:$U,Data!$A:$A,$B70,Data!$C:$C,Q$1))</f>
        <v>2.6599999999999997</v>
      </c>
      <c r="R70" s="31">
        <f>VLOOKUP(W70,Barem!$W$39:$X$54,2,0)</f>
        <v>2</v>
      </c>
      <c r="S70" s="31">
        <f>SUM(C70:R70)</f>
        <v>31.772416666666668</v>
      </c>
      <c r="T70" s="31">
        <f>SUMIFS(Data!D:D,Data!A:A,'#ligaSYR'!B100)</f>
        <v>44.63</v>
      </c>
      <c r="U70" s="1" t="str">
        <f>IF(VLOOKUP(B70,Participanti!A:D,4,0)=0," ","New")</f>
        <v>New</v>
      </c>
      <c r="W70" s="116">
        <f>SUMIFS(Data!Z:Z,Data!A:A,'#ligaSYR'!B70)</f>
        <v>8</v>
      </c>
      <c r="X70" s="116"/>
      <c r="AF70" s="1" t="e">
        <f>VLOOKUP(B70,Data_Echipe!A:R,18,0)</f>
        <v>#N/A</v>
      </c>
    </row>
    <row r="71" spans="1:32" ht="13" x14ac:dyDescent="0.3">
      <c r="A71" s="79">
        <v>70</v>
      </c>
      <c r="B71" s="30" t="s">
        <v>383</v>
      </c>
      <c r="C71" s="31" t="str">
        <f>IF(SUMIFS(Data!$U:$U,Data!$A:$A,$B71,Data!$C:$C,C$1)=0,"",SUMIFS(Data!$U:$U,Data!$A:$A,$B71,Data!$C:$C,C$1))</f>
        <v/>
      </c>
      <c r="D71" s="31">
        <f>IF(SUMIFS(Data!$U:$U,Data!$A:$A,$B71,Data!$C:$C,D$1)=0,"",SUMIFS(Data!$U:$U,Data!$A:$A,$B71,Data!$C:$C,D$1))</f>
        <v>2.36</v>
      </c>
      <c r="E71" s="31">
        <f>IF(SUMIFS(Data!$U:$U,Data!$A:$A,$B71,Data!$C:$C,E$1)=0,"",SUMIFS(Data!$U:$U,Data!$A:$A,$B71,Data!$C:$C,E$1))</f>
        <v>2.5362499999999999</v>
      </c>
      <c r="F71" s="31">
        <f>IF(SUMIFS(Data!$U:$U,Data!$A:$A,$B71,Data!$C:$C,F$1)=0,"",SUMIFS(Data!$U:$U,Data!$A:$A,$B71,Data!$C:$C,F$1))</f>
        <v>1.5</v>
      </c>
      <c r="G71" s="31">
        <f>IF(SUMIFS(Data!$U:$U,Data!$A:$A,$B71,Data!$C:$C,G$1)=0,"",SUMIFS(Data!$U:$U,Data!$A:$A,$B71,Data!$C:$C,G$1))</f>
        <v>1.6875</v>
      </c>
      <c r="H71" s="31">
        <f>IF(SUMIFS(Data!$U:$U,Data!$A:$A,$B71,Data!$C:$C,H$1)=0,"",SUMIFS(Data!$U:$U,Data!$A:$A,$B71,Data!$C:$C,H$1))</f>
        <v>1.940625</v>
      </c>
      <c r="I71" s="31">
        <f>IF(SUMIFS(Data!$U:$U,Data!$A:$A,$B71,Data!$C:$C,I$1)=0,"",SUMIFS(Data!$U:$U,Data!$A:$A,$B71,Data!$C:$C,I$1))</f>
        <v>2.0637499999999998</v>
      </c>
      <c r="J71" s="31">
        <f>IF(SUMIFS(Data!$U:$U,Data!$A:$A,$B71,Data!$C:$C,J$1)=0,"",SUMIFS(Data!$U:$U,Data!$A:$A,$B71,Data!$C:$C,J$1))</f>
        <v>2.5825</v>
      </c>
      <c r="K71" s="31">
        <f>IF(SUMIFS(Data!$U:$U,Data!$A:$A,$B71,Data!$C:$C,K$1)=0,"",SUMIFS(Data!$U:$U,Data!$A:$A,$B71,Data!$C:$C,K$1))</f>
        <v>2.3149999999999999</v>
      </c>
      <c r="L71" s="31">
        <f>IF(SUMIFS(Data!$U:$U,Data!$A:$A,$B71,Data!$C:$C,L$1)=0,"",SUMIFS(Data!$U:$U,Data!$A:$A,$B71,Data!$C:$C,L$1))</f>
        <v>3.411</v>
      </c>
      <c r="M71" s="31">
        <f>IF(SUMIFS(Data!$U:$U,Data!$A:$A,$B71,Data!$C:$C,M$1)=0,"",SUMIFS(Data!$U:$U,Data!$A:$A,$B71,Data!$C:$C,M$1))</f>
        <v>2.69</v>
      </c>
      <c r="N71" s="31">
        <f>IF(SUMIFS(Data!$U:$U,Data!$A:$A,$B71,Data!$C:$C,N$1)=0,"",SUMIFS(Data!$U:$U,Data!$A:$A,$B71,Data!$C:$C,N$1))</f>
        <v>1.5</v>
      </c>
      <c r="O71" s="31" t="str">
        <f>IF(SUMIFS(Data!$U:$U,Data!$A:$A,$B71,Data!$C:$C,O$1)=0,"",SUMIFS(Data!$U:$U,Data!$A:$A,$B71,Data!$C:$C,O$1))</f>
        <v/>
      </c>
      <c r="P71" s="31">
        <f>IF(SUMIFS(Data!$U:$U,Data!$A:$A,$B71,Data!$C:$C,P$1)=0,"",SUMIFS(Data!$U:$U,Data!$A:$A,$B71,Data!$C:$C,P$1))</f>
        <v>1.5631249999999999</v>
      </c>
      <c r="Q71" s="31">
        <f>IF(SUMIFS(Data!$U:$U,Data!$A:$A,$B71,Data!$C:$C,Q$1)=0,"",SUMIFS(Data!$U:$U,Data!$A:$A,$B71,Data!$C:$C,Q$1))</f>
        <v>1.3462499999999999</v>
      </c>
      <c r="R71" s="31">
        <f>VLOOKUP(W71,Barem!$W$39:$X$54,2,0)</f>
        <v>4</v>
      </c>
      <c r="S71" s="31">
        <f>SUM(C71:R71)</f>
        <v>31.496000000000006</v>
      </c>
      <c r="T71" s="31">
        <f>SUMIFS(Data!D:D,Data!A:A,'#ligaSYR'!B90)</f>
        <v>115.51</v>
      </c>
      <c r="U71" s="1" t="str">
        <f>IF(VLOOKUP(B71,Participanti!A:D,4,0)=0," ","New")</f>
        <v>New</v>
      </c>
      <c r="W71" s="116">
        <f>SUMIFS(Data!Z:Z,Data!A:A,'#ligaSYR'!B71)</f>
        <v>12</v>
      </c>
      <c r="X71" s="116" t="s">
        <v>312</v>
      </c>
      <c r="Y71" s="1" t="s">
        <v>312</v>
      </c>
      <c r="Z71" s="1" t="s">
        <v>312</v>
      </c>
      <c r="AC71" s="1" t="s">
        <v>312</v>
      </c>
      <c r="AD71" s="1" t="s">
        <v>312</v>
      </c>
      <c r="AE71" s="1" t="str">
        <f>VLOOKUP(B71,Participanti!A:B,2,0)</f>
        <v>F</v>
      </c>
      <c r="AF71" s="1" t="str">
        <f>VLOOKUP(B71,Data_Echipe!A:R,18,0)</f>
        <v>The GOATs</v>
      </c>
    </row>
    <row r="72" spans="1:32" ht="13" x14ac:dyDescent="0.3">
      <c r="A72" s="79">
        <v>71</v>
      </c>
      <c r="B72" s="30" t="s">
        <v>100</v>
      </c>
      <c r="C72" s="31">
        <f>IF(SUMIFS(Data!$U:$U,Data!$A:$A,$B72,Data!$C:$C,C$1)=0,"",SUMIFS(Data!$U:$U,Data!$A:$A,$B72,Data!$C:$C,C$1))</f>
        <v>2.7512499999999998</v>
      </c>
      <c r="D72" s="31">
        <f>IF(SUMIFS(Data!$U:$U,Data!$A:$A,$B72,Data!$C:$C,D$1)=0,"",SUMIFS(Data!$U:$U,Data!$A:$A,$B72,Data!$C:$C,D$1))</f>
        <v>1.5</v>
      </c>
      <c r="E72" s="31">
        <f>IF(SUMIFS(Data!$U:$U,Data!$A:$A,$B72,Data!$C:$C,E$1)=0,"",SUMIFS(Data!$U:$U,Data!$A:$A,$B72,Data!$C:$C,E$1))</f>
        <v>2.2524999999999999</v>
      </c>
      <c r="F72" s="31" t="str">
        <f>IF(SUMIFS(Data!$U:$U,Data!$A:$A,$B72,Data!$C:$C,F$1)=0,"",SUMIFS(Data!$U:$U,Data!$A:$A,$B72,Data!$C:$C,F$1))</f>
        <v/>
      </c>
      <c r="G72" s="31">
        <f>IF(SUMIFS(Data!$U:$U,Data!$A:$A,$B72,Data!$C:$C,G$1)=0,"",SUMIFS(Data!$U:$U,Data!$A:$A,$B72,Data!$C:$C,G$1))</f>
        <v>2.5587499999999999</v>
      </c>
      <c r="H72" s="31">
        <f>IF(SUMIFS(Data!$U:$U,Data!$A:$A,$B72,Data!$C:$C,H$1)=0,"",SUMIFS(Data!$U:$U,Data!$A:$A,$B72,Data!$C:$C,H$1))</f>
        <v>1.87625</v>
      </c>
      <c r="I72" s="31">
        <f>IF(SUMIFS(Data!$U:$U,Data!$A:$A,$B72,Data!$C:$C,I$1)=0,"",SUMIFS(Data!$U:$U,Data!$A:$A,$B72,Data!$C:$C,I$1))</f>
        <v>1.1743333333333332</v>
      </c>
      <c r="J72" s="31">
        <f>IF(SUMIFS(Data!$U:$U,Data!$A:$A,$B72,Data!$C:$C,J$1)=0,"",SUMIFS(Data!$U:$U,Data!$A:$A,$B72,Data!$C:$C,J$1))</f>
        <v>2.2562500000000001</v>
      </c>
      <c r="K72" s="31">
        <f>IF(SUMIFS(Data!$U:$U,Data!$A:$A,$B72,Data!$C:$C,K$1)=0,"",SUMIFS(Data!$U:$U,Data!$A:$A,$B72,Data!$C:$C,K$1))</f>
        <v>2.6887499999999998</v>
      </c>
      <c r="L72" s="31">
        <f>IF(SUMIFS(Data!$U:$U,Data!$A:$A,$B72,Data!$C:$C,L$1)=0,"",SUMIFS(Data!$U:$U,Data!$A:$A,$B72,Data!$C:$C,L$1))</f>
        <v>2.2512499999999998</v>
      </c>
      <c r="M72" s="31">
        <f>IF(SUMIFS(Data!$U:$U,Data!$A:$A,$B72,Data!$C:$C,M$1)=0,"",SUMIFS(Data!$U:$U,Data!$A:$A,$B72,Data!$C:$C,M$1))</f>
        <v>2.4381249999999999</v>
      </c>
      <c r="N72" s="31">
        <f>IF(SUMIFS(Data!$U:$U,Data!$A:$A,$B72,Data!$C:$C,N$1)=0,"",SUMIFS(Data!$U:$U,Data!$A:$A,$B72,Data!$C:$C,N$1))</f>
        <v>2.3768750000000001</v>
      </c>
      <c r="O72" s="31" t="str">
        <f>IF(SUMIFS(Data!$U:$U,Data!$A:$A,$B72,Data!$C:$C,O$1)=0,"",SUMIFS(Data!$U:$U,Data!$A:$A,$B72,Data!$C:$C,O$1))</f>
        <v/>
      </c>
      <c r="P72" s="31">
        <f>IF(SUMIFS(Data!$U:$U,Data!$A:$A,$B72,Data!$C:$C,P$1)=0,"",SUMIFS(Data!$U:$U,Data!$A:$A,$B72,Data!$C:$C,P$1))</f>
        <v>2.1262499999999998</v>
      </c>
      <c r="Q72" s="31">
        <f>IF(SUMIFS(Data!$U:$U,Data!$A:$A,$B72,Data!$C:$C,Q$1)=0,"",SUMIFS(Data!$U:$U,Data!$A:$A,$B72,Data!$C:$C,Q$1))</f>
        <v>1.81375</v>
      </c>
      <c r="R72" s="31">
        <f>VLOOKUP(W72,Barem!$W$39:$X$54,2,0)</f>
        <v>3</v>
      </c>
      <c r="S72" s="31">
        <f>SUM(C72:R72)</f>
        <v>31.06433333333333</v>
      </c>
      <c r="T72" s="31">
        <f>SUMIFS(Data!D:D,Data!A:A,'#ligaSYR'!B63)</f>
        <v>150.22</v>
      </c>
      <c r="W72" s="116">
        <f>SUMIFS(Data!Z:Z,Data!A:A,'#ligaSYR'!B72)</f>
        <v>11</v>
      </c>
      <c r="AF72" s="1" t="e">
        <f>VLOOKUP(B72,Data_Echipe!A:R,18,0)</f>
        <v>#N/A</v>
      </c>
    </row>
    <row r="73" spans="1:32" ht="13" x14ac:dyDescent="0.3">
      <c r="A73" s="79">
        <v>72</v>
      </c>
      <c r="B73" s="30" t="s">
        <v>448</v>
      </c>
      <c r="C73" s="31" t="str">
        <f>IF(SUMIFS(Data!$U:$U,Data!$A:$A,$B73,Data!$C:$C,C$1)=0,"",SUMIFS(Data!$U:$U,Data!$A:$A,$B73,Data!$C:$C,C$1))</f>
        <v/>
      </c>
      <c r="D73" s="31" t="str">
        <f>IF(SUMIFS(Data!$U:$U,Data!$A:$A,$B73,Data!$C:$C,D$1)=0,"",SUMIFS(Data!$U:$U,Data!$A:$A,$B73,Data!$C:$C,D$1))</f>
        <v/>
      </c>
      <c r="E73" s="31" t="str">
        <f>IF(SUMIFS(Data!$U:$U,Data!$A:$A,$B73,Data!$C:$C,E$1)=0,"",SUMIFS(Data!$U:$U,Data!$A:$A,$B73,Data!$C:$C,E$1))</f>
        <v/>
      </c>
      <c r="F73" s="31" t="str">
        <f>IF(SUMIFS(Data!$U:$U,Data!$A:$A,$B73,Data!$C:$C,F$1)=0,"",SUMIFS(Data!$U:$U,Data!$A:$A,$B73,Data!$C:$C,F$1))</f>
        <v/>
      </c>
      <c r="G73" s="31" t="str">
        <f>IF(SUMIFS(Data!$U:$U,Data!$A:$A,$B73,Data!$C:$C,G$1)=0,"",SUMIFS(Data!$U:$U,Data!$A:$A,$B73,Data!$C:$C,G$1))</f>
        <v/>
      </c>
      <c r="H73" s="31">
        <f>IF(SUMIFS(Data!$U:$U,Data!$A:$A,$B73,Data!$C:$C,H$1)=0,"",SUMIFS(Data!$U:$U,Data!$A:$A,$B73,Data!$C:$C,H$1))</f>
        <v>2.1124999999999998</v>
      </c>
      <c r="I73" s="31">
        <f>IF(SUMIFS(Data!$U:$U,Data!$A:$A,$B73,Data!$C:$C,I$1)=0,"",SUMIFS(Data!$U:$U,Data!$A:$A,$B73,Data!$C:$C,I$1))</f>
        <v>1.0109999999999999</v>
      </c>
      <c r="J73" s="31">
        <f>IF(SUMIFS(Data!$U:$U,Data!$A:$A,$B73,Data!$C:$C,J$1)=0,"",SUMIFS(Data!$U:$U,Data!$A:$A,$B73,Data!$C:$C,J$1))</f>
        <v>3.875</v>
      </c>
      <c r="K73" s="31">
        <f>IF(SUMIFS(Data!$U:$U,Data!$A:$A,$B73,Data!$C:$C,K$1)=0,"",SUMIFS(Data!$U:$U,Data!$A:$A,$B73,Data!$C:$C,K$1))</f>
        <v>3.4624999999999999</v>
      </c>
      <c r="L73" s="31">
        <f>IF(SUMIFS(Data!$U:$U,Data!$A:$A,$B73,Data!$C:$C,L$1)=0,"",SUMIFS(Data!$U:$U,Data!$A:$A,$B73,Data!$C:$C,L$1))</f>
        <v>2.169</v>
      </c>
      <c r="M73" s="31">
        <f>IF(SUMIFS(Data!$U:$U,Data!$A:$A,$B73,Data!$C:$C,M$1)=0,"",SUMIFS(Data!$U:$U,Data!$A:$A,$B73,Data!$C:$C,M$1))</f>
        <v>3.0625</v>
      </c>
      <c r="N73" s="31">
        <f>IF(SUMIFS(Data!$U:$U,Data!$A:$A,$B73,Data!$C:$C,N$1)=0,"",SUMIFS(Data!$U:$U,Data!$A:$A,$B73,Data!$C:$C,N$1))</f>
        <v>2.1375000000000002</v>
      </c>
      <c r="O73" s="31">
        <f>IF(SUMIFS(Data!$U:$U,Data!$A:$A,$B73,Data!$C:$C,O$1)=0,"",SUMIFS(Data!$U:$U,Data!$A:$A,$B73,Data!$C:$C,O$1))</f>
        <v>3.4</v>
      </c>
      <c r="P73" s="31">
        <f>IF(SUMIFS(Data!$U:$U,Data!$A:$A,$B73,Data!$C:$C,P$1)=0,"",SUMIFS(Data!$U:$U,Data!$A:$A,$B73,Data!$C:$C,P$1))</f>
        <v>3.2124999999999999</v>
      </c>
      <c r="Q73" s="31">
        <f>IF(SUMIFS(Data!$U:$U,Data!$A:$A,$B73,Data!$C:$C,Q$1)=0,"",SUMIFS(Data!$U:$U,Data!$A:$A,$B73,Data!$C:$C,Q$1))</f>
        <v>2.9390238095238099</v>
      </c>
      <c r="R73" s="31">
        <f>VLOOKUP(W73,Barem!$W$39:$X$54,2,0)</f>
        <v>3</v>
      </c>
      <c r="S73" s="31">
        <f>SUM(C73:R73)</f>
        <v>30.381523809523809</v>
      </c>
      <c r="T73" s="31">
        <f>SUMIFS(Data!D:D,Data!A:A,'#ligaSYR'!B99)</f>
        <v>47.43</v>
      </c>
      <c r="U73" s="1" t="str">
        <f>IF(VLOOKUP(B73,Participanti!A:D,4,0)=0," ","New")</f>
        <v>New</v>
      </c>
      <c r="W73" s="116">
        <f>SUMIFS(Data!Z:Z,Data!A:A,'#ligaSYR'!B73)</f>
        <v>10</v>
      </c>
      <c r="X73" s="116" t="s">
        <v>312</v>
      </c>
      <c r="Y73" s="1" t="s">
        <v>312</v>
      </c>
      <c r="Z73" s="1" t="s">
        <v>312</v>
      </c>
      <c r="AC73" s="1" t="s">
        <v>312</v>
      </c>
      <c r="AD73" s="1" t="s">
        <v>312</v>
      </c>
      <c r="AE73" s="1" t="str">
        <f>VLOOKUP(B73,Participanti!A:B,2,0)</f>
        <v>M</v>
      </c>
      <c r="AF73" s="1" t="e">
        <f>VLOOKUP(B73,Data_Echipe!A:R,18,0)</f>
        <v>#N/A</v>
      </c>
    </row>
    <row r="74" spans="1:32" ht="13" x14ac:dyDescent="0.3">
      <c r="A74" s="79">
        <v>73</v>
      </c>
      <c r="B74" s="30" t="s">
        <v>296</v>
      </c>
      <c r="C74" s="31">
        <f>IF(SUMIFS(Data!$U:$U,Data!$A:$A,$B74,Data!$C:$C,C$1)=0,"",SUMIFS(Data!$U:$U,Data!$A:$A,$B74,Data!$C:$C,C$1))</f>
        <v>1.3264047619047621</v>
      </c>
      <c r="D74" s="31">
        <f>IF(SUMIFS(Data!$U:$U,Data!$A:$A,$B74,Data!$C:$C,D$1)=0,"",SUMIFS(Data!$U:$U,Data!$A:$A,$B74,Data!$C:$C,D$1))</f>
        <v>0.85288095238095241</v>
      </c>
      <c r="E74" s="31">
        <f>IF(SUMIFS(Data!$U:$U,Data!$A:$A,$B74,Data!$C:$C,E$1)=0,"",SUMIFS(Data!$U:$U,Data!$A:$A,$B74,Data!$C:$C,E$1))</f>
        <v>2.1508809523809522</v>
      </c>
      <c r="F74" s="31">
        <f>IF(SUMIFS(Data!$U:$U,Data!$A:$A,$B74,Data!$C:$C,F$1)=0,"",SUMIFS(Data!$U:$U,Data!$A:$A,$B74,Data!$C:$C,F$1))</f>
        <v>3.5616666666666665</v>
      </c>
      <c r="G74" s="31">
        <f>IF(SUMIFS(Data!$U:$U,Data!$A:$A,$B74,Data!$C:$C,G$1)=0,"",SUMIFS(Data!$U:$U,Data!$A:$A,$B74,Data!$C:$C,G$1))</f>
        <v>2.0576904761904764</v>
      </c>
      <c r="H74" s="31">
        <f>IF(SUMIFS(Data!$U:$U,Data!$A:$A,$B74,Data!$C:$C,H$1)=0,"",SUMIFS(Data!$U:$U,Data!$A:$A,$B74,Data!$C:$C,H$1))</f>
        <v>1.881547619047619</v>
      </c>
      <c r="I74" s="31">
        <f>IF(SUMIFS(Data!$U:$U,Data!$A:$A,$B74,Data!$C:$C,I$1)=0,"",SUMIFS(Data!$U:$U,Data!$A:$A,$B74,Data!$C:$C,I$1))</f>
        <v>1.7851904761904762</v>
      </c>
      <c r="J74" s="31">
        <f>IF(SUMIFS(Data!$U:$U,Data!$A:$A,$B74,Data!$C:$C,J$1)=0,"",SUMIFS(Data!$U:$U,Data!$A:$A,$B74,Data!$C:$C,J$1))</f>
        <v>2.2911904761904758</v>
      </c>
      <c r="K74" s="31">
        <f>IF(SUMIFS(Data!$U:$U,Data!$A:$A,$B74,Data!$C:$C,K$1)=0,"",SUMIFS(Data!$U:$U,Data!$A:$A,$B74,Data!$C:$C,K$1))</f>
        <v>2.1083333333333334</v>
      </c>
      <c r="L74" s="31">
        <f>IF(SUMIFS(Data!$U:$U,Data!$A:$A,$B74,Data!$C:$C,L$1)=0,"",SUMIFS(Data!$U:$U,Data!$A:$A,$B74,Data!$C:$C,L$1))</f>
        <v>2.5404047619047616</v>
      </c>
      <c r="M74" s="31">
        <f>IF(SUMIFS(Data!$U:$U,Data!$A:$A,$B74,Data!$C:$C,M$1)=0,"",SUMIFS(Data!$U:$U,Data!$A:$A,$B74,Data!$C:$C,M$1))</f>
        <v>1.3323809523809522</v>
      </c>
      <c r="N74" s="31">
        <f>IF(SUMIFS(Data!$U:$U,Data!$A:$A,$B74,Data!$C:$C,N$1)=0,"",SUMIFS(Data!$U:$U,Data!$A:$A,$B74,Data!$C:$C,N$1))</f>
        <v>2.8117380952380953</v>
      </c>
      <c r="O74" s="31">
        <f>IF(SUMIFS(Data!$U:$U,Data!$A:$A,$B74,Data!$C:$C,O$1)=0,"",SUMIFS(Data!$U:$U,Data!$A:$A,$B74,Data!$C:$C,O$1))</f>
        <v>1.268642857142857</v>
      </c>
      <c r="P74" s="31">
        <f>IF(SUMIFS(Data!$U:$U,Data!$A:$A,$B74,Data!$C:$C,P$1)=0,"",SUMIFS(Data!$U:$U,Data!$A:$A,$B74,Data!$C:$C,P$1))</f>
        <v>1.6083809523809525</v>
      </c>
      <c r="Q74" s="31">
        <f>IF(SUMIFS(Data!$U:$U,Data!$A:$A,$B74,Data!$C:$C,Q$1)=0,"",SUMIFS(Data!$U:$U,Data!$A:$A,$B74,Data!$C:$C,Q$1))</f>
        <v>1.544142857142857</v>
      </c>
      <c r="R74" s="31">
        <f>VLOOKUP(W74,Barem!$W$39:$X$54,2,0)</f>
        <v>1</v>
      </c>
      <c r="S74" s="31">
        <f>SUM(C74:R74)</f>
        <v>30.121476190476187</v>
      </c>
      <c r="T74" s="31">
        <f>SUMIFS(Data!D:D,Data!A:A,'#ligaSYR'!B91)</f>
        <v>64.108472222222218</v>
      </c>
      <c r="U74" s="1" t="str">
        <f>IF(VLOOKUP(B74,Participanti!A:D,4,0)=0," ","New")</f>
        <v xml:space="preserve"> </v>
      </c>
      <c r="W74" s="116">
        <f>SUMIFS(Data!Z:Z,Data!A:A,'#ligaSYR'!B74)</f>
        <v>7</v>
      </c>
      <c r="X74" s="116"/>
      <c r="AE74" s="1" t="str">
        <f>VLOOKUP(B74,Participanti!A:B,2,0)</f>
        <v>M</v>
      </c>
      <c r="AF74" s="1" t="str">
        <f>VLOOKUP(B74,Data_Echipe!A:R,18,0)</f>
        <v>MedgidiaRunning</v>
      </c>
    </row>
    <row r="75" spans="1:32" ht="13" x14ac:dyDescent="0.3">
      <c r="A75" s="79">
        <v>74</v>
      </c>
      <c r="B75" s="30" t="s">
        <v>292</v>
      </c>
      <c r="C75" s="31">
        <f>IF(SUMIFS(Data!$U:$U,Data!$A:$A,$B75,Data!$C:$C,C$1)=0,"",SUMIFS(Data!$U:$U,Data!$A:$A,$B75,Data!$C:$C,C$1))</f>
        <v>2.214</v>
      </c>
      <c r="D75" s="31">
        <f>IF(SUMIFS(Data!$U:$U,Data!$A:$A,$B75,Data!$C:$C,D$1)=0,"",SUMIFS(Data!$U:$U,Data!$A:$A,$B75,Data!$C:$C,D$1))</f>
        <v>1.110625</v>
      </c>
      <c r="E75" s="31">
        <f>IF(SUMIFS(Data!$U:$U,Data!$A:$A,$B75,Data!$C:$C,E$1)=0,"",SUMIFS(Data!$U:$U,Data!$A:$A,$B75,Data!$C:$C,E$1))</f>
        <v>1.2521249999999999</v>
      </c>
      <c r="F75" s="31">
        <f>IF(SUMIFS(Data!$U:$U,Data!$A:$A,$B75,Data!$C:$C,F$1)=0,"",SUMIFS(Data!$U:$U,Data!$A:$A,$B75,Data!$C:$C,F$1))</f>
        <v>1.7995000000000001</v>
      </c>
      <c r="G75" s="31">
        <f>IF(SUMIFS(Data!$U:$U,Data!$A:$A,$B75,Data!$C:$C,G$1)=0,"",SUMIFS(Data!$U:$U,Data!$A:$A,$B75,Data!$C:$C,G$1))</f>
        <v>1.5479166666666666</v>
      </c>
      <c r="H75" s="31">
        <f>IF(SUMIFS(Data!$U:$U,Data!$A:$A,$B75,Data!$C:$C,H$1)=0,"",SUMIFS(Data!$U:$U,Data!$A:$A,$B75,Data!$C:$C,H$1))</f>
        <v>1.6941249999999999</v>
      </c>
      <c r="I75" s="31">
        <f>IF(SUMIFS(Data!$U:$U,Data!$A:$A,$B75,Data!$C:$C,I$1)=0,"",SUMIFS(Data!$U:$U,Data!$A:$A,$B75,Data!$C:$C,I$1))</f>
        <v>1.9905833333333334</v>
      </c>
      <c r="J75" s="31">
        <f>IF(SUMIFS(Data!$U:$U,Data!$A:$A,$B75,Data!$C:$C,J$1)=0,"",SUMIFS(Data!$U:$U,Data!$A:$A,$B75,Data!$C:$C,J$1))</f>
        <v>1.4720833333333334</v>
      </c>
      <c r="K75" s="31">
        <f>IF(SUMIFS(Data!$U:$U,Data!$A:$A,$B75,Data!$C:$C,K$1)=0,"",SUMIFS(Data!$U:$U,Data!$A:$A,$B75,Data!$C:$C,K$1))</f>
        <v>2.4135</v>
      </c>
      <c r="L75" s="31">
        <f>IF(SUMIFS(Data!$U:$U,Data!$A:$A,$B75,Data!$C:$C,L$1)=0,"",SUMIFS(Data!$U:$U,Data!$A:$A,$B75,Data!$C:$C,L$1))</f>
        <v>3.2878333333333334</v>
      </c>
      <c r="M75" s="31">
        <f>IF(SUMIFS(Data!$U:$U,Data!$A:$A,$B75,Data!$C:$C,M$1)=0,"",SUMIFS(Data!$U:$U,Data!$A:$A,$B75,Data!$C:$C,M$1))</f>
        <v>1.2924166666666668</v>
      </c>
      <c r="N75" s="31">
        <f>IF(SUMIFS(Data!$U:$U,Data!$A:$A,$B75,Data!$C:$C,N$1)=0,"",SUMIFS(Data!$U:$U,Data!$A:$A,$B75,Data!$C:$C,N$1))</f>
        <v>1.4237500000000001</v>
      </c>
      <c r="O75" s="31">
        <f>IF(SUMIFS(Data!$U:$U,Data!$A:$A,$B75,Data!$C:$C,O$1)=0,"",SUMIFS(Data!$U:$U,Data!$A:$A,$B75,Data!$C:$C,O$1))</f>
        <v>3</v>
      </c>
      <c r="P75" s="31" t="str">
        <f>IF(SUMIFS(Data!$U:$U,Data!$A:$A,$B75,Data!$C:$C,P$1)=0,"",SUMIFS(Data!$U:$U,Data!$A:$A,$B75,Data!$C:$C,P$1))</f>
        <v/>
      </c>
      <c r="Q75" s="31">
        <f>IF(SUMIFS(Data!$U:$U,Data!$A:$A,$B75,Data!$C:$C,Q$1)=0,"",SUMIFS(Data!$U:$U,Data!$A:$A,$B75,Data!$C:$C,Q$1))</f>
        <v>1.9808333333333332</v>
      </c>
      <c r="R75" s="31">
        <f>VLOOKUP(W75,Barem!$W$39:$X$54,2,0)</f>
        <v>3</v>
      </c>
      <c r="S75" s="31">
        <f>SUM(C75:R75)</f>
        <v>29.479291666666665</v>
      </c>
      <c r="T75" s="31">
        <f>SUMIFS(Data!D:D,Data!A:A,'#ligaSYR'!B79)</f>
        <v>172.08</v>
      </c>
      <c r="W75" s="116">
        <f>SUMIFS(Data!Z:Z,Data!A:A,'#ligaSYR'!B75)</f>
        <v>11</v>
      </c>
      <c r="AF75" s="1" t="e">
        <f>VLOOKUP(B75,Data_Echipe!A:R,18,0)</f>
        <v>#N/A</v>
      </c>
    </row>
    <row r="76" spans="1:32" ht="13" x14ac:dyDescent="0.3">
      <c r="A76" s="79">
        <v>75</v>
      </c>
      <c r="B76" s="30" t="s">
        <v>241</v>
      </c>
      <c r="C76" s="31">
        <f>IF(SUMIFS(Data!$U:$U,Data!$A:$A,$B76,Data!$C:$C,C$1)=0,"",SUMIFS(Data!$U:$U,Data!$A:$A,$B76,Data!$C:$C,C$1))</f>
        <v>1.37625</v>
      </c>
      <c r="D76" s="31">
        <f>IF(SUMIFS(Data!$U:$U,Data!$A:$A,$B76,Data!$C:$C,D$1)=0,"",SUMIFS(Data!$U:$U,Data!$A:$A,$B76,Data!$C:$C,D$1))</f>
        <v>2.3762499999999998</v>
      </c>
      <c r="E76" s="31">
        <f>IF(SUMIFS(Data!$U:$U,Data!$A:$A,$B76,Data!$C:$C,E$1)=0,"",SUMIFS(Data!$U:$U,Data!$A:$A,$B76,Data!$C:$C,E$1))</f>
        <v>1.9228333333333334</v>
      </c>
      <c r="F76" s="31">
        <f>IF(SUMIFS(Data!$U:$U,Data!$A:$A,$B76,Data!$C:$C,F$1)=0,"",SUMIFS(Data!$U:$U,Data!$A:$A,$B76,Data!$C:$C,F$1))</f>
        <v>1.8393333333333335</v>
      </c>
      <c r="G76" s="31">
        <f>IF(SUMIFS(Data!$U:$U,Data!$A:$A,$B76,Data!$C:$C,G$1)=0,"",SUMIFS(Data!$U:$U,Data!$A:$A,$B76,Data!$C:$C,G$1))</f>
        <v>1.5</v>
      </c>
      <c r="H76" s="31">
        <f>IF(SUMIFS(Data!$U:$U,Data!$A:$A,$B76,Data!$C:$C,H$1)=0,"",SUMIFS(Data!$U:$U,Data!$A:$A,$B76,Data!$C:$C,H$1))</f>
        <v>1.3812500000000001</v>
      </c>
      <c r="I76" s="31" t="str">
        <f>IF(SUMIFS(Data!$U:$U,Data!$A:$A,$B76,Data!$C:$C,I$1)=0,"",SUMIFS(Data!$U:$U,Data!$A:$A,$B76,Data!$C:$C,I$1))</f>
        <v/>
      </c>
      <c r="J76" s="31" t="str">
        <f>IF(SUMIFS(Data!$U:$U,Data!$A:$A,$B76,Data!$C:$C,J$1)=0,"",SUMIFS(Data!$U:$U,Data!$A:$A,$B76,Data!$C:$C,J$1))</f>
        <v/>
      </c>
      <c r="K76" s="31">
        <f>IF(SUMIFS(Data!$U:$U,Data!$A:$A,$B76,Data!$C:$C,K$1)=0,"",SUMIFS(Data!$U:$U,Data!$A:$A,$B76,Data!$C:$C,K$1))</f>
        <v>2.5006249999999999</v>
      </c>
      <c r="L76" s="31">
        <f>IF(SUMIFS(Data!$U:$U,Data!$A:$A,$B76,Data!$C:$C,L$1)=0,"",SUMIFS(Data!$U:$U,Data!$A:$A,$B76,Data!$C:$C,L$1))</f>
        <v>2.3787500000000001</v>
      </c>
      <c r="M76" s="31">
        <f>IF(SUMIFS(Data!$U:$U,Data!$A:$A,$B76,Data!$C:$C,M$1)=0,"",SUMIFS(Data!$U:$U,Data!$A:$A,$B76,Data!$C:$C,M$1))</f>
        <v>1.6881249999999999</v>
      </c>
      <c r="N76" s="31">
        <f>IF(SUMIFS(Data!$U:$U,Data!$A:$A,$B76,Data!$C:$C,N$1)=0,"",SUMIFS(Data!$U:$U,Data!$A:$A,$B76,Data!$C:$C,N$1))</f>
        <v>2.09375</v>
      </c>
      <c r="O76" s="31">
        <f>IF(SUMIFS(Data!$U:$U,Data!$A:$A,$B76,Data!$C:$C,O$1)=0,"",SUMIFS(Data!$U:$U,Data!$A:$A,$B76,Data!$C:$C,O$1))</f>
        <v>2.5030833333333335</v>
      </c>
      <c r="P76" s="31">
        <f>IF(SUMIFS(Data!$U:$U,Data!$A:$A,$B76,Data!$C:$C,P$1)=0,"",SUMIFS(Data!$U:$U,Data!$A:$A,$B76,Data!$C:$C,P$1))</f>
        <v>2.71875</v>
      </c>
      <c r="Q76" s="31">
        <f>IF(SUMIFS(Data!$U:$U,Data!$A:$A,$B76,Data!$C:$C,Q$1)=0,"",SUMIFS(Data!$U:$U,Data!$A:$A,$B76,Data!$C:$C,Q$1))</f>
        <v>2.1757083333333331</v>
      </c>
      <c r="R76" s="31">
        <f>VLOOKUP(W76,Barem!$W$39:$X$54,2,0)</f>
        <v>3</v>
      </c>
      <c r="S76" s="31">
        <f>SUM(C76:R76)</f>
        <v>29.454708333333333</v>
      </c>
      <c r="T76" s="31">
        <f>SUMIFS(Data!D:D,Data!A:A,'#ligaSYR'!B70)</f>
        <v>94.56</v>
      </c>
      <c r="U76" s="1" t="str">
        <f>IF(VLOOKUP(B76,Participanti!A:D,4,0)=0," ","New")</f>
        <v xml:space="preserve"> </v>
      </c>
      <c r="W76" s="116">
        <f>SUMIFS(Data!Z:Z,Data!A:A,'#ligaSYR'!B76)</f>
        <v>11</v>
      </c>
      <c r="X76" s="116" t="s">
        <v>312</v>
      </c>
      <c r="Z76" s="1" t="s">
        <v>312</v>
      </c>
      <c r="AA76" s="1" t="s">
        <v>312</v>
      </c>
      <c r="AB76" s="1" t="s">
        <v>312</v>
      </c>
      <c r="AC76" s="1" t="s">
        <v>312</v>
      </c>
      <c r="AD76" s="1" t="s">
        <v>312</v>
      </c>
      <c r="AE76" s="1" t="str">
        <f>VLOOKUP(B76,Participanti!A:B,2,0)</f>
        <v>F</v>
      </c>
      <c r="AF76" s="1" t="str">
        <f>VLOOKUP(B76,Data_Echipe!A:R,18,0)</f>
        <v>Almost Kenyan Runners</v>
      </c>
    </row>
    <row r="77" spans="1:32" ht="13" x14ac:dyDescent="0.3">
      <c r="A77" s="79">
        <v>76</v>
      </c>
      <c r="B77" s="30" t="s">
        <v>370</v>
      </c>
      <c r="C77" s="31">
        <f>IF(SUMIFS(Data!$U:$U,Data!$A:$A,$B77,Data!$C:$C,C$1)=0,"",SUMIFS(Data!$U:$U,Data!$A:$A,$B77,Data!$C:$C,C$1))</f>
        <v>2.316875</v>
      </c>
      <c r="D77" s="31">
        <f>IF(SUMIFS(Data!$U:$U,Data!$A:$A,$B77,Data!$C:$C,D$1)=0,"",SUMIFS(Data!$U:$U,Data!$A:$A,$B77,Data!$C:$C,D$1))</f>
        <v>2.5012499999999998</v>
      </c>
      <c r="E77" s="31">
        <f>IF(SUMIFS(Data!$U:$U,Data!$A:$A,$B77,Data!$C:$C,E$1)=0,"",SUMIFS(Data!$U:$U,Data!$A:$A,$B77,Data!$C:$C,E$1))</f>
        <v>2.00875</v>
      </c>
      <c r="F77" s="31" t="str">
        <f>IF(SUMIFS(Data!$U:$U,Data!$A:$A,$B77,Data!$C:$C,F$1)=0,"",SUMIFS(Data!$U:$U,Data!$A:$A,$B77,Data!$C:$C,F$1))</f>
        <v/>
      </c>
      <c r="G77" s="31" t="str">
        <f>IF(SUMIFS(Data!$U:$U,Data!$A:$A,$B77,Data!$C:$C,G$1)=0,"",SUMIFS(Data!$U:$U,Data!$A:$A,$B77,Data!$C:$C,G$1))</f>
        <v/>
      </c>
      <c r="H77" s="31">
        <f>IF(SUMIFS(Data!$U:$U,Data!$A:$A,$B77,Data!$C:$C,H$1)=0,"",SUMIFS(Data!$U:$U,Data!$A:$A,$B77,Data!$C:$C,H$1))</f>
        <v>3.0681250000000002</v>
      </c>
      <c r="I77" s="31">
        <f>IF(SUMIFS(Data!$U:$U,Data!$A:$A,$B77,Data!$C:$C,I$1)=0,"",SUMIFS(Data!$U:$U,Data!$A:$A,$B77,Data!$C:$C,I$1))</f>
        <v>2.831</v>
      </c>
      <c r="J77" s="31">
        <f>IF(SUMIFS(Data!$U:$U,Data!$A:$A,$B77,Data!$C:$C,J$1)=0,"",SUMIFS(Data!$U:$U,Data!$A:$A,$B77,Data!$C:$C,J$1))</f>
        <v>1.5</v>
      </c>
      <c r="K77" s="31">
        <f>IF(SUMIFS(Data!$U:$U,Data!$A:$A,$B77,Data!$C:$C,K$1)=0,"",SUMIFS(Data!$U:$U,Data!$A:$A,$B77,Data!$C:$C,K$1))</f>
        <v>2.645</v>
      </c>
      <c r="L77" s="31">
        <f>IF(SUMIFS(Data!$U:$U,Data!$A:$A,$B77,Data!$C:$C,L$1)=0,"",SUMIFS(Data!$U:$U,Data!$A:$A,$B77,Data!$C:$C,L$1))</f>
        <v>2.0175000000000001</v>
      </c>
      <c r="M77" s="31">
        <f>IF(SUMIFS(Data!$U:$U,Data!$A:$A,$B77,Data!$C:$C,M$1)=0,"",SUMIFS(Data!$U:$U,Data!$A:$A,$B77,Data!$C:$C,M$1))</f>
        <v>2.0681250000000002</v>
      </c>
      <c r="N77" s="31">
        <f>IF(SUMIFS(Data!$U:$U,Data!$A:$A,$B77,Data!$C:$C,N$1)=0,"",SUMIFS(Data!$U:$U,Data!$A:$A,$B77,Data!$C:$C,N$1))</f>
        <v>2.3781249999999998</v>
      </c>
      <c r="O77" s="31">
        <f>IF(SUMIFS(Data!$U:$U,Data!$A:$A,$B77,Data!$C:$C,O$1)=0,"",SUMIFS(Data!$U:$U,Data!$A:$A,$B77,Data!$C:$C,O$1))</f>
        <v>2.4236666666666666</v>
      </c>
      <c r="P77" s="31" t="str">
        <f>IF(SUMIFS(Data!$U:$U,Data!$A:$A,$B77,Data!$C:$C,P$1)=0,"",SUMIFS(Data!$U:$U,Data!$A:$A,$B77,Data!$C:$C,P$1))</f>
        <v/>
      </c>
      <c r="Q77" s="31" t="str">
        <f>IF(SUMIFS(Data!$U:$U,Data!$A:$A,$B77,Data!$C:$C,Q$1)=0,"",SUMIFS(Data!$U:$U,Data!$A:$A,$B77,Data!$C:$C,Q$1))</f>
        <v/>
      </c>
      <c r="R77" s="31">
        <f>VLOOKUP(W77,Barem!$W$39:$X$54,2,0)</f>
        <v>3</v>
      </c>
      <c r="S77" s="31">
        <f>SUM(C77:R77)</f>
        <v>28.758416666666669</v>
      </c>
      <c r="T77" s="31">
        <f>SUMIFS(Data!D:D,Data!A:A,'#ligaSYR'!B53)</f>
        <v>146.99</v>
      </c>
      <c r="U77" s="1" t="str">
        <f>IF(VLOOKUP(B77,Participanti!A:D,4,0)=0," ","New")</f>
        <v>New</v>
      </c>
      <c r="W77" s="116">
        <f>SUMIFS(Data!Z:Z,Data!A:A,'#ligaSYR'!B77)</f>
        <v>10</v>
      </c>
      <c r="X77" s="116"/>
      <c r="AF77" s="1" t="e">
        <f>VLOOKUP(B77,Data_Echipe!A:R,18,0)</f>
        <v>#N/A</v>
      </c>
    </row>
    <row r="78" spans="1:32" ht="13" x14ac:dyDescent="0.3">
      <c r="A78" s="79">
        <v>77</v>
      </c>
      <c r="B78" s="30" t="s">
        <v>284</v>
      </c>
      <c r="C78" s="31">
        <f>IF(SUMIFS(Data!$U:$U,Data!$A:$A,$B78,Data!$C:$C,C$1)=0,"",SUMIFS(Data!$U:$U,Data!$A:$A,$B78,Data!$C:$C,C$1))</f>
        <v>3.7183333333333333</v>
      </c>
      <c r="D78" s="31">
        <f>IF(SUMIFS(Data!$U:$U,Data!$A:$A,$B78,Data!$C:$C,D$1)=0,"",SUMIFS(Data!$U:$U,Data!$A:$A,$B78,Data!$C:$C,D$1))</f>
        <v>2.9855238095238095</v>
      </c>
      <c r="E78" s="31">
        <f>IF(SUMIFS(Data!$U:$U,Data!$A:$A,$B78,Data!$C:$C,E$1)=0,"",SUMIFS(Data!$U:$U,Data!$A:$A,$B78,Data!$C:$C,E$1))</f>
        <v>3.6751904761904761</v>
      </c>
      <c r="F78" s="31">
        <f>IF(SUMIFS(Data!$U:$U,Data!$A:$A,$B78,Data!$C:$C,F$1)=0,"",SUMIFS(Data!$U:$U,Data!$A:$A,$B78,Data!$C:$C,F$1))</f>
        <v>3.1868571428571428</v>
      </c>
      <c r="G78" s="31">
        <f>IF(SUMIFS(Data!$U:$U,Data!$A:$A,$B78,Data!$C:$C,G$1)=0,"",SUMIFS(Data!$U:$U,Data!$A:$A,$B78,Data!$C:$C,G$1))</f>
        <v>1.820238095238095</v>
      </c>
      <c r="H78" s="31">
        <f>IF(SUMIFS(Data!$U:$U,Data!$A:$A,$B78,Data!$C:$C,H$1)=0,"",SUMIFS(Data!$U:$U,Data!$A:$A,$B78,Data!$C:$C,H$1))</f>
        <v>1.5</v>
      </c>
      <c r="I78" s="31">
        <f>IF(SUMIFS(Data!$U:$U,Data!$A:$A,$B78,Data!$C:$C,I$1)=0,"",SUMIFS(Data!$U:$U,Data!$A:$A,$B78,Data!$C:$C,I$1))</f>
        <v>2.1398571428571431</v>
      </c>
      <c r="J78" s="31">
        <f>IF(SUMIFS(Data!$U:$U,Data!$A:$A,$B78,Data!$C:$C,J$1)=0,"",SUMIFS(Data!$U:$U,Data!$A:$A,$B78,Data!$C:$C,J$1))</f>
        <v>3.4419285714285714</v>
      </c>
      <c r="K78" s="31">
        <f>IF(SUMIFS(Data!$U:$U,Data!$A:$A,$B78,Data!$C:$C,K$1)=0,"",SUMIFS(Data!$U:$U,Data!$A:$A,$B78,Data!$C:$C,K$1))</f>
        <v>2.2065000000000001</v>
      </c>
      <c r="L78" s="31">
        <f>IF(SUMIFS(Data!$U:$U,Data!$A:$A,$B78,Data!$C:$C,L$1)=0,"",SUMIFS(Data!$U:$U,Data!$A:$A,$B78,Data!$C:$C,L$1))</f>
        <v>1.9804761904761905</v>
      </c>
      <c r="M78" s="31" t="str">
        <f>IF(SUMIFS(Data!$U:$U,Data!$A:$A,$B78,Data!$C:$C,M$1)=0,"",SUMIFS(Data!$U:$U,Data!$A:$A,$B78,Data!$C:$C,M$1))</f>
        <v/>
      </c>
      <c r="N78" s="31" t="str">
        <f>IF(SUMIFS(Data!$U:$U,Data!$A:$A,$B78,Data!$C:$C,N$1)=0,"",SUMIFS(Data!$U:$U,Data!$A:$A,$B78,Data!$C:$C,N$1))</f>
        <v/>
      </c>
      <c r="O78" s="31">
        <f>IF(SUMIFS(Data!$U:$U,Data!$A:$A,$B78,Data!$C:$C,O$1)=0,"",SUMIFS(Data!$U:$U,Data!$A:$A,$B78,Data!$C:$C,O$1))</f>
        <v>0.3125</v>
      </c>
      <c r="P78" s="31" t="str">
        <f>IF(SUMIFS(Data!$U:$U,Data!$A:$A,$B78,Data!$C:$C,P$1)=0,"",SUMIFS(Data!$U:$U,Data!$A:$A,$B78,Data!$C:$C,P$1))</f>
        <v/>
      </c>
      <c r="Q78" s="31" t="str">
        <f>IF(SUMIFS(Data!$U:$U,Data!$A:$A,$B78,Data!$C:$C,Q$1)=0,"",SUMIFS(Data!$U:$U,Data!$A:$A,$B78,Data!$C:$C,Q$1))</f>
        <v/>
      </c>
      <c r="R78" s="31">
        <f>VLOOKUP(W78,Barem!$W$39:$X$54,2,0)</f>
        <v>1</v>
      </c>
      <c r="S78" s="31">
        <f>SUM(C78:R78)</f>
        <v>27.96740476190476</v>
      </c>
      <c r="T78" s="31">
        <f>SUMIFS(Data!D:D,Data!A:A,'#ligaSYR'!B25)</f>
        <v>254.25</v>
      </c>
      <c r="U78" s="1" t="str">
        <f>IF(VLOOKUP(B78,Participanti!A:D,4,0)=0," ","New")</f>
        <v xml:space="preserve"> </v>
      </c>
      <c r="W78" s="116">
        <f>SUMIFS(Data!Z:Z,Data!A:A,'#ligaSYR'!B78)</f>
        <v>7</v>
      </c>
      <c r="X78" s="116"/>
      <c r="AE78" s="1" t="str">
        <f>VLOOKUP(B78,Participanti!A:B,2,0)</f>
        <v>M</v>
      </c>
      <c r="AF78" s="1" t="str">
        <f>VLOOKUP(B78,Data_Echipe!A:R,18,0)</f>
        <v>The GOATs</v>
      </c>
    </row>
    <row r="79" spans="1:32" ht="13" x14ac:dyDescent="0.3">
      <c r="A79" s="79">
        <v>78</v>
      </c>
      <c r="B79" s="30" t="s">
        <v>362</v>
      </c>
      <c r="C79" s="31">
        <f>IF(SUMIFS(Data!$U:$U,Data!$A:$A,$B79,Data!$C:$C,C$1)=0,"",SUMIFS(Data!$U:$U,Data!$A:$A,$B79,Data!$C:$C,C$1))</f>
        <v>4.8125</v>
      </c>
      <c r="D79" s="31">
        <f>IF(SUMIFS(Data!$U:$U,Data!$A:$A,$B79,Data!$C:$C,D$1)=0,"",SUMIFS(Data!$U:$U,Data!$A:$A,$B79,Data!$C:$C,D$1))</f>
        <v>3.8547857142857143</v>
      </c>
      <c r="E79" s="31" t="str">
        <f>IF(SUMIFS(Data!$U:$U,Data!$A:$A,$B79,Data!$C:$C,E$1)=0,"",SUMIFS(Data!$U:$U,Data!$A:$A,$B79,Data!$C:$C,E$1))</f>
        <v/>
      </c>
      <c r="F79" s="31">
        <f>IF(SUMIFS(Data!$U:$U,Data!$A:$A,$B79,Data!$C:$C,F$1)=0,"",SUMIFS(Data!$U:$U,Data!$A:$A,$B79,Data!$C:$C,F$1))</f>
        <v>3.6814999999999998</v>
      </c>
      <c r="G79" s="31">
        <f>IF(SUMIFS(Data!$U:$U,Data!$A:$A,$B79,Data!$C:$C,G$1)=0,"",SUMIFS(Data!$U:$U,Data!$A:$A,$B79,Data!$C:$C,G$1))</f>
        <v>5.9271666666666665</v>
      </c>
      <c r="H79" s="31">
        <f>IF(SUMIFS(Data!$U:$U,Data!$A:$A,$B79,Data!$C:$C,H$1)=0,"",SUMIFS(Data!$U:$U,Data!$A:$A,$B79,Data!$C:$C,H$1))</f>
        <v>1.9363095238095238</v>
      </c>
      <c r="I79" s="31">
        <f>IF(SUMIFS(Data!$U:$U,Data!$A:$A,$B79,Data!$C:$C,I$1)=0,"",SUMIFS(Data!$U:$U,Data!$A:$A,$B79,Data!$C:$C,I$1))</f>
        <v>2.116047619047619</v>
      </c>
      <c r="J79" s="31">
        <f>IF(SUMIFS(Data!$U:$U,Data!$A:$A,$B79,Data!$C:$C,J$1)=0,"",SUMIFS(Data!$U:$U,Data!$A:$A,$B79,Data!$C:$C,J$1))</f>
        <v>3.9697380952380952</v>
      </c>
      <c r="K79" s="31">
        <f>IF(SUMIFS(Data!$U:$U,Data!$A:$A,$B79,Data!$C:$C,K$1)=0,"",SUMIFS(Data!$U:$U,Data!$A:$A,$B79,Data!$C:$C,K$1))</f>
        <v>1.5446428571428572</v>
      </c>
      <c r="L79" s="31" t="str">
        <f>IF(SUMIFS(Data!$U:$U,Data!$A:$A,$B79,Data!$C:$C,L$1)=0,"",SUMIFS(Data!$U:$U,Data!$A:$A,$B79,Data!$C:$C,L$1))</f>
        <v/>
      </c>
      <c r="M79" s="31" t="str">
        <f>IF(SUMIFS(Data!$U:$U,Data!$A:$A,$B79,Data!$C:$C,M$1)=0,"",SUMIFS(Data!$U:$U,Data!$A:$A,$B79,Data!$C:$C,M$1))</f>
        <v/>
      </c>
      <c r="N79" s="31" t="str">
        <f>IF(SUMIFS(Data!$U:$U,Data!$A:$A,$B79,Data!$C:$C,N$1)=0,"",SUMIFS(Data!$U:$U,Data!$A:$A,$B79,Data!$C:$C,N$1))</f>
        <v/>
      </c>
      <c r="O79" s="31" t="str">
        <f>IF(SUMIFS(Data!$U:$U,Data!$A:$A,$B79,Data!$C:$C,O$1)=0,"",SUMIFS(Data!$U:$U,Data!$A:$A,$B79,Data!$C:$C,O$1))</f>
        <v/>
      </c>
      <c r="P79" s="31" t="str">
        <f>IF(SUMIFS(Data!$U:$U,Data!$A:$A,$B79,Data!$C:$C,P$1)=0,"",SUMIFS(Data!$U:$U,Data!$A:$A,$B79,Data!$C:$C,P$1))</f>
        <v/>
      </c>
      <c r="Q79" s="31" t="str">
        <f>IF(SUMIFS(Data!$U:$U,Data!$A:$A,$B79,Data!$C:$C,Q$1)=0,"",SUMIFS(Data!$U:$U,Data!$A:$A,$B79,Data!$C:$C,Q$1))</f>
        <v/>
      </c>
      <c r="R79" s="31">
        <f>VLOOKUP(W79,Barem!$W$39:$X$54,2,0)</f>
        <v>0</v>
      </c>
      <c r="S79" s="31">
        <f>SUM(C79:R79)</f>
        <v>27.84269047619048</v>
      </c>
      <c r="T79" s="31">
        <f>SUMIFS(Data!D:D,Data!A:A,'#ligaSYR'!B12)</f>
        <v>372.91</v>
      </c>
      <c r="U79" s="1" t="str">
        <f>IF(VLOOKUP(B79,Participanti!A:D,4,0)=0," ","New")</f>
        <v>New</v>
      </c>
      <c r="W79" s="116">
        <f>SUMIFS(Data!Z:Z,Data!A:A,'#ligaSYR'!B79)</f>
        <v>5</v>
      </c>
      <c r="X79" s="116"/>
      <c r="AE79" s="1" t="str">
        <f>VLOOKUP(B79,Participanti!A:B,2,0)</f>
        <v>M</v>
      </c>
      <c r="AF79" s="1" t="e">
        <f>VLOOKUP(B79,Data_Echipe!A:R,18,0)</f>
        <v>#N/A</v>
      </c>
    </row>
    <row r="80" spans="1:32" ht="13" x14ac:dyDescent="0.3">
      <c r="A80" s="79">
        <v>79</v>
      </c>
      <c r="B80" s="30" t="s">
        <v>396</v>
      </c>
      <c r="C80" s="31" t="str">
        <f>IF(SUMIFS(Data!$U:$U,Data!$A:$A,$B80,Data!$C:$C,C$1)=0,"",SUMIFS(Data!$U:$U,Data!$A:$A,$B80,Data!$C:$C,C$1))</f>
        <v/>
      </c>
      <c r="D80" s="31" t="str">
        <f>IF(SUMIFS(Data!$U:$U,Data!$A:$A,$B80,Data!$C:$C,D$1)=0,"",SUMIFS(Data!$U:$U,Data!$A:$A,$B80,Data!$C:$C,D$1))</f>
        <v/>
      </c>
      <c r="E80" s="31" t="str">
        <f>IF(SUMIFS(Data!$U:$U,Data!$A:$A,$B80,Data!$C:$C,E$1)=0,"",SUMIFS(Data!$U:$U,Data!$A:$A,$B80,Data!$C:$C,E$1))</f>
        <v/>
      </c>
      <c r="F80" s="31">
        <f>IF(SUMIFS(Data!$U:$U,Data!$A:$A,$B80,Data!$C:$C,F$1)=0,"",SUMIFS(Data!$U:$U,Data!$A:$A,$B80,Data!$C:$C,F$1))</f>
        <v>3.1894166666666668</v>
      </c>
      <c r="G80" s="31">
        <f>IF(SUMIFS(Data!$U:$U,Data!$A:$A,$B80,Data!$C:$C,G$1)=0,"",SUMIFS(Data!$U:$U,Data!$A:$A,$B80,Data!$C:$C,G$1))</f>
        <v>2.1654999999999998</v>
      </c>
      <c r="H80" s="31">
        <f>IF(SUMIFS(Data!$U:$U,Data!$A:$A,$B80,Data!$C:$C,H$1)=0,"",SUMIFS(Data!$U:$U,Data!$A:$A,$B80,Data!$C:$C,H$1))</f>
        <v>2.7687499999999998</v>
      </c>
      <c r="I80" s="31">
        <f>IF(SUMIFS(Data!$U:$U,Data!$A:$A,$B80,Data!$C:$C,I$1)=0,"",SUMIFS(Data!$U:$U,Data!$A:$A,$B80,Data!$C:$C,I$1))</f>
        <v>2.875</v>
      </c>
      <c r="J80" s="31">
        <f>IF(SUMIFS(Data!$U:$U,Data!$A:$A,$B80,Data!$C:$C,J$1)=0,"",SUMIFS(Data!$U:$U,Data!$A:$A,$B80,Data!$C:$C,J$1))</f>
        <v>1.5075000000000001</v>
      </c>
      <c r="K80" s="31">
        <f>IF(SUMIFS(Data!$U:$U,Data!$A:$A,$B80,Data!$C:$C,K$1)=0,"",SUMIFS(Data!$U:$U,Data!$A:$A,$B80,Data!$C:$C,K$1))</f>
        <v>2.3962500000000002</v>
      </c>
      <c r="L80" s="31">
        <f>IF(SUMIFS(Data!$U:$U,Data!$A:$A,$B80,Data!$C:$C,L$1)=0,"",SUMIFS(Data!$U:$U,Data!$A:$A,$B80,Data!$C:$C,L$1))</f>
        <v>1.2631250000000001</v>
      </c>
      <c r="M80" s="31">
        <f>IF(SUMIFS(Data!$U:$U,Data!$A:$A,$B80,Data!$C:$C,M$1)=0,"",SUMIFS(Data!$U:$U,Data!$A:$A,$B80,Data!$C:$C,M$1))</f>
        <v>1.5925</v>
      </c>
      <c r="N80" s="31">
        <f>IF(SUMIFS(Data!$U:$U,Data!$A:$A,$B80,Data!$C:$C,N$1)=0,"",SUMIFS(Data!$U:$U,Data!$A:$A,$B80,Data!$C:$C,N$1))</f>
        <v>2.140625</v>
      </c>
      <c r="O80" s="31" t="str">
        <f>IF(SUMIFS(Data!$U:$U,Data!$A:$A,$B80,Data!$C:$C,O$1)=0,"",SUMIFS(Data!$U:$U,Data!$A:$A,$B80,Data!$C:$C,O$1))</f>
        <v/>
      </c>
      <c r="P80" s="31">
        <f>IF(SUMIFS(Data!$U:$U,Data!$A:$A,$B80,Data!$C:$C,P$1)=0,"",SUMIFS(Data!$U:$U,Data!$A:$A,$B80,Data!$C:$C,P$1))</f>
        <v>2.0912500000000001</v>
      </c>
      <c r="Q80" s="31">
        <f>IF(SUMIFS(Data!$U:$U,Data!$A:$A,$B80,Data!$C:$C,Q$1)=0,"",SUMIFS(Data!$U:$U,Data!$A:$A,$B80,Data!$C:$C,Q$1))</f>
        <v>1.6825000000000001</v>
      </c>
      <c r="R80" s="31">
        <f>VLOOKUP(W80,Barem!$W$39:$X$54,2,0)</f>
        <v>3</v>
      </c>
      <c r="S80" s="31">
        <f>SUM(C80:R80)</f>
        <v>26.672416666666667</v>
      </c>
      <c r="T80" s="31">
        <f>SUMIFS(Data!D:D,Data!A:A,'#ligaSYR'!B99)</f>
        <v>47.43</v>
      </c>
      <c r="U80" s="1" t="str">
        <f>IF(VLOOKUP(B80,Participanti!A:D,4,0)=0," ","New")</f>
        <v>New</v>
      </c>
      <c r="W80" s="116">
        <f>SUMIFS(Data!Z:Z,Data!A:A,'#ligaSYR'!B80)</f>
        <v>11</v>
      </c>
      <c r="X80" s="116"/>
      <c r="AF80" s="1" t="str">
        <f>VLOOKUP(B80,Data_Echipe!A:R,18,0)</f>
        <v>MedgidiaRunning</v>
      </c>
    </row>
    <row r="81" spans="1:32" ht="13" x14ac:dyDescent="0.3">
      <c r="A81" s="79">
        <v>80</v>
      </c>
      <c r="B81" s="30" t="s">
        <v>226</v>
      </c>
      <c r="C81" s="31" t="str">
        <f>IF(SUMIFS(Data!$U:$U,Data!$A:$A,$B81,Data!$C:$C,C$1)=0,"",SUMIFS(Data!$U:$U,Data!$A:$A,$B81,Data!$C:$C,C$1))</f>
        <v/>
      </c>
      <c r="D81" s="31" t="str">
        <f>IF(SUMIFS(Data!$U:$U,Data!$A:$A,$B81,Data!$C:$C,D$1)=0,"",SUMIFS(Data!$U:$U,Data!$A:$A,$B81,Data!$C:$C,D$1))</f>
        <v/>
      </c>
      <c r="E81" s="31">
        <f>IF(SUMIFS(Data!$U:$U,Data!$A:$A,$B81,Data!$C:$C,E$1)=0,"",SUMIFS(Data!$U:$U,Data!$A:$A,$B81,Data!$C:$C,E$1))</f>
        <v>1.5464285714285715</v>
      </c>
      <c r="F81" s="31">
        <f>IF(SUMIFS(Data!$U:$U,Data!$A:$A,$B81,Data!$C:$C,F$1)=0,"",SUMIFS(Data!$U:$U,Data!$A:$A,$B81,Data!$C:$C,F$1))</f>
        <v>1.6083333333333334</v>
      </c>
      <c r="G81" s="31">
        <f>IF(SUMIFS(Data!$U:$U,Data!$A:$A,$B81,Data!$C:$C,G$1)=0,"",SUMIFS(Data!$U:$U,Data!$A:$A,$B81,Data!$C:$C,G$1))</f>
        <v>1.7660714285714285</v>
      </c>
      <c r="H81" s="31">
        <f>IF(SUMIFS(Data!$U:$U,Data!$A:$A,$B81,Data!$C:$C,H$1)=0,"",SUMIFS(Data!$U:$U,Data!$A:$A,$B81,Data!$C:$C,H$1))</f>
        <v>2.0107142857142857</v>
      </c>
      <c r="I81" s="31">
        <f>IF(SUMIFS(Data!$U:$U,Data!$A:$A,$B81,Data!$C:$C,I$1)=0,"",SUMIFS(Data!$U:$U,Data!$A:$A,$B81,Data!$C:$C,I$1))</f>
        <v>2.8190476190476188</v>
      </c>
      <c r="J81" s="31">
        <f>IF(SUMIFS(Data!$U:$U,Data!$A:$A,$B81,Data!$C:$C,J$1)=0,"",SUMIFS(Data!$U:$U,Data!$A:$A,$B81,Data!$C:$C,J$1))</f>
        <v>2.8053571428571429</v>
      </c>
      <c r="K81" s="31">
        <f>IF(SUMIFS(Data!$U:$U,Data!$A:$A,$B81,Data!$C:$C,K$1)=0,"",SUMIFS(Data!$U:$U,Data!$A:$A,$B81,Data!$C:$C,K$1))</f>
        <v>2.2250000000000001</v>
      </c>
      <c r="L81" s="31">
        <f>IF(SUMIFS(Data!$U:$U,Data!$A:$A,$B81,Data!$C:$C,L$1)=0,"",SUMIFS(Data!$U:$U,Data!$A:$A,$B81,Data!$C:$C,L$1))</f>
        <v>3.4125000000000001</v>
      </c>
      <c r="M81" s="31">
        <f>IF(SUMIFS(Data!$U:$U,Data!$A:$A,$B81,Data!$C:$C,M$1)=0,"",SUMIFS(Data!$U:$U,Data!$A:$A,$B81,Data!$C:$C,M$1))</f>
        <v>1.5</v>
      </c>
      <c r="N81" s="31" t="str">
        <f>IF(SUMIFS(Data!$U:$U,Data!$A:$A,$B81,Data!$C:$C,N$1)=0,"",SUMIFS(Data!$U:$U,Data!$A:$A,$B81,Data!$C:$C,N$1))</f>
        <v/>
      </c>
      <c r="O81" s="31">
        <f>IF(SUMIFS(Data!$U:$U,Data!$A:$A,$B81,Data!$C:$C,O$1)=0,"",SUMIFS(Data!$U:$U,Data!$A:$A,$B81,Data!$C:$C,O$1))</f>
        <v>2.5017857142857141</v>
      </c>
      <c r="P81" s="31" t="str">
        <f>IF(SUMIFS(Data!$U:$U,Data!$A:$A,$B81,Data!$C:$C,P$1)=0,"",SUMIFS(Data!$U:$U,Data!$A:$A,$B81,Data!$C:$C,P$1))</f>
        <v/>
      </c>
      <c r="Q81" s="31">
        <f>IF(SUMIFS(Data!$U:$U,Data!$A:$A,$B81,Data!$C:$C,Q$1)=0,"",SUMIFS(Data!$U:$U,Data!$A:$A,$B81,Data!$C:$C,Q$1))</f>
        <v>0.95178571428571423</v>
      </c>
      <c r="R81" s="31">
        <f>VLOOKUP(W81,Barem!$W$39:$X$54,2,0)</f>
        <v>2</v>
      </c>
      <c r="S81" s="31">
        <f>SUM(C81:R81)</f>
        <v>25.147023809523809</v>
      </c>
      <c r="T81" s="31">
        <f>SUMIFS(Data!D:D,Data!A:A,'#ligaSYR'!B99)</f>
        <v>47.43</v>
      </c>
      <c r="U81" s="1" t="str">
        <f>IF(VLOOKUP(B81,Participanti!A:D,4,0)=0," ","New")</f>
        <v xml:space="preserve"> </v>
      </c>
      <c r="W81" s="116">
        <f>SUMIFS(Data!Z:Z,Data!A:A,'#ligaSYR'!B81)</f>
        <v>9</v>
      </c>
      <c r="X81" s="116" t="s">
        <v>312</v>
      </c>
      <c r="Y81" s="1" t="s">
        <v>312</v>
      </c>
      <c r="Z81" s="1" t="s">
        <v>312</v>
      </c>
      <c r="AC81" s="1" t="s">
        <v>312</v>
      </c>
      <c r="AD81" s="1" t="s">
        <v>312</v>
      </c>
      <c r="AE81" s="1" t="str">
        <f>VLOOKUP(B81,Participanti!A:B,2,0)</f>
        <v>M</v>
      </c>
      <c r="AF81" s="1" t="e">
        <f>VLOOKUP(B81,Data_Echipe!A:R,18,0)</f>
        <v>#N/A</v>
      </c>
    </row>
    <row r="82" spans="1:32" ht="13" x14ac:dyDescent="0.3">
      <c r="A82" s="79">
        <v>81</v>
      </c>
      <c r="B82" s="30" t="s">
        <v>390</v>
      </c>
      <c r="C82" s="31" t="str">
        <f>IF(SUMIFS(Data!$U:$U,Data!$A:$A,$B82,Data!$C:$C,C$1)=0,"",SUMIFS(Data!$U:$U,Data!$A:$A,$B82,Data!$C:$C,C$1))</f>
        <v/>
      </c>
      <c r="D82" s="31" t="str">
        <f>IF(SUMIFS(Data!$U:$U,Data!$A:$A,$B82,Data!$C:$C,D$1)=0,"",SUMIFS(Data!$U:$U,Data!$A:$A,$B82,Data!$C:$C,D$1))</f>
        <v/>
      </c>
      <c r="E82" s="31">
        <f>IF(SUMIFS(Data!$U:$U,Data!$A:$A,$B82,Data!$C:$C,E$1)=0,"",SUMIFS(Data!$U:$U,Data!$A:$A,$B82,Data!$C:$C,E$1))</f>
        <v>2.6398333333333333</v>
      </c>
      <c r="F82" s="31">
        <f>IF(SUMIFS(Data!$U:$U,Data!$A:$A,$B82,Data!$C:$C,F$1)=0,"",SUMIFS(Data!$U:$U,Data!$A:$A,$B82,Data!$C:$C,F$1))</f>
        <v>2.30125</v>
      </c>
      <c r="G82" s="31">
        <f>IF(SUMIFS(Data!$U:$U,Data!$A:$A,$B82,Data!$C:$C,G$1)=0,"",SUMIFS(Data!$U:$U,Data!$A:$A,$B82,Data!$C:$C,G$1))</f>
        <v>2.5887500000000001</v>
      </c>
      <c r="H82" s="31" t="str">
        <f>IF(SUMIFS(Data!$U:$U,Data!$A:$A,$B82,Data!$C:$C,H$1)=0,"",SUMIFS(Data!$U:$U,Data!$A:$A,$B82,Data!$C:$C,H$1))</f>
        <v/>
      </c>
      <c r="I82" s="31">
        <f>IF(SUMIFS(Data!$U:$U,Data!$A:$A,$B82,Data!$C:$C,I$1)=0,"",SUMIFS(Data!$U:$U,Data!$A:$A,$B82,Data!$C:$C,I$1))</f>
        <v>2.3712499999999999</v>
      </c>
      <c r="J82" s="31">
        <f>IF(SUMIFS(Data!$U:$U,Data!$A:$A,$B82,Data!$C:$C,J$1)=0,"",SUMIFS(Data!$U:$U,Data!$A:$A,$B82,Data!$C:$C,J$1))</f>
        <v>2.53125</v>
      </c>
      <c r="K82" s="31" t="str">
        <f>IF(SUMIFS(Data!$U:$U,Data!$A:$A,$B82,Data!$C:$C,K$1)=0,"",SUMIFS(Data!$U:$U,Data!$A:$A,$B82,Data!$C:$C,K$1))</f>
        <v/>
      </c>
      <c r="L82" s="31" t="str">
        <f>IF(SUMIFS(Data!$U:$U,Data!$A:$A,$B82,Data!$C:$C,L$1)=0,"",SUMIFS(Data!$U:$U,Data!$A:$A,$B82,Data!$C:$C,L$1))</f>
        <v/>
      </c>
      <c r="M82" s="31">
        <f>IF(SUMIFS(Data!$U:$U,Data!$A:$A,$B82,Data!$C:$C,M$1)=0,"",SUMIFS(Data!$U:$U,Data!$A:$A,$B82,Data!$C:$C,M$1))</f>
        <v>2.4656250000000002</v>
      </c>
      <c r="N82" s="31" t="str">
        <f>IF(SUMIFS(Data!$U:$U,Data!$A:$A,$B82,Data!$C:$C,N$1)=0,"",SUMIFS(Data!$U:$U,Data!$A:$A,$B82,Data!$C:$C,N$1))</f>
        <v/>
      </c>
      <c r="O82" s="31">
        <f>IF(SUMIFS(Data!$U:$U,Data!$A:$A,$B82,Data!$C:$C,O$1)=0,"",SUMIFS(Data!$U:$U,Data!$A:$A,$B82,Data!$C:$C,O$1))</f>
        <v>2.9525833333333331</v>
      </c>
      <c r="P82" s="31">
        <f>IF(SUMIFS(Data!$U:$U,Data!$A:$A,$B82,Data!$C:$C,P$1)=0,"",SUMIFS(Data!$U:$U,Data!$A:$A,$B82,Data!$C:$C,P$1))</f>
        <v>3.1389166666666664</v>
      </c>
      <c r="Q82" s="31">
        <f>IF(SUMIFS(Data!$U:$U,Data!$A:$A,$B82,Data!$C:$C,Q$1)=0,"",SUMIFS(Data!$U:$U,Data!$A:$A,$B82,Data!$C:$C,Q$1))</f>
        <v>2.40625</v>
      </c>
      <c r="R82" s="31">
        <f>VLOOKUP(W82,Barem!$W$39:$X$54,2,0)</f>
        <v>1</v>
      </c>
      <c r="S82" s="31">
        <f>SUM(C82:R82)</f>
        <v>24.395708333333332</v>
      </c>
      <c r="T82" s="31">
        <f>SUMIFS(Data!D:D,Data!A:A,'#ligaSYR'!B102)</f>
        <v>40.769999999999996</v>
      </c>
      <c r="U82" s="1" t="str">
        <f>IF(VLOOKUP(B82,Participanti!A:D,4,0)=0," ","New")</f>
        <v>New</v>
      </c>
      <c r="W82" s="116">
        <f>SUMIFS(Data!Z:Z,Data!A:A,'#ligaSYR'!B82)</f>
        <v>7</v>
      </c>
      <c r="X82" s="116" t="s">
        <v>312</v>
      </c>
      <c r="AC82" s="1" t="s">
        <v>312</v>
      </c>
      <c r="AD82" s="1" t="s">
        <v>312</v>
      </c>
      <c r="AE82" s="1" t="str">
        <f>VLOOKUP(B82,Participanti!A:B,2,0)</f>
        <v>F</v>
      </c>
      <c r="AF82" s="1" t="str">
        <f>VLOOKUP(B82,Data_Echipe!A:R,18,0)</f>
        <v>#notSYRious</v>
      </c>
    </row>
    <row r="83" spans="1:32" ht="13" x14ac:dyDescent="0.3">
      <c r="A83" s="79">
        <v>82</v>
      </c>
      <c r="B83" s="30" t="s">
        <v>354</v>
      </c>
      <c r="C83" s="31">
        <f>IF(SUMIFS(Data!$U:$U,Data!$A:$A,$B83,Data!$C:$C,C$1)=0,"",SUMIFS(Data!$U:$U,Data!$A:$A,$B83,Data!$C:$C,C$1))</f>
        <v>2.6496666666666666</v>
      </c>
      <c r="D83" s="31">
        <f>IF(SUMIFS(Data!$U:$U,Data!$A:$A,$B83,Data!$C:$C,D$1)=0,"",SUMIFS(Data!$U:$U,Data!$A:$A,$B83,Data!$C:$C,D$1))</f>
        <v>1.5526666666666666</v>
      </c>
      <c r="E83" s="31">
        <f>IF(SUMIFS(Data!$U:$U,Data!$A:$A,$B83,Data!$C:$C,E$1)=0,"",SUMIFS(Data!$U:$U,Data!$A:$A,$B83,Data!$C:$C,E$1))</f>
        <v>2.2125714285714286</v>
      </c>
      <c r="F83" s="31">
        <f>IF(SUMIFS(Data!$U:$U,Data!$A:$A,$B83,Data!$C:$C,F$1)=0,"",SUMIFS(Data!$U:$U,Data!$A:$A,$B83,Data!$C:$C,F$1))</f>
        <v>1.0964285714285715</v>
      </c>
      <c r="G83" s="31">
        <f>IF(SUMIFS(Data!$U:$U,Data!$A:$A,$B83,Data!$C:$C,G$1)=0,"",SUMIFS(Data!$U:$U,Data!$A:$A,$B83,Data!$C:$C,G$1))</f>
        <v>1.561595238095238</v>
      </c>
      <c r="H83" s="31">
        <f>IF(SUMIFS(Data!$U:$U,Data!$A:$A,$B83,Data!$C:$C,H$1)=0,"",SUMIFS(Data!$U:$U,Data!$A:$A,$B83,Data!$C:$C,H$1))</f>
        <v>2.0072142857142858</v>
      </c>
      <c r="I83" s="31">
        <f>IF(SUMIFS(Data!$U:$U,Data!$A:$A,$B83,Data!$C:$C,I$1)=0,"",SUMIFS(Data!$U:$U,Data!$A:$A,$B83,Data!$C:$C,I$1))</f>
        <v>2.9125952380952378</v>
      </c>
      <c r="J83" s="31">
        <f>IF(SUMIFS(Data!$U:$U,Data!$A:$A,$B83,Data!$C:$C,J$1)=0,"",SUMIFS(Data!$U:$U,Data!$A:$A,$B83,Data!$C:$C,J$1))</f>
        <v>1.8976190476190475</v>
      </c>
      <c r="K83" s="31">
        <f>IF(SUMIFS(Data!$U:$U,Data!$A:$A,$B83,Data!$C:$C,K$1)=0,"",SUMIFS(Data!$U:$U,Data!$A:$A,$B83,Data!$C:$C,K$1))</f>
        <v>2.7251666666666665</v>
      </c>
      <c r="L83" s="31" t="str">
        <f>IF(SUMIFS(Data!$U:$U,Data!$A:$A,$B83,Data!$C:$C,L$1)=0,"",SUMIFS(Data!$U:$U,Data!$A:$A,$B83,Data!$C:$C,L$1))</f>
        <v/>
      </c>
      <c r="M83" s="31">
        <f>IF(SUMIFS(Data!$U:$U,Data!$A:$A,$B83,Data!$C:$C,M$1)=0,"",SUMIFS(Data!$U:$U,Data!$A:$A,$B83,Data!$C:$C,M$1))</f>
        <v>2.0694285714285714</v>
      </c>
      <c r="N83" s="31">
        <f>IF(SUMIFS(Data!$U:$U,Data!$A:$A,$B83,Data!$C:$C,N$1)=0,"",SUMIFS(Data!$U:$U,Data!$A:$A,$B83,Data!$C:$C,N$1))</f>
        <v>1.0997857142857144</v>
      </c>
      <c r="O83" s="31" t="str">
        <f>IF(SUMIFS(Data!$U:$U,Data!$A:$A,$B83,Data!$C:$C,O$1)=0,"",SUMIFS(Data!$U:$U,Data!$A:$A,$B83,Data!$C:$C,O$1))</f>
        <v/>
      </c>
      <c r="P83" s="31" t="str">
        <f>IF(SUMIFS(Data!$U:$U,Data!$A:$A,$B83,Data!$C:$C,P$1)=0,"",SUMIFS(Data!$U:$U,Data!$A:$A,$B83,Data!$C:$C,P$1))</f>
        <v/>
      </c>
      <c r="Q83" s="31" t="str">
        <f>IF(SUMIFS(Data!$U:$U,Data!$A:$A,$B83,Data!$C:$C,Q$1)=0,"",SUMIFS(Data!$U:$U,Data!$A:$A,$B83,Data!$C:$C,Q$1))</f>
        <v/>
      </c>
      <c r="R83" s="31">
        <f>VLOOKUP(W83,Barem!$W$39:$X$54,2,0)</f>
        <v>2</v>
      </c>
      <c r="S83" s="31">
        <f>SUM(C83:R83)</f>
        <v>23.784738095238094</v>
      </c>
      <c r="T83" s="31">
        <f>SUMIFS(Data!D:D,Data!A:A,'#ligaSYR'!B65)</f>
        <v>124.5</v>
      </c>
      <c r="U83" s="1" t="str">
        <f>IF(VLOOKUP(B83,Participanti!A:D,4,0)=0," ","New")</f>
        <v>New</v>
      </c>
      <c r="W83" s="116">
        <f>SUMIFS(Data!Z:Z,Data!A:A,'#ligaSYR'!B83)</f>
        <v>8</v>
      </c>
      <c r="X83" s="116" t="s">
        <v>312</v>
      </c>
      <c r="Y83" s="1" t="s">
        <v>312</v>
      </c>
      <c r="Z83" s="1" t="s">
        <v>312</v>
      </c>
      <c r="AC83" s="1" t="s">
        <v>312</v>
      </c>
      <c r="AD83" s="1" t="s">
        <v>312</v>
      </c>
      <c r="AE83" s="1" t="str">
        <f>VLOOKUP(B83,Participanti!A:B,2,0)</f>
        <v>M</v>
      </c>
      <c r="AF83" s="1" t="e">
        <f>VLOOKUP(B83,Data_Echipe!A:R,18,0)</f>
        <v>#N/A</v>
      </c>
    </row>
    <row r="84" spans="1:32" ht="13" x14ac:dyDescent="0.3">
      <c r="A84" s="79">
        <v>83</v>
      </c>
      <c r="B84" s="30" t="s">
        <v>406</v>
      </c>
      <c r="C84" s="31" t="str">
        <f>IF(SUMIFS(Data!$U:$U,Data!$A:$A,$B84,Data!$C:$C,C$1)=0,"",SUMIFS(Data!$U:$U,Data!$A:$A,$B84,Data!$C:$C,C$1))</f>
        <v/>
      </c>
      <c r="D84" s="31" t="str">
        <f>IF(SUMIFS(Data!$U:$U,Data!$A:$A,$B84,Data!$C:$C,D$1)=0,"",SUMIFS(Data!$U:$U,Data!$A:$A,$B84,Data!$C:$C,D$1))</f>
        <v/>
      </c>
      <c r="E84" s="31" t="str">
        <f>IF(SUMIFS(Data!$U:$U,Data!$A:$A,$B84,Data!$C:$C,E$1)=0,"",SUMIFS(Data!$U:$U,Data!$A:$A,$B84,Data!$C:$C,E$1))</f>
        <v/>
      </c>
      <c r="F84" s="31">
        <f>IF(SUMIFS(Data!$U:$U,Data!$A:$A,$B84,Data!$C:$C,F$1)=0,"",SUMIFS(Data!$U:$U,Data!$A:$A,$B84,Data!$C:$C,F$1))</f>
        <v>3.3367619047619046</v>
      </c>
      <c r="G84" s="31">
        <f>IF(SUMIFS(Data!$U:$U,Data!$A:$A,$B84,Data!$C:$C,G$1)=0,"",SUMIFS(Data!$U:$U,Data!$A:$A,$B84,Data!$C:$C,G$1))</f>
        <v>3.5968333333333335</v>
      </c>
      <c r="H84" s="31">
        <f>IF(SUMIFS(Data!$U:$U,Data!$A:$A,$B84,Data!$C:$C,H$1)=0,"",SUMIFS(Data!$U:$U,Data!$A:$A,$B84,Data!$C:$C,H$1))</f>
        <v>2.8374285714285716</v>
      </c>
      <c r="I84" s="31">
        <f>IF(SUMIFS(Data!$U:$U,Data!$A:$A,$B84,Data!$C:$C,I$1)=0,"",SUMIFS(Data!$U:$U,Data!$A:$A,$B84,Data!$C:$C,I$1))</f>
        <v>3.7255000000000003</v>
      </c>
      <c r="J84" s="31">
        <f>IF(SUMIFS(Data!$U:$U,Data!$A:$A,$B84,Data!$C:$C,J$1)=0,"",SUMIFS(Data!$U:$U,Data!$A:$A,$B84,Data!$C:$C,J$1))</f>
        <v>2.7833333333333332</v>
      </c>
      <c r="K84" s="31" t="str">
        <f>IF(SUMIFS(Data!$U:$U,Data!$A:$A,$B84,Data!$C:$C,K$1)=0,"",SUMIFS(Data!$U:$U,Data!$A:$A,$B84,Data!$C:$C,K$1))</f>
        <v/>
      </c>
      <c r="L84" s="31">
        <f>IF(SUMIFS(Data!$U:$U,Data!$A:$A,$B84,Data!$C:$C,L$1)=0,"",SUMIFS(Data!$U:$U,Data!$A:$A,$B84,Data!$C:$C,L$1))</f>
        <v>3.7250000000000001</v>
      </c>
      <c r="M84" s="31" t="str">
        <f>IF(SUMIFS(Data!$U:$U,Data!$A:$A,$B84,Data!$C:$C,M$1)=0,"",SUMIFS(Data!$U:$U,Data!$A:$A,$B84,Data!$C:$C,M$1))</f>
        <v/>
      </c>
      <c r="N84" s="31" t="str">
        <f>IF(SUMIFS(Data!$U:$U,Data!$A:$A,$B84,Data!$C:$C,N$1)=0,"",SUMIFS(Data!$U:$U,Data!$A:$A,$B84,Data!$C:$C,N$1))</f>
        <v/>
      </c>
      <c r="O84" s="31">
        <f>IF(SUMIFS(Data!$U:$U,Data!$A:$A,$B84,Data!$C:$C,O$1)=0,"",SUMIFS(Data!$U:$U,Data!$A:$A,$B84,Data!$C:$C,O$1))</f>
        <v>2.1378333333333335</v>
      </c>
      <c r="P84" s="31" t="str">
        <f>IF(SUMIFS(Data!$U:$U,Data!$A:$A,$B84,Data!$C:$C,P$1)=0,"",SUMIFS(Data!$U:$U,Data!$A:$A,$B84,Data!$C:$C,P$1))</f>
        <v/>
      </c>
      <c r="Q84" s="31" t="str">
        <f>IF(SUMIFS(Data!$U:$U,Data!$A:$A,$B84,Data!$C:$C,Q$1)=0,"",SUMIFS(Data!$U:$U,Data!$A:$A,$B84,Data!$C:$C,Q$1))</f>
        <v/>
      </c>
      <c r="R84" s="31">
        <f>VLOOKUP(W84,Barem!$W$39:$X$54,2,0)</f>
        <v>0</v>
      </c>
      <c r="S84" s="31">
        <f>SUM(C84:R84)</f>
        <v>22.142690476190477</v>
      </c>
      <c r="T84" s="31">
        <f>SUMIFS(Data!D:D,Data!A:A,'#ligaSYR'!B101)</f>
        <v>37.58</v>
      </c>
      <c r="U84" s="1" t="str">
        <f>IF(VLOOKUP(B84,Participanti!A:D,4,0)=0," ","New")</f>
        <v>New</v>
      </c>
      <c r="W84" s="116">
        <f>SUMIFS(Data!Z:Z,Data!A:A,'#ligaSYR'!B84)</f>
        <v>5</v>
      </c>
      <c r="X84" s="116" t="s">
        <v>312</v>
      </c>
      <c r="Z84" s="1" t="s">
        <v>312</v>
      </c>
      <c r="AC84" s="1" t="s">
        <v>312</v>
      </c>
      <c r="AD84" s="1" t="s">
        <v>312</v>
      </c>
      <c r="AE84" s="1" t="str">
        <f>VLOOKUP(B84,Participanti!A:B,2,0)</f>
        <v>M</v>
      </c>
      <c r="AF84" s="1" t="e">
        <f>VLOOKUP(B84,Data_Echipe!A:R,18,0)</f>
        <v>#N/A</v>
      </c>
    </row>
    <row r="85" spans="1:32" ht="13" x14ac:dyDescent="0.3">
      <c r="A85" s="79">
        <v>84</v>
      </c>
      <c r="B85" s="30" t="s">
        <v>301</v>
      </c>
      <c r="C85" s="31">
        <f>IF(SUMIFS(Data!$U:$U,Data!$A:$A,$B85,Data!$C:$C,C$1)=0,"",SUMIFS(Data!$U:$U,Data!$A:$A,$B85,Data!$C:$C,C$1))</f>
        <v>3.444547619047619</v>
      </c>
      <c r="D85" s="31">
        <f>IF(SUMIFS(Data!$U:$U,Data!$A:$A,$B85,Data!$C:$C,D$1)=0,"",SUMIFS(Data!$U:$U,Data!$A:$A,$B85,Data!$C:$C,D$1))</f>
        <v>2.141</v>
      </c>
      <c r="E85" s="31">
        <f>IF(SUMIFS(Data!$U:$U,Data!$A:$A,$B85,Data!$C:$C,E$1)=0,"",SUMIFS(Data!$U:$U,Data!$A:$A,$B85,Data!$C:$C,E$1))</f>
        <v>2.6184523809523808</v>
      </c>
      <c r="F85" s="31">
        <f>IF(SUMIFS(Data!$U:$U,Data!$A:$A,$B85,Data!$C:$C,F$1)=0,"",SUMIFS(Data!$U:$U,Data!$A:$A,$B85,Data!$C:$C,F$1))</f>
        <v>3.1185714285714283</v>
      </c>
      <c r="G85" s="31" t="str">
        <f>IF(SUMIFS(Data!$U:$U,Data!$A:$A,$B85,Data!$C:$C,G$1)=0,"",SUMIFS(Data!$U:$U,Data!$A:$A,$B85,Data!$C:$C,G$1))</f>
        <v/>
      </c>
      <c r="H85" s="31">
        <f>IF(SUMIFS(Data!$U:$U,Data!$A:$A,$B85,Data!$C:$C,H$1)=0,"",SUMIFS(Data!$U:$U,Data!$A:$A,$B85,Data!$C:$C,H$1))</f>
        <v>3.5998333333333332</v>
      </c>
      <c r="I85" s="31" t="str">
        <f>IF(SUMIFS(Data!$U:$U,Data!$A:$A,$B85,Data!$C:$C,I$1)=0,"",SUMIFS(Data!$U:$U,Data!$A:$A,$B85,Data!$C:$C,I$1))</f>
        <v/>
      </c>
      <c r="J85" s="31" t="str">
        <f>IF(SUMIFS(Data!$U:$U,Data!$A:$A,$B85,Data!$C:$C,J$1)=0,"",SUMIFS(Data!$U:$U,Data!$A:$A,$B85,Data!$C:$C,J$1))</f>
        <v/>
      </c>
      <c r="K85" s="31" t="str">
        <f>IF(SUMIFS(Data!$U:$U,Data!$A:$A,$B85,Data!$C:$C,K$1)=0,"",SUMIFS(Data!$U:$U,Data!$A:$A,$B85,Data!$C:$C,K$1))</f>
        <v/>
      </c>
      <c r="L85" s="31" t="str">
        <f>IF(SUMIFS(Data!$U:$U,Data!$A:$A,$B85,Data!$C:$C,L$1)=0,"",SUMIFS(Data!$U:$U,Data!$A:$A,$B85,Data!$C:$C,L$1))</f>
        <v/>
      </c>
      <c r="M85" s="31" t="str">
        <f>IF(SUMIFS(Data!$U:$U,Data!$A:$A,$B85,Data!$C:$C,M$1)=0,"",SUMIFS(Data!$U:$U,Data!$A:$A,$B85,Data!$C:$C,M$1))</f>
        <v/>
      </c>
      <c r="N85" s="31">
        <f>IF(SUMIFS(Data!$U:$U,Data!$A:$A,$B85,Data!$C:$C,N$1)=0,"",SUMIFS(Data!$U:$U,Data!$A:$A,$B85,Data!$C:$C,N$1))</f>
        <v>2.5964285714285715</v>
      </c>
      <c r="O85" s="31">
        <f>IF(SUMIFS(Data!$U:$U,Data!$A:$A,$B85,Data!$C:$C,O$1)=0,"",SUMIFS(Data!$U:$U,Data!$A:$A,$B85,Data!$C:$C,O$1))</f>
        <v>2.4738095238095239</v>
      </c>
      <c r="P85" s="31" t="str">
        <f>IF(SUMIFS(Data!$U:$U,Data!$A:$A,$B85,Data!$C:$C,P$1)=0,"",SUMIFS(Data!$U:$U,Data!$A:$A,$B85,Data!$C:$C,P$1))</f>
        <v/>
      </c>
      <c r="Q85" s="31" t="str">
        <f>IF(SUMIFS(Data!$U:$U,Data!$A:$A,$B85,Data!$C:$C,Q$1)=0,"",SUMIFS(Data!$U:$U,Data!$A:$A,$B85,Data!$C:$C,Q$1))</f>
        <v/>
      </c>
      <c r="R85" s="31">
        <f>VLOOKUP(W85,Barem!$W$39:$X$54,2,0)</f>
        <v>1</v>
      </c>
      <c r="S85" s="31">
        <f>SUM(C85:R85)</f>
        <v>20.992642857142858</v>
      </c>
      <c r="T85" s="31">
        <f>SUMIFS(Data!D:D,Data!A:A,'#ligaSYR'!B42)</f>
        <v>215.45</v>
      </c>
      <c r="U85" s="1" t="str">
        <f>IF(VLOOKUP(B85,Participanti!A:D,4,0)=0," ","New")</f>
        <v xml:space="preserve"> </v>
      </c>
      <c r="W85" s="116">
        <f>SUMIFS(Data!Z:Z,Data!A:A,'#ligaSYR'!B85)</f>
        <v>7</v>
      </c>
      <c r="X85" s="116" t="s">
        <v>312</v>
      </c>
      <c r="Y85" s="1" t="s">
        <v>312</v>
      </c>
      <c r="Z85" s="1" t="s">
        <v>312</v>
      </c>
      <c r="AC85" s="1" t="s">
        <v>312</v>
      </c>
      <c r="AD85" s="1" t="s">
        <v>312</v>
      </c>
      <c r="AE85" s="1" t="str">
        <f>VLOOKUP(B85,Participanti!A:B,2,0)</f>
        <v>M</v>
      </c>
      <c r="AF85" s="1" t="e">
        <f>VLOOKUP(B85,Data_Echipe!A:R,18,0)</f>
        <v>#N/A</v>
      </c>
    </row>
    <row r="86" spans="1:32" ht="13" x14ac:dyDescent="0.3">
      <c r="A86" s="79">
        <v>85</v>
      </c>
      <c r="B86" s="30" t="s">
        <v>364</v>
      </c>
      <c r="C86" s="31">
        <f>IF(SUMIFS(Data!$U:$U,Data!$A:$A,$B86,Data!$C:$C,C$1)=0,"",SUMIFS(Data!$U:$U,Data!$A:$A,$B86,Data!$C:$C,C$1))</f>
        <v>1.5297619047619047</v>
      </c>
      <c r="D86" s="31">
        <f>IF(SUMIFS(Data!$U:$U,Data!$A:$A,$B86,Data!$C:$C,D$1)=0,"",SUMIFS(Data!$U:$U,Data!$A:$A,$B86,Data!$C:$C,D$1))</f>
        <v>2.0833095238095236</v>
      </c>
      <c r="E86" s="31">
        <f>IF(SUMIFS(Data!$U:$U,Data!$A:$A,$B86,Data!$C:$C,E$1)=0,"",SUMIFS(Data!$U:$U,Data!$A:$A,$B86,Data!$C:$C,E$1))</f>
        <v>1.9065476190476192</v>
      </c>
      <c r="F86" s="31">
        <f>IF(SUMIFS(Data!$U:$U,Data!$A:$A,$B86,Data!$C:$C,F$1)=0,"",SUMIFS(Data!$U:$U,Data!$A:$A,$B86,Data!$C:$C,F$1))</f>
        <v>2.7184523809523808</v>
      </c>
      <c r="G86" s="31">
        <f>IF(SUMIFS(Data!$U:$U,Data!$A:$A,$B86,Data!$C:$C,G$1)=0,"",SUMIFS(Data!$U:$U,Data!$A:$A,$B86,Data!$C:$C,G$1))</f>
        <v>3.1101190476190474</v>
      </c>
      <c r="H86" s="31">
        <f>IF(SUMIFS(Data!$U:$U,Data!$A:$A,$B86,Data!$C:$C,H$1)=0,"",SUMIFS(Data!$U:$U,Data!$A:$A,$B86,Data!$C:$C,H$1))</f>
        <v>3.3066666666666666</v>
      </c>
      <c r="I86" s="31" t="str">
        <f>IF(SUMIFS(Data!$U:$U,Data!$A:$A,$B86,Data!$C:$C,I$1)=0,"",SUMIFS(Data!$U:$U,Data!$A:$A,$B86,Data!$C:$C,I$1))</f>
        <v/>
      </c>
      <c r="J86" s="31">
        <f>IF(SUMIFS(Data!$U:$U,Data!$A:$A,$B86,Data!$C:$C,J$1)=0,"",SUMIFS(Data!$U:$U,Data!$A:$A,$B86,Data!$C:$C,J$1))</f>
        <v>2.1857142857142859</v>
      </c>
      <c r="K86" s="31">
        <f>IF(SUMIFS(Data!$U:$U,Data!$A:$A,$B86,Data!$C:$C,K$1)=0,"",SUMIFS(Data!$U:$U,Data!$A:$A,$B86,Data!$C:$C,K$1))</f>
        <v>1.4898809523809524</v>
      </c>
      <c r="L86" s="31" t="str">
        <f>IF(SUMIFS(Data!$U:$U,Data!$A:$A,$B86,Data!$C:$C,L$1)=0,"",SUMIFS(Data!$U:$U,Data!$A:$A,$B86,Data!$C:$C,L$1))</f>
        <v/>
      </c>
      <c r="M86" s="31" t="str">
        <f>IF(SUMIFS(Data!$U:$U,Data!$A:$A,$B86,Data!$C:$C,M$1)=0,"",SUMIFS(Data!$U:$U,Data!$A:$A,$B86,Data!$C:$C,M$1))</f>
        <v/>
      </c>
      <c r="N86" s="31" t="str">
        <f>IF(SUMIFS(Data!$U:$U,Data!$A:$A,$B86,Data!$C:$C,N$1)=0,"",SUMIFS(Data!$U:$U,Data!$A:$A,$B86,Data!$C:$C,N$1))</f>
        <v/>
      </c>
      <c r="O86" s="31" t="str">
        <f>IF(SUMIFS(Data!$U:$U,Data!$A:$A,$B86,Data!$C:$C,O$1)=0,"",SUMIFS(Data!$U:$U,Data!$A:$A,$B86,Data!$C:$C,O$1))</f>
        <v/>
      </c>
      <c r="P86" s="31" t="str">
        <f>IF(SUMIFS(Data!$U:$U,Data!$A:$A,$B86,Data!$C:$C,P$1)=0,"",SUMIFS(Data!$U:$U,Data!$A:$A,$B86,Data!$C:$C,P$1))</f>
        <v/>
      </c>
      <c r="Q86" s="31" t="str">
        <f>IF(SUMIFS(Data!$U:$U,Data!$A:$A,$B86,Data!$C:$C,Q$1)=0,"",SUMIFS(Data!$U:$U,Data!$A:$A,$B86,Data!$C:$C,Q$1))</f>
        <v/>
      </c>
      <c r="R86" s="31">
        <f>VLOOKUP(W86,Barem!$W$39:$X$54,2,0)</f>
        <v>2</v>
      </c>
      <c r="S86" s="31">
        <f>SUM(C86:R86)</f>
        <v>20.33045238095238</v>
      </c>
      <c r="T86" s="31">
        <f>SUMIFS(Data!D:D,Data!A:A,'#ligaSYR'!B74)</f>
        <v>146.29999999999998</v>
      </c>
      <c r="U86" s="1" t="str">
        <f>IF(VLOOKUP(B86,Participanti!A:D,4,0)=0," ","New")</f>
        <v>New</v>
      </c>
      <c r="W86" s="116">
        <f>SUMIFS(Data!Z:Z,Data!A:A,'#ligaSYR'!B86)</f>
        <v>8</v>
      </c>
      <c r="X86" s="116" t="s">
        <v>312</v>
      </c>
      <c r="Y86" s="1" t="s">
        <v>312</v>
      </c>
      <c r="Z86" s="1" t="s">
        <v>312</v>
      </c>
      <c r="AC86" s="1" t="s">
        <v>312</v>
      </c>
      <c r="AD86" s="1" t="s">
        <v>312</v>
      </c>
      <c r="AE86" s="1" t="str">
        <f>VLOOKUP(B86,Participanti!A:B,2,0)</f>
        <v>M</v>
      </c>
      <c r="AF86" s="1" t="e">
        <f>VLOOKUP(B86,Data_Echipe!A:R,18,0)</f>
        <v>#N/A</v>
      </c>
    </row>
    <row r="87" spans="1:32" ht="13" x14ac:dyDescent="0.3">
      <c r="A87" s="79">
        <v>86</v>
      </c>
      <c r="B87" s="30" t="s">
        <v>245</v>
      </c>
      <c r="C87" s="31">
        <f>IF(SUMIFS(Data!$U:$U,Data!$A:$A,$B87,Data!$C:$C,C$1)=0,"",SUMIFS(Data!$U:$U,Data!$A:$A,$B87,Data!$C:$C,C$1))</f>
        <v>2.5863095238095237</v>
      </c>
      <c r="D87" s="31">
        <f>IF(SUMIFS(Data!$U:$U,Data!$A:$A,$B87,Data!$C:$C,D$1)=0,"",SUMIFS(Data!$U:$U,Data!$A:$A,$B87,Data!$C:$C,D$1))</f>
        <v>2.8720238095238093</v>
      </c>
      <c r="E87" s="31" t="str">
        <f>IF(SUMIFS(Data!$U:$U,Data!$A:$A,$B87,Data!$C:$C,E$1)=0,"",SUMIFS(Data!$U:$U,Data!$A:$A,$B87,Data!$C:$C,E$1))</f>
        <v/>
      </c>
      <c r="F87" s="31">
        <f>IF(SUMIFS(Data!$U:$U,Data!$A:$A,$B87,Data!$C:$C,F$1)=0,"",SUMIFS(Data!$U:$U,Data!$A:$A,$B87,Data!$C:$C,F$1))</f>
        <v>2.2791666666666668</v>
      </c>
      <c r="G87" s="31">
        <f>IF(SUMIFS(Data!$U:$U,Data!$A:$A,$B87,Data!$C:$C,G$1)=0,"",SUMIFS(Data!$U:$U,Data!$A:$A,$B87,Data!$C:$C,G$1))</f>
        <v>1.5</v>
      </c>
      <c r="H87" s="31">
        <f>IF(SUMIFS(Data!$U:$U,Data!$A:$A,$B87,Data!$C:$C,H$1)=0,"",SUMIFS(Data!$U:$U,Data!$A:$A,$B87,Data!$C:$C,H$1))</f>
        <v>3.4375</v>
      </c>
      <c r="I87" s="31">
        <f>IF(SUMIFS(Data!$U:$U,Data!$A:$A,$B87,Data!$C:$C,I$1)=0,"",SUMIFS(Data!$U:$U,Data!$A:$A,$B87,Data!$C:$C,I$1))</f>
        <v>4.5533333333333337</v>
      </c>
      <c r="J87" s="31">
        <f>IF(SUMIFS(Data!$U:$U,Data!$A:$A,$B87,Data!$C:$C,J$1)=0,"",SUMIFS(Data!$U:$U,Data!$A:$A,$B87,Data!$C:$C,J$1))</f>
        <v>2.7315476190476189</v>
      </c>
      <c r="K87" s="31" t="str">
        <f>IF(SUMIFS(Data!$U:$U,Data!$A:$A,$B87,Data!$C:$C,K$1)=0,"",SUMIFS(Data!$U:$U,Data!$A:$A,$B87,Data!$C:$C,K$1))</f>
        <v/>
      </c>
      <c r="L87" s="31" t="str">
        <f>IF(SUMIFS(Data!$U:$U,Data!$A:$A,$B87,Data!$C:$C,L$1)=0,"",SUMIFS(Data!$U:$U,Data!$A:$A,$B87,Data!$C:$C,L$1))</f>
        <v/>
      </c>
      <c r="M87" s="31" t="str">
        <f>IF(SUMIFS(Data!$U:$U,Data!$A:$A,$B87,Data!$C:$C,M$1)=0,"",SUMIFS(Data!$U:$U,Data!$A:$A,$B87,Data!$C:$C,M$1))</f>
        <v/>
      </c>
      <c r="N87" s="31" t="str">
        <f>IF(SUMIFS(Data!$U:$U,Data!$A:$A,$B87,Data!$C:$C,N$1)=0,"",SUMIFS(Data!$U:$U,Data!$A:$A,$B87,Data!$C:$C,N$1))</f>
        <v/>
      </c>
      <c r="O87" s="31" t="str">
        <f>IF(SUMIFS(Data!$U:$U,Data!$A:$A,$B87,Data!$C:$C,O$1)=0,"",SUMIFS(Data!$U:$U,Data!$A:$A,$B87,Data!$C:$C,O$1))</f>
        <v/>
      </c>
      <c r="P87" s="31" t="str">
        <f>IF(SUMIFS(Data!$U:$U,Data!$A:$A,$B87,Data!$C:$C,P$1)=0,"",SUMIFS(Data!$U:$U,Data!$A:$A,$B87,Data!$C:$C,P$1))</f>
        <v/>
      </c>
      <c r="Q87" s="31" t="str">
        <f>IF(SUMIFS(Data!$U:$U,Data!$A:$A,$B87,Data!$C:$C,Q$1)=0,"",SUMIFS(Data!$U:$U,Data!$A:$A,$B87,Data!$C:$C,Q$1))</f>
        <v/>
      </c>
      <c r="R87" s="31">
        <f>VLOOKUP(W87,Barem!$W$39:$X$54,2,0)</f>
        <v>0</v>
      </c>
      <c r="S87" s="31">
        <f>SUM(C87:R87)</f>
        <v>19.959880952380953</v>
      </c>
      <c r="T87" s="31">
        <f>SUMIFS(Data!D:D,Data!A:A,'#ligaSYR'!B44)</f>
        <v>217.53000000000003</v>
      </c>
      <c r="U87" s="1" t="str">
        <f>IF(VLOOKUP(B87,Participanti!A:D,4,0)=0," ","New")</f>
        <v xml:space="preserve"> </v>
      </c>
      <c r="W87" s="116">
        <f>SUMIFS(Data!Z:Z,Data!A:A,'#ligaSYR'!B87)</f>
        <v>5</v>
      </c>
      <c r="X87" s="116"/>
      <c r="AF87" s="1" t="str">
        <f>VLOOKUP(B87,Data_Echipe!A:R,18,0)</f>
        <v>#notSYRious</v>
      </c>
    </row>
    <row r="88" spans="1:32" ht="13" x14ac:dyDescent="0.3">
      <c r="A88" s="79">
        <v>87</v>
      </c>
      <c r="B88" s="30" t="s">
        <v>293</v>
      </c>
      <c r="C88" s="31">
        <f>IF(SUMIFS(Data!$U:$U,Data!$A:$A,$B88,Data!$C:$C,C$1)=0,"",SUMIFS(Data!$U:$U,Data!$A:$A,$B88,Data!$C:$C,C$1))</f>
        <v>3.6375000000000002</v>
      </c>
      <c r="D88" s="31">
        <f>IF(SUMIFS(Data!$U:$U,Data!$A:$A,$B88,Data!$C:$C,D$1)=0,"",SUMIFS(Data!$U:$U,Data!$A:$A,$B88,Data!$C:$C,D$1))</f>
        <v>3.1669999999999998</v>
      </c>
      <c r="E88" s="31">
        <f>IF(SUMIFS(Data!$U:$U,Data!$A:$A,$B88,Data!$C:$C,E$1)=0,"",SUMIFS(Data!$U:$U,Data!$A:$A,$B88,Data!$C:$C,E$1))</f>
        <v>3.8596666666666666</v>
      </c>
      <c r="F88" s="31">
        <f>IF(SUMIFS(Data!$U:$U,Data!$A:$A,$B88,Data!$C:$C,F$1)=0,"",SUMIFS(Data!$U:$U,Data!$A:$A,$B88,Data!$C:$C,F$1))</f>
        <v>3.4755000000000003</v>
      </c>
      <c r="G88" s="31">
        <f>IF(SUMIFS(Data!$U:$U,Data!$A:$A,$B88,Data!$C:$C,G$1)=0,"",SUMIFS(Data!$U:$U,Data!$A:$A,$B88,Data!$C:$C,G$1))</f>
        <v>3.6873333333333331</v>
      </c>
      <c r="H88" s="31" t="str">
        <f>IF(SUMIFS(Data!$U:$U,Data!$A:$A,$B88,Data!$C:$C,H$1)=0,"",SUMIFS(Data!$U:$U,Data!$A:$A,$B88,Data!$C:$C,H$1))</f>
        <v/>
      </c>
      <c r="I88" s="31" t="str">
        <f>IF(SUMIFS(Data!$U:$U,Data!$A:$A,$B88,Data!$C:$C,I$1)=0,"",SUMIFS(Data!$U:$U,Data!$A:$A,$B88,Data!$C:$C,I$1))</f>
        <v/>
      </c>
      <c r="J88" s="31" t="str">
        <f>IF(SUMIFS(Data!$U:$U,Data!$A:$A,$B88,Data!$C:$C,J$1)=0,"",SUMIFS(Data!$U:$U,Data!$A:$A,$B88,Data!$C:$C,J$1))</f>
        <v/>
      </c>
      <c r="K88" s="31" t="str">
        <f>IF(SUMIFS(Data!$U:$U,Data!$A:$A,$B88,Data!$C:$C,K$1)=0,"",SUMIFS(Data!$U:$U,Data!$A:$A,$B88,Data!$C:$C,K$1))</f>
        <v/>
      </c>
      <c r="L88" s="31" t="str">
        <f>IF(SUMIFS(Data!$U:$U,Data!$A:$A,$B88,Data!$C:$C,L$1)=0,"",SUMIFS(Data!$U:$U,Data!$A:$A,$B88,Data!$C:$C,L$1))</f>
        <v/>
      </c>
      <c r="M88" s="31" t="str">
        <f>IF(SUMIFS(Data!$U:$U,Data!$A:$A,$B88,Data!$C:$C,M$1)=0,"",SUMIFS(Data!$U:$U,Data!$A:$A,$B88,Data!$C:$C,M$1))</f>
        <v/>
      </c>
      <c r="N88" s="31" t="str">
        <f>IF(SUMIFS(Data!$U:$U,Data!$A:$A,$B88,Data!$C:$C,N$1)=0,"",SUMIFS(Data!$U:$U,Data!$A:$A,$B88,Data!$C:$C,N$1))</f>
        <v/>
      </c>
      <c r="O88" s="31" t="str">
        <f>IF(SUMIFS(Data!$U:$U,Data!$A:$A,$B88,Data!$C:$C,O$1)=0,"",SUMIFS(Data!$U:$U,Data!$A:$A,$B88,Data!$C:$C,O$1))</f>
        <v/>
      </c>
      <c r="P88" s="31" t="str">
        <f>IF(SUMIFS(Data!$U:$U,Data!$A:$A,$B88,Data!$C:$C,P$1)=0,"",SUMIFS(Data!$U:$U,Data!$A:$A,$B88,Data!$C:$C,P$1))</f>
        <v/>
      </c>
      <c r="Q88" s="31" t="str">
        <f>IF(SUMIFS(Data!$U:$U,Data!$A:$A,$B88,Data!$C:$C,Q$1)=0,"",SUMIFS(Data!$U:$U,Data!$A:$A,$B88,Data!$C:$C,Q$1))</f>
        <v/>
      </c>
      <c r="R88" s="31">
        <f>VLOOKUP(W88,Barem!$W$39:$X$54,2,0)</f>
        <v>0</v>
      </c>
      <c r="S88" s="31">
        <f>SUM(C88:R88)</f>
        <v>17.826999999999998</v>
      </c>
      <c r="T88" s="31">
        <f>SUMIFS(Data!D:D,Data!A:A,'#ligaSYR'!B22)</f>
        <v>250.99</v>
      </c>
      <c r="U88" s="1" t="str">
        <f>IF(VLOOKUP(B88,Participanti!A:D,4,0)=0," ","New")</f>
        <v xml:space="preserve"> </v>
      </c>
      <c r="W88" s="116">
        <f>SUMIFS(Data!Z:Z,Data!A:A,'#ligaSYR'!B88)</f>
        <v>5</v>
      </c>
      <c r="X88" s="116" t="s">
        <v>312</v>
      </c>
      <c r="Z88" s="1" t="s">
        <v>312</v>
      </c>
      <c r="AB88" s="1" t="s">
        <v>312</v>
      </c>
      <c r="AC88" s="1" t="s">
        <v>312</v>
      </c>
      <c r="AD88" s="1" t="s">
        <v>312</v>
      </c>
      <c r="AE88" s="1" t="str">
        <f>VLOOKUP(B88,Participanti!A:B,2,0)</f>
        <v>M</v>
      </c>
      <c r="AF88" s="1" t="str">
        <f>VLOOKUP(B88,Data_Echipe!A:R,18,0)</f>
        <v>UltraHaita lu' Borcan</v>
      </c>
    </row>
    <row r="89" spans="1:32" ht="13" x14ac:dyDescent="0.3">
      <c r="A89" s="79">
        <v>88</v>
      </c>
      <c r="B89" s="79" t="s">
        <v>483</v>
      </c>
      <c r="C89" s="31" t="str">
        <f>IF(SUMIFS(Data!$U:$U,Data!$A:$A,$B89,Data!$C:$C,C$1)=0,"",SUMIFS(Data!$U:$U,Data!$A:$A,$B89,Data!$C:$C,C$1))</f>
        <v/>
      </c>
      <c r="D89" s="31" t="str">
        <f>IF(SUMIFS(Data!$U:$U,Data!$A:$A,$B89,Data!$C:$C,D$1)=0,"",SUMIFS(Data!$U:$U,Data!$A:$A,$B89,Data!$C:$C,D$1))</f>
        <v/>
      </c>
      <c r="E89" s="31" t="str">
        <f>IF(SUMIFS(Data!$U:$U,Data!$A:$A,$B89,Data!$C:$C,E$1)=0,"",SUMIFS(Data!$U:$U,Data!$A:$A,$B89,Data!$C:$C,E$1))</f>
        <v/>
      </c>
      <c r="F89" s="31" t="str">
        <f>IF(SUMIFS(Data!$U:$U,Data!$A:$A,$B89,Data!$C:$C,F$1)=0,"",SUMIFS(Data!$U:$U,Data!$A:$A,$B89,Data!$C:$C,F$1))</f>
        <v/>
      </c>
      <c r="G89" s="31" t="str">
        <f>IF(SUMIFS(Data!$U:$U,Data!$A:$A,$B89,Data!$C:$C,G$1)=0,"",SUMIFS(Data!$U:$U,Data!$A:$A,$B89,Data!$C:$C,G$1))</f>
        <v/>
      </c>
      <c r="H89" s="31" t="str">
        <f>IF(SUMIFS(Data!$U:$U,Data!$A:$A,$B89,Data!$C:$C,H$1)=0,"",SUMIFS(Data!$U:$U,Data!$A:$A,$B89,Data!$C:$C,H$1))</f>
        <v/>
      </c>
      <c r="I89" s="31" t="str">
        <f>IF(SUMIFS(Data!$U:$U,Data!$A:$A,$B89,Data!$C:$C,I$1)=0,"",SUMIFS(Data!$U:$U,Data!$A:$A,$B89,Data!$C:$C,I$1))</f>
        <v/>
      </c>
      <c r="J89" s="31" t="str">
        <f>IF(SUMIFS(Data!$U:$U,Data!$A:$A,$B89,Data!$C:$C,J$1)=0,"",SUMIFS(Data!$U:$U,Data!$A:$A,$B89,Data!$C:$C,J$1))</f>
        <v/>
      </c>
      <c r="K89" s="31">
        <f>IF(SUMIFS(Data!$U:$U,Data!$A:$A,$B89,Data!$C:$C,K$1)=0,"",SUMIFS(Data!$U:$U,Data!$A:$A,$B89,Data!$C:$C,K$1))</f>
        <v>2.610214285714286</v>
      </c>
      <c r="L89" s="31">
        <f>IF(SUMIFS(Data!$U:$U,Data!$A:$A,$B89,Data!$C:$C,L$1)=0,"",SUMIFS(Data!$U:$U,Data!$A:$A,$B89,Data!$C:$C,L$1))</f>
        <v>2.6467857142857145</v>
      </c>
      <c r="M89" s="31" t="str">
        <f>IF(SUMIFS(Data!$U:$U,Data!$A:$A,$B89,Data!$C:$C,M$1)=0,"",SUMIFS(Data!$U:$U,Data!$A:$A,$B89,Data!$C:$C,M$1))</f>
        <v/>
      </c>
      <c r="N89" s="31">
        <f>IF(SUMIFS(Data!$U:$U,Data!$A:$A,$B89,Data!$C:$C,N$1)=0,"",SUMIFS(Data!$U:$U,Data!$A:$A,$B89,Data!$C:$C,N$1))</f>
        <v>2.0458809523809522</v>
      </c>
      <c r="O89" s="31">
        <f>IF(SUMIFS(Data!$U:$U,Data!$A:$A,$B89,Data!$C:$C,O$1)=0,"",SUMIFS(Data!$U:$U,Data!$A:$A,$B89,Data!$C:$C,O$1))</f>
        <v>4.1946666666666665</v>
      </c>
      <c r="P89" s="31">
        <f>IF(SUMIFS(Data!$U:$U,Data!$A:$A,$B89,Data!$C:$C,P$1)=0,"",SUMIFS(Data!$U:$U,Data!$A:$A,$B89,Data!$C:$C,P$1))</f>
        <v>2.6573333333333338</v>
      </c>
      <c r="Q89" s="31">
        <f>IF(SUMIFS(Data!$U:$U,Data!$A:$A,$B89,Data!$C:$C,Q$1)=0,"",SUMIFS(Data!$U:$U,Data!$A:$A,$B89,Data!$C:$C,Q$1))</f>
        <v>2.2182857142857144</v>
      </c>
      <c r="R89" s="31">
        <f>VLOOKUP(W89,Barem!$W$39:$X$54,2,0)</f>
        <v>1</v>
      </c>
      <c r="S89" s="31">
        <f>SUM(C89:R89)</f>
        <v>17.373166666666666</v>
      </c>
      <c r="T89" s="31">
        <f>SUMIFS(Data!D:D,Data!A:A,'#ligaSYR'!B99)</f>
        <v>47.43</v>
      </c>
      <c r="U89" s="1" t="str">
        <f>IF(VLOOKUP(B89,Participanti!A:D,4,0)=0," ","New")</f>
        <v>New</v>
      </c>
      <c r="W89" s="116">
        <f>SUMIFS(Data!Z:Z,Data!A:A,'#ligaSYR'!B89)</f>
        <v>6</v>
      </c>
      <c r="X89" s="116" t="s">
        <v>312</v>
      </c>
      <c r="Y89" s="1" t="s">
        <v>312</v>
      </c>
      <c r="Z89" s="1" t="s">
        <v>312</v>
      </c>
      <c r="AC89" s="1" t="s">
        <v>312</v>
      </c>
      <c r="AD89" s="1" t="s">
        <v>312</v>
      </c>
      <c r="AE89" s="1" t="str">
        <f>VLOOKUP(B89,Participanti!A:B,2,0)</f>
        <v>M</v>
      </c>
      <c r="AF89" s="1" t="e">
        <f>VLOOKUP(B89,Data_Echipe!A:R,18,0)</f>
        <v>#N/A</v>
      </c>
    </row>
    <row r="90" spans="1:32" ht="13" x14ac:dyDescent="0.3">
      <c r="A90" s="79">
        <v>89</v>
      </c>
      <c r="B90" s="157" t="s">
        <v>206</v>
      </c>
      <c r="C90" s="31" t="str">
        <f>IF(SUMIFS(Data!$U:$U,Data!$A:$A,$B90,Data!$C:$C,C$1)=0,"",SUMIFS(Data!$U:$U,Data!$A:$A,$B90,Data!$C:$C,C$1))</f>
        <v/>
      </c>
      <c r="D90" s="31" t="str">
        <f>IF(SUMIFS(Data!$U:$U,Data!$A:$A,$B90,Data!$C:$C,D$1)=0,"",SUMIFS(Data!$U:$U,Data!$A:$A,$B90,Data!$C:$C,D$1))</f>
        <v/>
      </c>
      <c r="E90" s="31" t="str">
        <f>IF(SUMIFS(Data!$U:$U,Data!$A:$A,$B90,Data!$C:$C,E$1)=0,"",SUMIFS(Data!$U:$U,Data!$A:$A,$B90,Data!$C:$C,E$1))</f>
        <v/>
      </c>
      <c r="F90" s="31">
        <f>IF(SUMIFS(Data!$U:$U,Data!$A:$A,$B90,Data!$C:$C,F$1)=0,"",SUMIFS(Data!$U:$U,Data!$A:$A,$B90,Data!$C:$C,F$1))</f>
        <v>3.5208333333333335</v>
      </c>
      <c r="G90" s="31" t="str">
        <f>IF(SUMIFS(Data!$U:$U,Data!$A:$A,$B90,Data!$C:$C,G$1)=0,"",SUMIFS(Data!$U:$U,Data!$A:$A,$B90,Data!$C:$C,G$1))</f>
        <v/>
      </c>
      <c r="H90" s="31">
        <f>IF(SUMIFS(Data!$U:$U,Data!$A:$A,$B90,Data!$C:$C,H$1)=0,"",SUMIFS(Data!$U:$U,Data!$A:$A,$B90,Data!$C:$C,H$1))</f>
        <v>2.468</v>
      </c>
      <c r="I90" s="31">
        <f>IF(SUMIFS(Data!$U:$U,Data!$A:$A,$B90,Data!$C:$C,I$1)=0,"",SUMIFS(Data!$U:$U,Data!$A:$A,$B90,Data!$C:$C,I$1))</f>
        <v>3.7</v>
      </c>
      <c r="J90" s="31">
        <f>IF(SUMIFS(Data!$U:$U,Data!$A:$A,$B90,Data!$C:$C,J$1)=0,"",SUMIFS(Data!$U:$U,Data!$A:$A,$B90,Data!$C:$C,J$1))</f>
        <v>3.1523809523809523</v>
      </c>
      <c r="K90" s="31">
        <f>IF(SUMIFS(Data!$U:$U,Data!$A:$A,$B90,Data!$C:$C,K$1)=0,"",SUMIFS(Data!$U:$U,Data!$A:$A,$B90,Data!$C:$C,K$1))</f>
        <v>4.2141666666666664</v>
      </c>
      <c r="L90" s="31" t="str">
        <f>IF(SUMIFS(Data!$U:$U,Data!$A:$A,$B90,Data!$C:$C,L$1)=0,"",SUMIFS(Data!$U:$U,Data!$A:$A,$B90,Data!$C:$C,L$1))</f>
        <v/>
      </c>
      <c r="M90" s="31" t="str">
        <f>IF(SUMIFS(Data!$U:$U,Data!$A:$A,$B90,Data!$C:$C,M$1)=0,"",SUMIFS(Data!$U:$U,Data!$A:$A,$B90,Data!$C:$C,M$1))</f>
        <v/>
      </c>
      <c r="N90" s="31" t="str">
        <f>IF(SUMIFS(Data!$U:$U,Data!$A:$A,$B90,Data!$C:$C,N$1)=0,"",SUMIFS(Data!$U:$U,Data!$A:$A,$B90,Data!$C:$C,N$1))</f>
        <v/>
      </c>
      <c r="O90" s="31" t="str">
        <f>IF(SUMIFS(Data!$U:$U,Data!$A:$A,$B90,Data!$C:$C,O$1)=0,"",SUMIFS(Data!$U:$U,Data!$A:$A,$B90,Data!$C:$C,O$1))</f>
        <v/>
      </c>
      <c r="P90" s="31" t="str">
        <f>IF(SUMIFS(Data!$U:$U,Data!$A:$A,$B90,Data!$C:$C,P$1)=0,"",SUMIFS(Data!$U:$U,Data!$A:$A,$B90,Data!$C:$C,P$1))</f>
        <v/>
      </c>
      <c r="Q90" s="31" t="str">
        <f>IF(SUMIFS(Data!$U:$U,Data!$A:$A,$B90,Data!$C:$C,Q$1)=0,"",SUMIFS(Data!$U:$U,Data!$A:$A,$B90,Data!$C:$C,Q$1))</f>
        <v/>
      </c>
      <c r="R90" s="31">
        <f>VLOOKUP(W90,Barem!$W$39:$X$54,2,0)</f>
        <v>0</v>
      </c>
      <c r="S90" s="31">
        <f>SUM(C90:R90)</f>
        <v>17.055380952380954</v>
      </c>
      <c r="T90" s="31">
        <f>SUMIFS(Data!D:D,Data!A:A,'#ligaSYR'!B102)</f>
        <v>40.769999999999996</v>
      </c>
      <c r="U90" s="1" t="str">
        <f>IF(VLOOKUP(B90,Participanti!A:D,4,0)=0," ","New")</f>
        <v xml:space="preserve"> </v>
      </c>
      <c r="W90" s="116">
        <f>SUMIFS(Data!Z:Z,Data!A:A,'#ligaSYR'!B90)</f>
        <v>3</v>
      </c>
      <c r="X90" s="116" t="s">
        <v>312</v>
      </c>
      <c r="Y90" s="1" t="s">
        <v>312</v>
      </c>
      <c r="Z90" s="1" t="s">
        <v>312</v>
      </c>
      <c r="AC90" s="1" t="s">
        <v>312</v>
      </c>
      <c r="AD90" s="1" t="s">
        <v>312</v>
      </c>
      <c r="AE90" s="1" t="str">
        <f>VLOOKUP(B90,Participanti!A:B,2,0)</f>
        <v>M</v>
      </c>
      <c r="AF90" s="1" t="e">
        <f>VLOOKUP(B90,Data_Echipe!A:R,18,0)</f>
        <v>#N/A</v>
      </c>
    </row>
    <row r="91" spans="1:32" ht="13" x14ac:dyDescent="0.3">
      <c r="A91" s="79">
        <v>90</v>
      </c>
      <c r="B91" s="30" t="s">
        <v>63</v>
      </c>
      <c r="C91" s="31" t="str">
        <f>IF(SUMIFS(Data!$U:$U,Data!$A:$A,$B91,Data!$C:$C,C$1)=0,"",SUMIFS(Data!$U:$U,Data!$A:$A,$B91,Data!$C:$C,C$1))</f>
        <v/>
      </c>
      <c r="D91" s="31">
        <f>IF(SUMIFS(Data!$U:$U,Data!$A:$A,$B91,Data!$C:$C,D$1)=0,"",SUMIFS(Data!$U:$U,Data!$A:$A,$B91,Data!$C:$C,D$1))</f>
        <v>2.5803095238095235</v>
      </c>
      <c r="E91" s="31" t="str">
        <f>IF(SUMIFS(Data!$U:$U,Data!$A:$A,$B91,Data!$C:$C,E$1)=0,"",SUMIFS(Data!$U:$U,Data!$A:$A,$B91,Data!$C:$C,E$1))</f>
        <v/>
      </c>
      <c r="F91" s="31">
        <f>IF(SUMIFS(Data!$U:$U,Data!$A:$A,$B91,Data!$C:$C,F$1)=0,"",SUMIFS(Data!$U:$U,Data!$A:$A,$B91,Data!$C:$C,F$1))</f>
        <v>1.5</v>
      </c>
      <c r="G91" s="31" t="str">
        <f>IF(SUMIFS(Data!$U:$U,Data!$A:$A,$B91,Data!$C:$C,G$1)=0,"",SUMIFS(Data!$U:$U,Data!$A:$A,$B91,Data!$C:$C,G$1))</f>
        <v/>
      </c>
      <c r="H91" s="31" t="str">
        <f>IF(SUMIFS(Data!$U:$U,Data!$A:$A,$B91,Data!$C:$C,H$1)=0,"",SUMIFS(Data!$U:$U,Data!$A:$A,$B91,Data!$C:$C,H$1))</f>
        <v/>
      </c>
      <c r="I91" s="31" t="str">
        <f>IF(SUMIFS(Data!$U:$U,Data!$A:$A,$B91,Data!$C:$C,I$1)=0,"",SUMIFS(Data!$U:$U,Data!$A:$A,$B91,Data!$C:$C,I$1))</f>
        <v/>
      </c>
      <c r="J91" s="31">
        <f>IF(SUMIFS(Data!$U:$U,Data!$A:$A,$B91,Data!$C:$C,J$1)=0,"",SUMIFS(Data!$U:$U,Data!$A:$A,$B91,Data!$C:$C,J$1))</f>
        <v>2.3755952380952379</v>
      </c>
      <c r="K91" s="31" t="str">
        <f>IF(SUMIFS(Data!$U:$U,Data!$A:$A,$B91,Data!$C:$C,K$1)=0,"",SUMIFS(Data!$U:$U,Data!$A:$A,$B91,Data!$C:$C,K$1))</f>
        <v/>
      </c>
      <c r="L91" s="31" t="str">
        <f>IF(SUMIFS(Data!$U:$U,Data!$A:$A,$B91,Data!$C:$C,L$1)=0,"",SUMIFS(Data!$U:$U,Data!$A:$A,$B91,Data!$C:$C,L$1))</f>
        <v/>
      </c>
      <c r="M91" s="31" t="str">
        <f>IF(SUMIFS(Data!$U:$U,Data!$A:$A,$B91,Data!$C:$C,M$1)=0,"",SUMIFS(Data!$U:$U,Data!$A:$A,$B91,Data!$C:$C,M$1))</f>
        <v/>
      </c>
      <c r="N91" s="31" t="str">
        <f>IF(SUMIFS(Data!$U:$U,Data!$A:$A,$B91,Data!$C:$C,N$1)=0,"",SUMIFS(Data!$U:$U,Data!$A:$A,$B91,Data!$C:$C,N$1))</f>
        <v/>
      </c>
      <c r="O91" s="31">
        <f>IF(SUMIFS(Data!$U:$U,Data!$A:$A,$B91,Data!$C:$C,O$1)=0,"",SUMIFS(Data!$U:$U,Data!$A:$A,$B91,Data!$C:$C,O$1))</f>
        <v>3.1630000000000003</v>
      </c>
      <c r="P91" s="31" t="str">
        <f>IF(SUMIFS(Data!$U:$U,Data!$A:$A,$B91,Data!$C:$C,P$1)=0,"",SUMIFS(Data!$U:$U,Data!$A:$A,$B91,Data!$C:$C,P$1))</f>
        <v/>
      </c>
      <c r="Q91" s="31">
        <f>IF(SUMIFS(Data!$U:$U,Data!$A:$A,$B91,Data!$C:$C,Q$1)=0,"",SUMIFS(Data!$U:$U,Data!$A:$A,$B91,Data!$C:$C,Q$1))</f>
        <v>5.3100000000000005</v>
      </c>
      <c r="R91" s="31">
        <f>VLOOKUP(W91,Barem!$W$39:$X$54,2,0)</f>
        <v>0</v>
      </c>
      <c r="S91" s="31">
        <f>SUM(C91:R91)</f>
        <v>14.928904761904763</v>
      </c>
      <c r="T91" s="31">
        <f>SUMIFS(Data!D:D,Data!A:A,'#ligaSYR'!B94)</f>
        <v>56.35</v>
      </c>
      <c r="U91" s="1" t="str">
        <f>IF(VLOOKUP(B91,Participanti!A:D,4,0)=0," ","New")</f>
        <v xml:space="preserve"> </v>
      </c>
      <c r="W91" s="116">
        <f>SUMIFS(Data!Z:Z,Data!A:A,'#ligaSYR'!B91)</f>
        <v>2</v>
      </c>
      <c r="X91" s="116" t="s">
        <v>312</v>
      </c>
      <c r="Y91" s="1" t="s">
        <v>312</v>
      </c>
      <c r="Z91" s="1" t="s">
        <v>312</v>
      </c>
      <c r="AC91" s="1" t="s">
        <v>312</v>
      </c>
      <c r="AD91" s="1" t="s">
        <v>312</v>
      </c>
      <c r="AE91" s="1" t="str">
        <f>VLOOKUP(B91,Participanti!A:B,2,0)</f>
        <v>M</v>
      </c>
      <c r="AF91" s="1" t="str">
        <f>VLOOKUP(B91,Data_Echipe!A:R,18,0)</f>
        <v>#notSYRious</v>
      </c>
    </row>
    <row r="92" spans="1:32" ht="13" x14ac:dyDescent="0.3">
      <c r="A92" s="79">
        <v>91</v>
      </c>
      <c r="B92" s="30" t="s">
        <v>398</v>
      </c>
      <c r="C92" s="31" t="str">
        <f>IF(SUMIFS(Data!$U:$U,Data!$A:$A,$B92,Data!$C:$C,C$1)=0,"",SUMIFS(Data!$U:$U,Data!$A:$A,$B92,Data!$C:$C,C$1))</f>
        <v/>
      </c>
      <c r="D92" s="31" t="str">
        <f>IF(SUMIFS(Data!$U:$U,Data!$A:$A,$B92,Data!$C:$C,D$1)=0,"",SUMIFS(Data!$U:$U,Data!$A:$A,$B92,Data!$C:$C,D$1))</f>
        <v/>
      </c>
      <c r="E92" s="31">
        <f>IF(SUMIFS(Data!$U:$U,Data!$A:$A,$B92,Data!$C:$C,E$1)=0,"",SUMIFS(Data!$U:$U,Data!$A:$A,$B92,Data!$C:$C,E$1))</f>
        <v>3.0536250000000003</v>
      </c>
      <c r="F92" s="31">
        <f>IF(SUMIFS(Data!$U:$U,Data!$A:$A,$B92,Data!$C:$C,F$1)=0,"",SUMIFS(Data!$U:$U,Data!$A:$A,$B92,Data!$C:$C,F$1))</f>
        <v>1.95875</v>
      </c>
      <c r="G92" s="31">
        <f>IF(SUMIFS(Data!$U:$U,Data!$A:$A,$B92,Data!$C:$C,G$1)=0,"",SUMIFS(Data!$U:$U,Data!$A:$A,$B92,Data!$C:$C,G$1))</f>
        <v>1.91</v>
      </c>
      <c r="H92" s="31">
        <f>IF(SUMIFS(Data!$U:$U,Data!$A:$A,$B92,Data!$C:$C,H$1)=0,"",SUMIFS(Data!$U:$U,Data!$A:$A,$B92,Data!$C:$C,H$1))</f>
        <v>2.0137499999999999</v>
      </c>
      <c r="I92" s="31" t="str">
        <f>IF(SUMIFS(Data!$U:$U,Data!$A:$A,$B92,Data!$C:$C,I$1)=0,"",SUMIFS(Data!$U:$U,Data!$A:$A,$B92,Data!$C:$C,I$1))</f>
        <v/>
      </c>
      <c r="J92" s="31">
        <f>IF(SUMIFS(Data!$U:$U,Data!$A:$A,$B92,Data!$C:$C,J$1)=0,"",SUMIFS(Data!$U:$U,Data!$A:$A,$B92,Data!$C:$C,J$1))</f>
        <v>1.5131250000000001</v>
      </c>
      <c r="K92" s="31">
        <f>IF(SUMIFS(Data!$U:$U,Data!$A:$A,$B92,Data!$C:$C,K$1)=0,"",SUMIFS(Data!$U:$U,Data!$A:$A,$B92,Data!$C:$C,K$1))</f>
        <v>2.0143750000000002</v>
      </c>
      <c r="L92" s="31" t="str">
        <f>IF(SUMIFS(Data!$U:$U,Data!$A:$A,$B92,Data!$C:$C,L$1)=0,"",SUMIFS(Data!$U:$U,Data!$A:$A,$B92,Data!$C:$C,L$1))</f>
        <v/>
      </c>
      <c r="M92" s="31" t="str">
        <f>IF(SUMIFS(Data!$U:$U,Data!$A:$A,$B92,Data!$C:$C,M$1)=0,"",SUMIFS(Data!$U:$U,Data!$A:$A,$B92,Data!$C:$C,M$1))</f>
        <v/>
      </c>
      <c r="N92" s="31" t="str">
        <f>IF(SUMIFS(Data!$U:$U,Data!$A:$A,$B92,Data!$C:$C,N$1)=0,"",SUMIFS(Data!$U:$U,Data!$A:$A,$B92,Data!$C:$C,N$1))</f>
        <v/>
      </c>
      <c r="O92" s="31" t="str">
        <f>IF(SUMIFS(Data!$U:$U,Data!$A:$A,$B92,Data!$C:$C,O$1)=0,"",SUMIFS(Data!$U:$U,Data!$A:$A,$B92,Data!$C:$C,O$1))</f>
        <v/>
      </c>
      <c r="P92" s="31" t="str">
        <f>IF(SUMIFS(Data!$U:$U,Data!$A:$A,$B92,Data!$C:$C,P$1)=0,"",SUMIFS(Data!$U:$U,Data!$A:$A,$B92,Data!$C:$C,P$1))</f>
        <v/>
      </c>
      <c r="Q92" s="31" t="str">
        <f>IF(SUMIFS(Data!$U:$U,Data!$A:$A,$B92,Data!$C:$C,Q$1)=0,"",SUMIFS(Data!$U:$U,Data!$A:$A,$B92,Data!$C:$C,Q$1))</f>
        <v/>
      </c>
      <c r="R92" s="31">
        <f>VLOOKUP(W92,Barem!$W$39:$X$54,2,0)</f>
        <v>0</v>
      </c>
      <c r="S92" s="31">
        <f>SUM(C92:R92)</f>
        <v>12.463625</v>
      </c>
      <c r="T92" s="31">
        <f>SUMIFS(Data!D:D,Data!A:A,'#ligaSYR'!B100)</f>
        <v>44.63</v>
      </c>
      <c r="U92" s="1" t="str">
        <f>IF(VLOOKUP(B92,Participanti!A:D,4,0)=0," ","New")</f>
        <v>New</v>
      </c>
      <c r="W92" s="116">
        <f>SUMIFS(Data!Z:Z,Data!A:A,'#ligaSYR'!B92)</f>
        <v>2</v>
      </c>
      <c r="X92" s="116" t="s">
        <v>312</v>
      </c>
      <c r="Y92" s="1" t="s">
        <v>312</v>
      </c>
      <c r="Z92" s="1" t="s">
        <v>312</v>
      </c>
      <c r="AC92" s="1" t="s">
        <v>312</v>
      </c>
      <c r="AD92" s="1" t="s">
        <v>312</v>
      </c>
      <c r="AE92" s="1" t="str">
        <f>VLOOKUP(B92,Participanti!A:B,2,0)</f>
        <v>F</v>
      </c>
      <c r="AF92" s="1" t="e">
        <f>VLOOKUP(B92,Data_Echipe!A:R,18,0)</f>
        <v>#N/A</v>
      </c>
    </row>
    <row r="93" spans="1:32" ht="13" x14ac:dyDescent="0.3">
      <c r="A93" s="79">
        <v>92</v>
      </c>
      <c r="B93" s="30" t="s">
        <v>469</v>
      </c>
      <c r="C93" s="31" t="str">
        <f>IF(SUMIFS(Data!$U:$U,Data!$A:$A,$B93,Data!$C:$C,C$1)=0,"",SUMIFS(Data!$U:$U,Data!$A:$A,$B93,Data!$C:$C,C$1))</f>
        <v/>
      </c>
      <c r="D93" s="31" t="str">
        <f>IF(SUMIFS(Data!$U:$U,Data!$A:$A,$B93,Data!$C:$C,D$1)=0,"",SUMIFS(Data!$U:$U,Data!$A:$A,$B93,Data!$C:$C,D$1))</f>
        <v/>
      </c>
      <c r="E93" s="31" t="str">
        <f>IF(SUMIFS(Data!$U:$U,Data!$A:$A,$B93,Data!$C:$C,E$1)=0,"",SUMIFS(Data!$U:$U,Data!$A:$A,$B93,Data!$C:$C,E$1))</f>
        <v/>
      </c>
      <c r="F93" s="31" t="str">
        <f>IF(SUMIFS(Data!$U:$U,Data!$A:$A,$B93,Data!$C:$C,F$1)=0,"",SUMIFS(Data!$U:$U,Data!$A:$A,$B93,Data!$C:$C,F$1))</f>
        <v/>
      </c>
      <c r="G93" s="31" t="str">
        <f>IF(SUMIFS(Data!$U:$U,Data!$A:$A,$B93,Data!$C:$C,G$1)=0,"",SUMIFS(Data!$U:$U,Data!$A:$A,$B93,Data!$C:$C,G$1))</f>
        <v/>
      </c>
      <c r="H93" s="31" t="str">
        <f>IF(SUMIFS(Data!$U:$U,Data!$A:$A,$B93,Data!$C:$C,H$1)=0,"",SUMIFS(Data!$U:$U,Data!$A:$A,$B93,Data!$C:$C,H$1))</f>
        <v/>
      </c>
      <c r="I93" s="31" t="str">
        <f>IF(SUMIFS(Data!$U:$U,Data!$A:$A,$B93,Data!$C:$C,I$1)=0,"",SUMIFS(Data!$U:$U,Data!$A:$A,$B93,Data!$C:$C,I$1))</f>
        <v/>
      </c>
      <c r="J93" s="31">
        <f>IF(SUMIFS(Data!$U:$U,Data!$A:$A,$B93,Data!$C:$C,J$1)=0,"",SUMIFS(Data!$U:$U,Data!$A:$A,$B93,Data!$C:$C,J$1))</f>
        <v>3.7016666666666667</v>
      </c>
      <c r="K93" s="31" t="str">
        <f>IF(SUMIFS(Data!$U:$U,Data!$A:$A,$B93,Data!$C:$C,K$1)=0,"",SUMIFS(Data!$U:$U,Data!$A:$A,$B93,Data!$C:$C,K$1))</f>
        <v/>
      </c>
      <c r="L93" s="31">
        <f>IF(SUMIFS(Data!$U:$U,Data!$A:$A,$B93,Data!$C:$C,L$1)=0,"",SUMIFS(Data!$U:$U,Data!$A:$A,$B93,Data!$C:$C,L$1))</f>
        <v>3.3650238095238096</v>
      </c>
      <c r="M93" s="31" t="str">
        <f>IF(SUMIFS(Data!$U:$U,Data!$A:$A,$B93,Data!$C:$C,M$1)=0,"",SUMIFS(Data!$U:$U,Data!$A:$A,$B93,Data!$C:$C,M$1))</f>
        <v/>
      </c>
      <c r="N93" s="31" t="str">
        <f>IF(SUMIFS(Data!$U:$U,Data!$A:$A,$B93,Data!$C:$C,N$1)=0,"",SUMIFS(Data!$U:$U,Data!$A:$A,$B93,Data!$C:$C,N$1))</f>
        <v/>
      </c>
      <c r="O93" s="31">
        <f>IF(SUMIFS(Data!$U:$U,Data!$A:$A,$B93,Data!$C:$C,O$1)=0,"",SUMIFS(Data!$U:$U,Data!$A:$A,$B93,Data!$C:$C,O$1))</f>
        <v>2.1767857142857143</v>
      </c>
      <c r="P93" s="31" t="str">
        <f>IF(SUMIFS(Data!$U:$U,Data!$A:$A,$B93,Data!$C:$C,P$1)=0,"",SUMIFS(Data!$U:$U,Data!$A:$A,$B93,Data!$C:$C,P$1))</f>
        <v/>
      </c>
      <c r="Q93" s="31">
        <f>IF(SUMIFS(Data!$U:$U,Data!$A:$A,$B93,Data!$C:$C,Q$1)=0,"",SUMIFS(Data!$U:$U,Data!$A:$A,$B93,Data!$C:$C,Q$1))</f>
        <v>2.8437142857142854</v>
      </c>
      <c r="R93" s="31">
        <f>VLOOKUP(W93,Barem!$W$39:$X$54,2,0)</f>
        <v>0</v>
      </c>
      <c r="S93" s="31">
        <f>SUM(C93:R93)</f>
        <v>12.087190476190475</v>
      </c>
      <c r="T93" s="31">
        <f>SUMIFS(Data!D:D,Data!A:A,'#ligaSYR'!B99)</f>
        <v>47.43</v>
      </c>
      <c r="W93" s="116">
        <f>SUMIFS(Data!Z:Z,Data!A:A,'#ligaSYR'!B93)</f>
        <v>4</v>
      </c>
      <c r="AF93" s="1" t="e">
        <f>VLOOKUP(B93,Data_Echipe!A:R,18,0)</f>
        <v>#N/A</v>
      </c>
    </row>
    <row r="94" spans="1:32" ht="13" x14ac:dyDescent="0.3">
      <c r="A94" s="79">
        <v>93</v>
      </c>
      <c r="B94" s="30" t="s">
        <v>340</v>
      </c>
      <c r="C94" s="31">
        <f>IF(SUMIFS(Data!$U:$U,Data!$A:$A,$B94,Data!$C:$C,C$1)=0,"",SUMIFS(Data!$U:$U,Data!$A:$A,$B94,Data!$C:$C,C$1))</f>
        <v>1.8958333333333333</v>
      </c>
      <c r="D94" s="31">
        <f>IF(SUMIFS(Data!$U:$U,Data!$A:$A,$B94,Data!$C:$C,D$1)=0,"",SUMIFS(Data!$U:$U,Data!$A:$A,$B94,Data!$C:$C,D$1))</f>
        <v>1.6821428571428572</v>
      </c>
      <c r="E94" s="31">
        <f>IF(SUMIFS(Data!$U:$U,Data!$A:$A,$B94,Data!$C:$C,E$1)=0,"",SUMIFS(Data!$U:$U,Data!$A:$A,$B94,Data!$C:$C,E$1))</f>
        <v>1.8946428571428571</v>
      </c>
      <c r="F94" s="31">
        <f>IF(SUMIFS(Data!$U:$U,Data!$A:$A,$B94,Data!$C:$C,F$1)=0,"",SUMIFS(Data!$U:$U,Data!$A:$A,$B94,Data!$C:$C,F$1))</f>
        <v>1.8779761904761905</v>
      </c>
      <c r="G94" s="31">
        <f>IF(SUMIFS(Data!$U:$U,Data!$A:$A,$B94,Data!$C:$C,G$1)=0,"",SUMIFS(Data!$U:$U,Data!$A:$A,$B94,Data!$C:$C,G$1))</f>
        <v>1.9613095238095239</v>
      </c>
      <c r="H94" s="31">
        <f>IF(SUMIFS(Data!$U:$U,Data!$A:$A,$B94,Data!$C:$C,H$1)=0,"",SUMIFS(Data!$U:$U,Data!$A:$A,$B94,Data!$C:$C,H$1))</f>
        <v>1.3458333333333332</v>
      </c>
      <c r="I94" s="31" t="str">
        <f>IF(SUMIFS(Data!$U:$U,Data!$A:$A,$B94,Data!$C:$C,I$1)=0,"",SUMIFS(Data!$U:$U,Data!$A:$A,$B94,Data!$C:$C,I$1))</f>
        <v/>
      </c>
      <c r="J94" s="31" t="str">
        <f>IF(SUMIFS(Data!$U:$U,Data!$A:$A,$B94,Data!$C:$C,J$1)=0,"",SUMIFS(Data!$U:$U,Data!$A:$A,$B94,Data!$C:$C,J$1))</f>
        <v/>
      </c>
      <c r="K94" s="31" t="str">
        <f>IF(SUMIFS(Data!$U:$U,Data!$A:$A,$B94,Data!$C:$C,K$1)=0,"",SUMIFS(Data!$U:$U,Data!$A:$A,$B94,Data!$C:$C,K$1))</f>
        <v/>
      </c>
      <c r="L94" s="31" t="str">
        <f>IF(SUMIFS(Data!$U:$U,Data!$A:$A,$B94,Data!$C:$C,L$1)=0,"",SUMIFS(Data!$U:$U,Data!$A:$A,$B94,Data!$C:$C,L$1))</f>
        <v/>
      </c>
      <c r="M94" s="31" t="str">
        <f>IF(SUMIFS(Data!$U:$U,Data!$A:$A,$B94,Data!$C:$C,M$1)=0,"",SUMIFS(Data!$U:$U,Data!$A:$A,$B94,Data!$C:$C,M$1))</f>
        <v/>
      </c>
      <c r="N94" s="31" t="str">
        <f>IF(SUMIFS(Data!$U:$U,Data!$A:$A,$B94,Data!$C:$C,N$1)=0,"",SUMIFS(Data!$U:$U,Data!$A:$A,$B94,Data!$C:$C,N$1))</f>
        <v/>
      </c>
      <c r="O94" s="31" t="str">
        <f>IF(SUMIFS(Data!$U:$U,Data!$A:$A,$B94,Data!$C:$C,O$1)=0,"",SUMIFS(Data!$U:$U,Data!$A:$A,$B94,Data!$C:$C,O$1))</f>
        <v/>
      </c>
      <c r="P94" s="31" t="str">
        <f>IF(SUMIFS(Data!$U:$U,Data!$A:$A,$B94,Data!$C:$C,P$1)=0,"",SUMIFS(Data!$U:$U,Data!$A:$A,$B94,Data!$C:$C,P$1))</f>
        <v/>
      </c>
      <c r="Q94" s="31" t="str">
        <f>IF(SUMIFS(Data!$U:$U,Data!$A:$A,$B94,Data!$C:$C,Q$1)=0,"",SUMIFS(Data!$U:$U,Data!$A:$A,$B94,Data!$C:$C,Q$1))</f>
        <v/>
      </c>
      <c r="R94" s="31">
        <f>VLOOKUP(W94,Barem!$W$39:$X$54,2,0)</f>
        <v>1</v>
      </c>
      <c r="S94" s="31">
        <f>SUM(C94:R94)</f>
        <v>11.657738095238095</v>
      </c>
      <c r="T94" s="31">
        <f>SUMIFS(Data!D:D,Data!A:A,'#ligaSYR'!B76)</f>
        <v>67.760000000000005</v>
      </c>
      <c r="U94" s="1" t="str">
        <f>IF(VLOOKUP(B94,Participanti!A:D,4,0)=0," ","New")</f>
        <v>New</v>
      </c>
      <c r="W94" s="116">
        <f>SUMIFS(Data!Z:Z,Data!A:A,'#ligaSYR'!B94)</f>
        <v>6</v>
      </c>
      <c r="X94" s="116" t="s">
        <v>312</v>
      </c>
      <c r="Z94" s="1" t="s">
        <v>312</v>
      </c>
      <c r="AA94" s="1" t="s">
        <v>312</v>
      </c>
      <c r="AC94" s="1" t="s">
        <v>312</v>
      </c>
      <c r="AE94" s="1" t="str">
        <f>VLOOKUP(B94,Participanti!A:B,2,0)</f>
        <v>M</v>
      </c>
      <c r="AF94" s="1" t="e">
        <f>VLOOKUP(B94,Data_Echipe!A:R,18,0)</f>
        <v>#N/A</v>
      </c>
    </row>
    <row r="95" spans="1:32" ht="13" x14ac:dyDescent="0.3">
      <c r="A95" s="79">
        <v>94</v>
      </c>
      <c r="B95" s="30" t="s">
        <v>392</v>
      </c>
      <c r="C95" s="31" t="str">
        <f>IF(SUMIFS(Data!$U:$U,Data!$A:$A,$B95,Data!$C:$C,C$1)=0,"",SUMIFS(Data!$U:$U,Data!$A:$A,$B95,Data!$C:$C,C$1))</f>
        <v/>
      </c>
      <c r="D95" s="31" t="str">
        <f>IF(SUMIFS(Data!$U:$U,Data!$A:$A,$B95,Data!$C:$C,D$1)=0,"",SUMIFS(Data!$U:$U,Data!$A:$A,$B95,Data!$C:$C,D$1))</f>
        <v/>
      </c>
      <c r="E95" s="31">
        <f>IF(SUMIFS(Data!$U:$U,Data!$A:$A,$B95,Data!$C:$C,E$1)=0,"",SUMIFS(Data!$U:$U,Data!$A:$A,$B95,Data!$C:$C,E$1))</f>
        <v>1.8119047619047617</v>
      </c>
      <c r="F95" s="31" t="str">
        <f>IF(SUMIFS(Data!$U:$U,Data!$A:$A,$B95,Data!$C:$C,F$1)=0,"",SUMIFS(Data!$U:$U,Data!$A:$A,$B95,Data!$C:$C,F$1))</f>
        <v/>
      </c>
      <c r="G95" s="31">
        <f>IF(SUMIFS(Data!$U:$U,Data!$A:$A,$B95,Data!$C:$C,G$1)=0,"",SUMIFS(Data!$U:$U,Data!$A:$A,$B95,Data!$C:$C,G$1))</f>
        <v>2.1166666666666667</v>
      </c>
      <c r="H95" s="31">
        <f>IF(SUMIFS(Data!$U:$U,Data!$A:$A,$B95,Data!$C:$C,H$1)=0,"",SUMIFS(Data!$U:$U,Data!$A:$A,$B95,Data!$C:$C,H$1))</f>
        <v>3.125</v>
      </c>
      <c r="I95" s="31">
        <f>IF(SUMIFS(Data!$U:$U,Data!$A:$A,$B95,Data!$C:$C,I$1)=0,"",SUMIFS(Data!$U:$U,Data!$A:$A,$B95,Data!$C:$C,I$1))</f>
        <v>3.3125</v>
      </c>
      <c r="J95" s="31" t="str">
        <f>IF(SUMIFS(Data!$U:$U,Data!$A:$A,$B95,Data!$C:$C,J$1)=0,"",SUMIFS(Data!$U:$U,Data!$A:$A,$B95,Data!$C:$C,J$1))</f>
        <v/>
      </c>
      <c r="K95" s="31" t="str">
        <f>IF(SUMIFS(Data!$U:$U,Data!$A:$A,$B95,Data!$C:$C,K$1)=0,"",SUMIFS(Data!$U:$U,Data!$A:$A,$B95,Data!$C:$C,K$1))</f>
        <v/>
      </c>
      <c r="L95" s="31" t="str">
        <f>IF(SUMIFS(Data!$U:$U,Data!$A:$A,$B95,Data!$C:$C,L$1)=0,"",SUMIFS(Data!$U:$U,Data!$A:$A,$B95,Data!$C:$C,L$1))</f>
        <v/>
      </c>
      <c r="M95" s="31" t="str">
        <f>IF(SUMIFS(Data!$U:$U,Data!$A:$A,$B95,Data!$C:$C,M$1)=0,"",SUMIFS(Data!$U:$U,Data!$A:$A,$B95,Data!$C:$C,M$1))</f>
        <v/>
      </c>
      <c r="N95" s="31" t="str">
        <f>IF(SUMIFS(Data!$U:$U,Data!$A:$A,$B95,Data!$C:$C,N$1)=0,"",SUMIFS(Data!$U:$U,Data!$A:$A,$B95,Data!$C:$C,N$1))</f>
        <v/>
      </c>
      <c r="O95" s="31" t="str">
        <f>IF(SUMIFS(Data!$U:$U,Data!$A:$A,$B95,Data!$C:$C,O$1)=0,"",SUMIFS(Data!$U:$U,Data!$A:$A,$B95,Data!$C:$C,O$1))</f>
        <v/>
      </c>
      <c r="P95" s="31" t="str">
        <f>IF(SUMIFS(Data!$U:$U,Data!$A:$A,$B95,Data!$C:$C,P$1)=0,"",SUMIFS(Data!$U:$U,Data!$A:$A,$B95,Data!$C:$C,P$1))</f>
        <v/>
      </c>
      <c r="Q95" s="31" t="str">
        <f>IF(SUMIFS(Data!$U:$U,Data!$A:$A,$B95,Data!$C:$C,Q$1)=0,"",SUMIFS(Data!$U:$U,Data!$A:$A,$B95,Data!$C:$C,Q$1))</f>
        <v/>
      </c>
      <c r="R95" s="31">
        <f>VLOOKUP(W95,Barem!$W$39:$X$54,2,0)</f>
        <v>0</v>
      </c>
      <c r="S95" s="31">
        <f>SUM(C95:R95)</f>
        <v>10.366071428571429</v>
      </c>
      <c r="T95" s="31">
        <f>SUMIFS(Data!D:D,Data!A:A,'#ligaSYR'!B103)</f>
        <v>62.760000000000005</v>
      </c>
      <c r="U95" s="1" t="str">
        <f>IF(VLOOKUP(B95,Participanti!A:D,4,0)=0," ","New")</f>
        <v>New</v>
      </c>
      <c r="W95" s="116">
        <f>SUMIFS(Data!Z:Z,Data!A:A,'#ligaSYR'!B95)</f>
        <v>4</v>
      </c>
      <c r="X95" s="116" t="s">
        <v>312</v>
      </c>
      <c r="Y95" s="1" t="s">
        <v>312</v>
      </c>
      <c r="Z95" s="1" t="s">
        <v>312</v>
      </c>
      <c r="AC95" s="1" t="s">
        <v>312</v>
      </c>
      <c r="AD95" s="1" t="s">
        <v>312</v>
      </c>
      <c r="AE95" s="1" t="str">
        <f>VLOOKUP(B95,Participanti!A:B,2,0)</f>
        <v>M</v>
      </c>
      <c r="AF95" s="1" t="e">
        <f>VLOOKUP(B95,Data_Echipe!A:R,18,0)</f>
        <v>#N/A</v>
      </c>
    </row>
    <row r="96" spans="1:32" ht="13" x14ac:dyDescent="0.3">
      <c r="A96" s="79">
        <v>95</v>
      </c>
      <c r="B96" s="30" t="s">
        <v>358</v>
      </c>
      <c r="C96" s="31">
        <f>IF(SUMIFS(Data!$U:$U,Data!$A:$A,$B96,Data!$C:$C,C$1)=0,"",SUMIFS(Data!$U:$U,Data!$A:$A,$B96,Data!$C:$C,C$1))</f>
        <v>3.1909999999999998</v>
      </c>
      <c r="D96" s="31">
        <f>IF(SUMIFS(Data!$U:$U,Data!$A:$A,$B96,Data!$C:$C,D$1)=0,"",SUMIFS(Data!$U:$U,Data!$A:$A,$B96,Data!$C:$C,D$1))</f>
        <v>1.5</v>
      </c>
      <c r="E96" s="31">
        <f>IF(SUMIFS(Data!$U:$U,Data!$A:$A,$B96,Data!$C:$C,E$1)=0,"",SUMIFS(Data!$U:$U,Data!$A:$A,$B96,Data!$C:$C,E$1))</f>
        <v>3.1998333333333333</v>
      </c>
      <c r="F96" s="31">
        <f>IF(SUMIFS(Data!$U:$U,Data!$A:$A,$B96,Data!$C:$C,F$1)=0,"",SUMIFS(Data!$U:$U,Data!$A:$A,$B96,Data!$C:$C,F$1))</f>
        <v>1.4728333333333334</v>
      </c>
      <c r="G96" s="31">
        <f>IF(SUMIFS(Data!$U:$U,Data!$A:$A,$B96,Data!$C:$C,G$1)=0,"",SUMIFS(Data!$U:$U,Data!$A:$A,$B96,Data!$C:$C,G$1))</f>
        <v>0.9395</v>
      </c>
      <c r="H96" s="31" t="str">
        <f>IF(SUMIFS(Data!$U:$U,Data!$A:$A,$B96,Data!$C:$C,H$1)=0,"",SUMIFS(Data!$U:$U,Data!$A:$A,$B96,Data!$C:$C,H$1))</f>
        <v/>
      </c>
      <c r="I96" s="31" t="str">
        <f>IF(SUMIFS(Data!$U:$U,Data!$A:$A,$B96,Data!$C:$C,I$1)=0,"",SUMIFS(Data!$U:$U,Data!$A:$A,$B96,Data!$C:$C,I$1))</f>
        <v/>
      </c>
      <c r="J96" s="31" t="str">
        <f>IF(SUMIFS(Data!$U:$U,Data!$A:$A,$B96,Data!$C:$C,J$1)=0,"",SUMIFS(Data!$U:$U,Data!$A:$A,$B96,Data!$C:$C,J$1))</f>
        <v/>
      </c>
      <c r="K96" s="31" t="str">
        <f>IF(SUMIFS(Data!$U:$U,Data!$A:$A,$B96,Data!$C:$C,K$1)=0,"",SUMIFS(Data!$U:$U,Data!$A:$A,$B96,Data!$C:$C,K$1))</f>
        <v/>
      </c>
      <c r="L96" s="31" t="str">
        <f>IF(SUMIFS(Data!$U:$U,Data!$A:$A,$B96,Data!$C:$C,L$1)=0,"",SUMIFS(Data!$U:$U,Data!$A:$A,$B96,Data!$C:$C,L$1))</f>
        <v/>
      </c>
      <c r="M96" s="31" t="str">
        <f>IF(SUMIFS(Data!$U:$U,Data!$A:$A,$B96,Data!$C:$C,M$1)=0,"",SUMIFS(Data!$U:$U,Data!$A:$A,$B96,Data!$C:$C,M$1))</f>
        <v/>
      </c>
      <c r="N96" s="31" t="str">
        <f>IF(SUMIFS(Data!$U:$U,Data!$A:$A,$B96,Data!$C:$C,N$1)=0,"",SUMIFS(Data!$U:$U,Data!$A:$A,$B96,Data!$C:$C,N$1))</f>
        <v/>
      </c>
      <c r="O96" s="31" t="str">
        <f>IF(SUMIFS(Data!$U:$U,Data!$A:$A,$B96,Data!$C:$C,O$1)=0,"",SUMIFS(Data!$U:$U,Data!$A:$A,$B96,Data!$C:$C,O$1))</f>
        <v/>
      </c>
      <c r="P96" s="31" t="str">
        <f>IF(SUMIFS(Data!$U:$U,Data!$A:$A,$B96,Data!$C:$C,P$1)=0,"",SUMIFS(Data!$U:$U,Data!$A:$A,$B96,Data!$C:$C,P$1))</f>
        <v/>
      </c>
      <c r="Q96" s="31" t="str">
        <f>IF(SUMIFS(Data!$U:$U,Data!$A:$A,$B96,Data!$C:$C,Q$1)=0,"",SUMIFS(Data!$U:$U,Data!$A:$A,$B96,Data!$C:$C,Q$1))</f>
        <v/>
      </c>
      <c r="R96" s="31">
        <f>VLOOKUP(W96,Barem!$W$39:$X$54,2,0)</f>
        <v>0</v>
      </c>
      <c r="S96" s="31">
        <f>SUM(C96:R96)</f>
        <v>10.303166666666668</v>
      </c>
      <c r="T96" s="31">
        <f>SUMIFS(Data!D:D,Data!A:A,'#ligaSYR'!B57)</f>
        <v>181.97</v>
      </c>
      <c r="U96" s="1" t="str">
        <f>IF(VLOOKUP(B96,Participanti!A:D,4,0)=0," ","New")</f>
        <v>New</v>
      </c>
      <c r="W96" s="116">
        <f>SUMIFS(Data!Z:Z,Data!A:A,'#ligaSYR'!B96)</f>
        <v>1</v>
      </c>
      <c r="X96" s="116" t="s">
        <v>312</v>
      </c>
      <c r="Z96" s="1" t="s">
        <v>312</v>
      </c>
      <c r="AC96" s="1" t="s">
        <v>312</v>
      </c>
      <c r="AD96" s="1" t="s">
        <v>312</v>
      </c>
      <c r="AE96" s="1" t="str">
        <f>VLOOKUP(B96,Participanti!A:B,2,0)</f>
        <v>F</v>
      </c>
      <c r="AF96" s="1" t="str">
        <f>VLOOKUP(B96,Data_Echipe!A:R,18,0)</f>
        <v>#notSYRious</v>
      </c>
    </row>
    <row r="97" spans="1:32" ht="13" x14ac:dyDescent="0.3">
      <c r="A97" s="79">
        <v>96</v>
      </c>
      <c r="B97" s="30" t="s">
        <v>373</v>
      </c>
      <c r="C97" s="31">
        <f>IF(SUMIFS(Data!$U:$U,Data!$A:$A,$B97,Data!$C:$C,C$1)=0,"",SUMIFS(Data!$U:$U,Data!$A:$A,$B97,Data!$C:$C,C$1))</f>
        <v>1.7162500000000001</v>
      </c>
      <c r="D97" s="31">
        <f>IF(SUMIFS(Data!$U:$U,Data!$A:$A,$B97,Data!$C:$C,D$1)=0,"",SUMIFS(Data!$U:$U,Data!$A:$A,$B97,Data!$C:$C,D$1))</f>
        <v>2.9387499999999998</v>
      </c>
      <c r="E97" s="31">
        <f>IF(SUMIFS(Data!$U:$U,Data!$A:$A,$B97,Data!$C:$C,E$1)=0,"",SUMIFS(Data!$U:$U,Data!$A:$A,$B97,Data!$C:$C,E$1))</f>
        <v>3.223125</v>
      </c>
      <c r="F97" s="31">
        <f>IF(SUMIFS(Data!$U:$U,Data!$A:$A,$B97,Data!$C:$C,F$1)=0,"",SUMIFS(Data!$U:$U,Data!$A:$A,$B97,Data!$C:$C,F$1))</f>
        <v>1.9393750000000001</v>
      </c>
      <c r="G97" s="31" t="str">
        <f>IF(SUMIFS(Data!$U:$U,Data!$A:$A,$B97,Data!$C:$C,G$1)=0,"",SUMIFS(Data!$U:$U,Data!$A:$A,$B97,Data!$C:$C,G$1))</f>
        <v/>
      </c>
      <c r="H97" s="31" t="str">
        <f>IF(SUMIFS(Data!$U:$U,Data!$A:$A,$B97,Data!$C:$C,H$1)=0,"",SUMIFS(Data!$U:$U,Data!$A:$A,$B97,Data!$C:$C,H$1))</f>
        <v/>
      </c>
      <c r="I97" s="31" t="str">
        <f>IF(SUMIFS(Data!$U:$U,Data!$A:$A,$B97,Data!$C:$C,I$1)=0,"",SUMIFS(Data!$U:$U,Data!$A:$A,$B97,Data!$C:$C,I$1))</f>
        <v/>
      </c>
      <c r="J97" s="31" t="str">
        <f>IF(SUMIFS(Data!$U:$U,Data!$A:$A,$B97,Data!$C:$C,J$1)=0,"",SUMIFS(Data!$U:$U,Data!$A:$A,$B97,Data!$C:$C,J$1))</f>
        <v/>
      </c>
      <c r="K97" s="31" t="str">
        <f>IF(SUMIFS(Data!$U:$U,Data!$A:$A,$B97,Data!$C:$C,K$1)=0,"",SUMIFS(Data!$U:$U,Data!$A:$A,$B97,Data!$C:$C,K$1))</f>
        <v/>
      </c>
      <c r="L97" s="31" t="str">
        <f>IF(SUMIFS(Data!$U:$U,Data!$A:$A,$B97,Data!$C:$C,L$1)=0,"",SUMIFS(Data!$U:$U,Data!$A:$A,$B97,Data!$C:$C,L$1))</f>
        <v/>
      </c>
      <c r="M97" s="31" t="str">
        <f>IF(SUMIFS(Data!$U:$U,Data!$A:$A,$B97,Data!$C:$C,M$1)=0,"",SUMIFS(Data!$U:$U,Data!$A:$A,$B97,Data!$C:$C,M$1))</f>
        <v/>
      </c>
      <c r="N97" s="31" t="str">
        <f>IF(SUMIFS(Data!$U:$U,Data!$A:$A,$B97,Data!$C:$C,N$1)=0,"",SUMIFS(Data!$U:$U,Data!$A:$A,$B97,Data!$C:$C,N$1))</f>
        <v/>
      </c>
      <c r="O97" s="31" t="str">
        <f>IF(SUMIFS(Data!$U:$U,Data!$A:$A,$B97,Data!$C:$C,O$1)=0,"",SUMIFS(Data!$U:$U,Data!$A:$A,$B97,Data!$C:$C,O$1))</f>
        <v/>
      </c>
      <c r="P97" s="31" t="str">
        <f>IF(SUMIFS(Data!$U:$U,Data!$A:$A,$B97,Data!$C:$C,P$1)=0,"",SUMIFS(Data!$U:$U,Data!$A:$A,$B97,Data!$C:$C,P$1))</f>
        <v/>
      </c>
      <c r="Q97" s="31" t="str">
        <f>IF(SUMIFS(Data!$U:$U,Data!$A:$A,$B97,Data!$C:$C,Q$1)=0,"",SUMIFS(Data!$U:$U,Data!$A:$A,$B97,Data!$C:$C,Q$1))</f>
        <v/>
      </c>
      <c r="R97" s="31">
        <f>VLOOKUP(W97,Barem!$W$39:$X$54,2,0)</f>
        <v>0</v>
      </c>
      <c r="S97" s="31">
        <f>SUM(C97:R97)</f>
        <v>9.817499999999999</v>
      </c>
      <c r="T97" s="31">
        <f>SUMIFS(Data!D:D,Data!A:A,'#ligaSYR'!B58)</f>
        <v>143.67000000000002</v>
      </c>
      <c r="U97" s="1" t="str">
        <f>IF(VLOOKUP(B97,Participanti!A:D,4,0)=0," ","New")</f>
        <v>New</v>
      </c>
      <c r="W97" s="116">
        <f>SUMIFS(Data!Z:Z,Data!A:A,'#ligaSYR'!B97)</f>
        <v>4</v>
      </c>
      <c r="X97" s="116"/>
      <c r="AF97" s="1" t="e">
        <f>VLOOKUP(B97,Data_Echipe!A:R,18,0)</f>
        <v>#N/A</v>
      </c>
    </row>
    <row r="98" spans="1:32" ht="13" x14ac:dyDescent="0.3">
      <c r="A98" s="79">
        <v>97</v>
      </c>
      <c r="B98" s="30" t="s">
        <v>433</v>
      </c>
      <c r="C98" s="31" t="str">
        <f>IF(SUMIFS(Data!$U:$U,Data!$A:$A,$B98,Data!$C:$C,C$1)=0,"",SUMIFS(Data!$U:$U,Data!$A:$A,$B98,Data!$C:$C,C$1))</f>
        <v/>
      </c>
      <c r="D98" s="31" t="str">
        <f>IF(SUMIFS(Data!$U:$U,Data!$A:$A,$B98,Data!$C:$C,D$1)=0,"",SUMIFS(Data!$U:$U,Data!$A:$A,$B98,Data!$C:$C,D$1))</f>
        <v/>
      </c>
      <c r="E98" s="31" t="str">
        <f>IF(SUMIFS(Data!$U:$U,Data!$A:$A,$B98,Data!$C:$C,E$1)=0,"",SUMIFS(Data!$U:$U,Data!$A:$A,$B98,Data!$C:$C,E$1))</f>
        <v/>
      </c>
      <c r="F98" s="31" t="str">
        <f>IF(SUMIFS(Data!$U:$U,Data!$A:$A,$B98,Data!$C:$C,F$1)=0,"",SUMIFS(Data!$U:$U,Data!$A:$A,$B98,Data!$C:$C,F$1))</f>
        <v/>
      </c>
      <c r="G98" s="31">
        <f>IF(SUMIFS(Data!$U:$U,Data!$A:$A,$B98,Data!$C:$C,G$1)=0,"",SUMIFS(Data!$U:$U,Data!$A:$A,$B98,Data!$C:$C,G$1))</f>
        <v>1.7321428571428572</v>
      </c>
      <c r="H98" s="31">
        <f>IF(SUMIFS(Data!$U:$U,Data!$A:$A,$B98,Data!$C:$C,H$1)=0,"",SUMIFS(Data!$U:$U,Data!$A:$A,$B98,Data!$C:$C,H$1))</f>
        <v>2.7764047619047618</v>
      </c>
      <c r="I98" s="31">
        <f>IF(SUMIFS(Data!$U:$U,Data!$A:$A,$B98,Data!$C:$C,I$1)=0,"",SUMIFS(Data!$U:$U,Data!$A:$A,$B98,Data!$C:$C,I$1))</f>
        <v>2.4337380952380951</v>
      </c>
      <c r="J98" s="31">
        <f>IF(SUMIFS(Data!$U:$U,Data!$A:$A,$B98,Data!$C:$C,J$1)=0,"",SUMIFS(Data!$U:$U,Data!$A:$A,$B98,Data!$C:$C,J$1))</f>
        <v>2.2701666666666664</v>
      </c>
      <c r="K98" s="31" t="str">
        <f>IF(SUMIFS(Data!$U:$U,Data!$A:$A,$B98,Data!$C:$C,K$1)=0,"",SUMIFS(Data!$U:$U,Data!$A:$A,$B98,Data!$C:$C,K$1))</f>
        <v/>
      </c>
      <c r="L98" s="31" t="str">
        <f>IF(SUMIFS(Data!$U:$U,Data!$A:$A,$B98,Data!$C:$C,L$1)=0,"",SUMIFS(Data!$U:$U,Data!$A:$A,$B98,Data!$C:$C,L$1))</f>
        <v/>
      </c>
      <c r="M98" s="31" t="str">
        <f>IF(SUMIFS(Data!$U:$U,Data!$A:$A,$B98,Data!$C:$C,M$1)=0,"",SUMIFS(Data!$U:$U,Data!$A:$A,$B98,Data!$C:$C,M$1))</f>
        <v/>
      </c>
      <c r="N98" s="31" t="str">
        <f>IF(SUMIFS(Data!$U:$U,Data!$A:$A,$B98,Data!$C:$C,N$1)=0,"",SUMIFS(Data!$U:$U,Data!$A:$A,$B98,Data!$C:$C,N$1))</f>
        <v/>
      </c>
      <c r="O98" s="31" t="str">
        <f>IF(SUMIFS(Data!$U:$U,Data!$A:$A,$B98,Data!$C:$C,O$1)=0,"",SUMIFS(Data!$U:$U,Data!$A:$A,$B98,Data!$C:$C,O$1))</f>
        <v/>
      </c>
      <c r="P98" s="31" t="str">
        <f>IF(SUMIFS(Data!$U:$U,Data!$A:$A,$B98,Data!$C:$C,P$1)=0,"",SUMIFS(Data!$U:$U,Data!$A:$A,$B98,Data!$C:$C,P$1))</f>
        <v/>
      </c>
      <c r="Q98" s="31" t="str">
        <f>IF(SUMIFS(Data!$U:$U,Data!$A:$A,$B98,Data!$C:$C,Q$1)=0,"",SUMIFS(Data!$U:$U,Data!$A:$A,$B98,Data!$C:$C,Q$1))</f>
        <v/>
      </c>
      <c r="R98" s="31">
        <f>VLOOKUP(W98,Barem!$W$39:$X$54,2,0)</f>
        <v>0</v>
      </c>
      <c r="S98" s="31">
        <f>SUM(C98:R98)</f>
        <v>9.2124523809523797</v>
      </c>
      <c r="T98" s="31">
        <f>SUMIFS(Data!D:D,Data!A:A,'#ligaSYR'!B101)</f>
        <v>37.58</v>
      </c>
      <c r="U98" s="1" t="str">
        <f>IF(VLOOKUP(B98,Participanti!A:D,4,0)=0," ","New")</f>
        <v>New</v>
      </c>
      <c r="W98" s="116">
        <f>SUMIFS(Data!Z:Z,Data!A:A,'#ligaSYR'!B98)</f>
        <v>4</v>
      </c>
      <c r="X98" s="116" t="s">
        <v>312</v>
      </c>
      <c r="Y98" s="1" t="s">
        <v>312</v>
      </c>
      <c r="Z98" s="1" t="s">
        <v>312</v>
      </c>
      <c r="AC98" s="1" t="s">
        <v>312</v>
      </c>
      <c r="AD98" s="1" t="s">
        <v>312</v>
      </c>
      <c r="AE98" s="1" t="str">
        <f>VLOOKUP(B98,Participanti!A:B,2,0)</f>
        <v>M</v>
      </c>
      <c r="AF98" s="1" t="e">
        <f>VLOOKUP(B98,Data_Echipe!A:R,18,0)</f>
        <v>#N/A</v>
      </c>
    </row>
    <row r="99" spans="1:32" ht="13" x14ac:dyDescent="0.3">
      <c r="A99" s="79">
        <v>98</v>
      </c>
      <c r="B99" s="30" t="s">
        <v>380</v>
      </c>
      <c r="C99" s="31" t="str">
        <f>IF(SUMIFS(Data!$U:$U,Data!$A:$A,$B99,Data!$C:$C,C$1)=0,"",SUMIFS(Data!$U:$U,Data!$A:$A,$B99,Data!$C:$C,C$1))</f>
        <v/>
      </c>
      <c r="D99" s="31">
        <f>IF(SUMIFS(Data!$U:$U,Data!$A:$A,$B99,Data!$C:$C,D$1)=0,"",SUMIFS(Data!$U:$U,Data!$A:$A,$B99,Data!$C:$C,D$1))</f>
        <v>2.2916666666666665</v>
      </c>
      <c r="E99" s="31" t="str">
        <f>IF(SUMIFS(Data!$U:$U,Data!$A:$A,$B99,Data!$C:$C,E$1)=0,"",SUMIFS(Data!$U:$U,Data!$A:$A,$B99,Data!$C:$C,E$1))</f>
        <v/>
      </c>
      <c r="F99" s="31" t="str">
        <f>IF(SUMIFS(Data!$U:$U,Data!$A:$A,$B99,Data!$C:$C,F$1)=0,"",SUMIFS(Data!$U:$U,Data!$A:$A,$B99,Data!$C:$C,F$1))</f>
        <v/>
      </c>
      <c r="G99" s="31" t="str">
        <f>IF(SUMIFS(Data!$U:$U,Data!$A:$A,$B99,Data!$C:$C,G$1)=0,"",SUMIFS(Data!$U:$U,Data!$A:$A,$B99,Data!$C:$C,G$1))</f>
        <v/>
      </c>
      <c r="H99" s="31" t="str">
        <f>IF(SUMIFS(Data!$U:$U,Data!$A:$A,$B99,Data!$C:$C,H$1)=0,"",SUMIFS(Data!$U:$U,Data!$A:$A,$B99,Data!$C:$C,H$1))</f>
        <v/>
      </c>
      <c r="I99" s="31" t="str">
        <f>IF(SUMIFS(Data!$U:$U,Data!$A:$A,$B99,Data!$C:$C,I$1)=0,"",SUMIFS(Data!$U:$U,Data!$A:$A,$B99,Data!$C:$C,I$1))</f>
        <v/>
      </c>
      <c r="J99" s="31">
        <f>IF(SUMIFS(Data!$U:$U,Data!$A:$A,$B99,Data!$C:$C,J$1)=0,"",SUMIFS(Data!$U:$U,Data!$A:$A,$B99,Data!$C:$C,J$1))</f>
        <v>2.7250000000000001</v>
      </c>
      <c r="K99" s="31" t="str">
        <f>IF(SUMIFS(Data!$U:$U,Data!$A:$A,$B99,Data!$C:$C,K$1)=0,"",SUMIFS(Data!$U:$U,Data!$A:$A,$B99,Data!$C:$C,K$1))</f>
        <v/>
      </c>
      <c r="L99" s="31" t="str">
        <f>IF(SUMIFS(Data!$U:$U,Data!$A:$A,$B99,Data!$C:$C,L$1)=0,"",SUMIFS(Data!$U:$U,Data!$A:$A,$B99,Data!$C:$C,L$1))</f>
        <v/>
      </c>
      <c r="M99" s="31" t="str">
        <f>IF(SUMIFS(Data!$U:$U,Data!$A:$A,$B99,Data!$C:$C,M$1)=0,"",SUMIFS(Data!$U:$U,Data!$A:$A,$B99,Data!$C:$C,M$1))</f>
        <v/>
      </c>
      <c r="N99" s="31">
        <f>IF(SUMIFS(Data!$U:$U,Data!$A:$A,$B99,Data!$C:$C,N$1)=0,"",SUMIFS(Data!$U:$U,Data!$A:$A,$B99,Data!$C:$C,N$1))</f>
        <v>3.375</v>
      </c>
      <c r="O99" s="31" t="str">
        <f>IF(SUMIFS(Data!$U:$U,Data!$A:$A,$B99,Data!$C:$C,O$1)=0,"",SUMIFS(Data!$U:$U,Data!$A:$A,$B99,Data!$C:$C,O$1))</f>
        <v/>
      </c>
      <c r="P99" s="31" t="str">
        <f>IF(SUMIFS(Data!$U:$U,Data!$A:$A,$B99,Data!$C:$C,P$1)=0,"",SUMIFS(Data!$U:$U,Data!$A:$A,$B99,Data!$C:$C,P$1))</f>
        <v/>
      </c>
      <c r="Q99" s="31" t="str">
        <f>IF(SUMIFS(Data!$U:$U,Data!$A:$A,$B99,Data!$C:$C,Q$1)=0,"",SUMIFS(Data!$U:$U,Data!$A:$A,$B99,Data!$C:$C,Q$1))</f>
        <v/>
      </c>
      <c r="R99" s="31">
        <f>VLOOKUP(W99,Barem!$W$39:$X$54,2,0)</f>
        <v>0</v>
      </c>
      <c r="S99" s="31">
        <f>SUM(C99:R99)</f>
        <v>8.3916666666666657</v>
      </c>
      <c r="T99" s="31">
        <f>SUMIFS(Data!D:D,Data!A:A,'#ligaSYR'!B89)</f>
        <v>103.79</v>
      </c>
      <c r="U99" s="1" t="str">
        <f>IF(VLOOKUP(B99,Participanti!A:D,4,0)=0," ","New")</f>
        <v>New</v>
      </c>
      <c r="W99" s="116">
        <f>SUMIFS(Data!Z:Z,Data!A:A,'#ligaSYR'!B99)</f>
        <v>3</v>
      </c>
      <c r="X99" s="116" t="s">
        <v>312</v>
      </c>
      <c r="Z99" s="1" t="s">
        <v>312</v>
      </c>
      <c r="AC99" s="1" t="s">
        <v>312</v>
      </c>
      <c r="AD99" s="1" t="s">
        <v>312</v>
      </c>
      <c r="AE99" s="1" t="str">
        <f>VLOOKUP(B99,Participanti!A:B,2,0)</f>
        <v>M</v>
      </c>
      <c r="AF99" s="1" t="e">
        <f>VLOOKUP(B99,Data_Echipe!A:R,18,0)</f>
        <v>#N/A</v>
      </c>
    </row>
    <row r="100" spans="1:32" ht="13" x14ac:dyDescent="0.3">
      <c r="A100" s="79">
        <v>99</v>
      </c>
      <c r="B100" s="30" t="s">
        <v>242</v>
      </c>
      <c r="C100" s="31">
        <f>IF(SUMIFS(Data!$U:$U,Data!$A:$A,$B100,Data!$C:$C,C$1)=0,"",SUMIFS(Data!$U:$U,Data!$A:$A,$B100,Data!$C:$C,C$1))</f>
        <v>1.8958333333333333</v>
      </c>
      <c r="D100" s="31">
        <f>IF(SUMIFS(Data!$U:$U,Data!$A:$A,$B100,Data!$C:$C,D$1)=0,"",SUMIFS(Data!$U:$U,Data!$A:$A,$B100,Data!$C:$C,D$1))</f>
        <v>1.3613095238095239</v>
      </c>
      <c r="E100" s="31">
        <f>IF(SUMIFS(Data!$U:$U,Data!$A:$A,$B100,Data!$C:$C,E$1)=0,"",SUMIFS(Data!$U:$U,Data!$A:$A,$B100,Data!$C:$C,E$1))</f>
        <v>1.5351190476190475</v>
      </c>
      <c r="F100" s="31">
        <f>IF(SUMIFS(Data!$U:$U,Data!$A:$A,$B100,Data!$C:$C,F$1)=0,"",SUMIFS(Data!$U:$U,Data!$A:$A,$B100,Data!$C:$C,F$1))</f>
        <v>1.4172619047619048</v>
      </c>
      <c r="G100" s="31" t="str">
        <f>IF(SUMIFS(Data!$U:$U,Data!$A:$A,$B100,Data!$C:$C,G$1)=0,"",SUMIFS(Data!$U:$U,Data!$A:$A,$B100,Data!$C:$C,G$1))</f>
        <v/>
      </c>
      <c r="H100" s="31" t="str">
        <f>IF(SUMIFS(Data!$U:$U,Data!$A:$A,$B100,Data!$C:$C,H$1)=0,"",SUMIFS(Data!$U:$U,Data!$A:$A,$B100,Data!$C:$C,H$1))</f>
        <v/>
      </c>
      <c r="I100" s="31" t="str">
        <f>IF(SUMIFS(Data!$U:$U,Data!$A:$A,$B100,Data!$C:$C,I$1)=0,"",SUMIFS(Data!$U:$U,Data!$A:$A,$B100,Data!$C:$C,I$1))</f>
        <v/>
      </c>
      <c r="J100" s="31" t="str">
        <f>IF(SUMIFS(Data!$U:$U,Data!$A:$A,$B100,Data!$C:$C,J$1)=0,"",SUMIFS(Data!$U:$U,Data!$A:$A,$B100,Data!$C:$C,J$1))</f>
        <v/>
      </c>
      <c r="K100" s="31" t="str">
        <f>IF(SUMIFS(Data!$U:$U,Data!$A:$A,$B100,Data!$C:$C,K$1)=0,"",SUMIFS(Data!$U:$U,Data!$A:$A,$B100,Data!$C:$C,K$1))</f>
        <v/>
      </c>
      <c r="L100" s="31" t="str">
        <f>IF(SUMIFS(Data!$U:$U,Data!$A:$A,$B100,Data!$C:$C,L$1)=0,"",SUMIFS(Data!$U:$U,Data!$A:$A,$B100,Data!$C:$C,L$1))</f>
        <v/>
      </c>
      <c r="M100" s="31">
        <f>IF(SUMIFS(Data!$U:$U,Data!$A:$A,$B100,Data!$C:$C,M$1)=0,"",SUMIFS(Data!$U:$U,Data!$A:$A,$B100,Data!$C:$C,M$1))</f>
        <v>2.0410714285714286</v>
      </c>
      <c r="N100" s="31" t="str">
        <f>IF(SUMIFS(Data!$U:$U,Data!$A:$A,$B100,Data!$C:$C,N$1)=0,"",SUMIFS(Data!$U:$U,Data!$A:$A,$B100,Data!$C:$C,N$1))</f>
        <v/>
      </c>
      <c r="O100" s="31" t="str">
        <f>IF(SUMIFS(Data!$U:$U,Data!$A:$A,$B100,Data!$C:$C,O$1)=0,"",SUMIFS(Data!$U:$U,Data!$A:$A,$B100,Data!$C:$C,O$1))</f>
        <v/>
      </c>
      <c r="P100" s="31" t="str">
        <f>IF(SUMIFS(Data!$U:$U,Data!$A:$A,$B100,Data!$C:$C,P$1)=0,"",SUMIFS(Data!$U:$U,Data!$A:$A,$B100,Data!$C:$C,P$1))</f>
        <v/>
      </c>
      <c r="Q100" s="31" t="str">
        <f>IF(SUMIFS(Data!$U:$U,Data!$A:$A,$B100,Data!$C:$C,Q$1)=0,"",SUMIFS(Data!$U:$U,Data!$A:$A,$B100,Data!$C:$C,Q$1))</f>
        <v/>
      </c>
      <c r="R100" s="31">
        <f>VLOOKUP(W100,Barem!$W$39:$X$54,2,0)</f>
        <v>0</v>
      </c>
      <c r="S100" s="31">
        <f>SUM(C100:R100)</f>
        <v>8.2505952380952365</v>
      </c>
      <c r="T100" s="31">
        <f>SUMIFS(Data!D:D,Data!A:A,'#ligaSYR'!B80)</f>
        <v>102.18999999999998</v>
      </c>
      <c r="U100" s="1" t="str">
        <f>IF(VLOOKUP(B100,Participanti!A:D,4,0)=0," ","New")</f>
        <v xml:space="preserve"> </v>
      </c>
      <c r="W100" s="116">
        <f>SUMIFS(Data!Z:Z,Data!A:A,'#ligaSYR'!B100)</f>
        <v>5</v>
      </c>
      <c r="X100" s="116" t="s">
        <v>312</v>
      </c>
      <c r="AE100" s="1" t="str">
        <f>VLOOKUP(B100,Participanti!A:B,2,0)</f>
        <v>M</v>
      </c>
      <c r="AF100" s="1" t="e">
        <f>VLOOKUP(B100,Data_Echipe!A:R,18,0)</f>
        <v>#N/A</v>
      </c>
    </row>
    <row r="101" spans="1:32" ht="13" x14ac:dyDescent="0.3">
      <c r="A101" s="79">
        <v>100</v>
      </c>
      <c r="B101" s="30" t="s">
        <v>350</v>
      </c>
      <c r="C101" s="31">
        <f>IF(SUMIFS(Data!$U:$U,Data!$A:$A,$B101,Data!$C:$C,C$1)=0,"",SUMIFS(Data!$U:$U,Data!$A:$A,$B101,Data!$C:$C,C$1))</f>
        <v>4.5971666666666664</v>
      </c>
      <c r="D101" s="31">
        <f>IF(SUMIFS(Data!$U:$U,Data!$A:$A,$B101,Data!$C:$C,D$1)=0,"",SUMIFS(Data!$U:$U,Data!$A:$A,$B101,Data!$C:$C,D$1))</f>
        <v>3.0674999999999999</v>
      </c>
      <c r="E101" s="31" t="str">
        <f>IF(SUMIFS(Data!$U:$U,Data!$A:$A,$B101,Data!$C:$C,E$1)=0,"",SUMIFS(Data!$U:$U,Data!$A:$A,$B101,Data!$C:$C,E$1))</f>
        <v/>
      </c>
      <c r="F101" s="31" t="str">
        <f>IF(SUMIFS(Data!$U:$U,Data!$A:$A,$B101,Data!$C:$C,F$1)=0,"",SUMIFS(Data!$U:$U,Data!$A:$A,$B101,Data!$C:$C,F$1))</f>
        <v/>
      </c>
      <c r="G101" s="31" t="str">
        <f>IF(SUMIFS(Data!$U:$U,Data!$A:$A,$B101,Data!$C:$C,G$1)=0,"",SUMIFS(Data!$U:$U,Data!$A:$A,$B101,Data!$C:$C,G$1))</f>
        <v/>
      </c>
      <c r="H101" s="31" t="str">
        <f>IF(SUMIFS(Data!$U:$U,Data!$A:$A,$B101,Data!$C:$C,H$1)=0,"",SUMIFS(Data!$U:$U,Data!$A:$A,$B101,Data!$C:$C,H$1))</f>
        <v/>
      </c>
      <c r="I101" s="31" t="str">
        <f>IF(SUMIFS(Data!$U:$U,Data!$A:$A,$B101,Data!$C:$C,I$1)=0,"",SUMIFS(Data!$U:$U,Data!$A:$A,$B101,Data!$C:$C,I$1))</f>
        <v/>
      </c>
      <c r="J101" s="31" t="str">
        <f>IF(SUMIFS(Data!$U:$U,Data!$A:$A,$B101,Data!$C:$C,J$1)=0,"",SUMIFS(Data!$U:$U,Data!$A:$A,$B101,Data!$C:$C,J$1))</f>
        <v/>
      </c>
      <c r="K101" s="31" t="str">
        <f>IF(SUMIFS(Data!$U:$U,Data!$A:$A,$B101,Data!$C:$C,K$1)=0,"",SUMIFS(Data!$U:$U,Data!$A:$A,$B101,Data!$C:$C,K$1))</f>
        <v/>
      </c>
      <c r="L101" s="31" t="str">
        <f>IF(SUMIFS(Data!$U:$U,Data!$A:$A,$B101,Data!$C:$C,L$1)=0,"",SUMIFS(Data!$U:$U,Data!$A:$A,$B101,Data!$C:$C,L$1))</f>
        <v/>
      </c>
      <c r="M101" s="31" t="str">
        <f>IF(SUMIFS(Data!$U:$U,Data!$A:$A,$B101,Data!$C:$C,M$1)=0,"",SUMIFS(Data!$U:$U,Data!$A:$A,$B101,Data!$C:$C,M$1))</f>
        <v/>
      </c>
      <c r="N101" s="31" t="str">
        <f>IF(SUMIFS(Data!$U:$U,Data!$A:$A,$B101,Data!$C:$C,N$1)=0,"",SUMIFS(Data!$U:$U,Data!$A:$A,$B101,Data!$C:$C,N$1))</f>
        <v/>
      </c>
      <c r="O101" s="31" t="str">
        <f>IF(SUMIFS(Data!$U:$U,Data!$A:$A,$B101,Data!$C:$C,O$1)=0,"",SUMIFS(Data!$U:$U,Data!$A:$A,$B101,Data!$C:$C,O$1))</f>
        <v/>
      </c>
      <c r="P101" s="31" t="str">
        <f>IF(SUMIFS(Data!$U:$U,Data!$A:$A,$B101,Data!$C:$C,P$1)=0,"",SUMIFS(Data!$U:$U,Data!$A:$A,$B101,Data!$C:$C,P$1))</f>
        <v/>
      </c>
      <c r="Q101" s="31" t="str">
        <f>IF(SUMIFS(Data!$U:$U,Data!$A:$A,$B101,Data!$C:$C,Q$1)=0,"",SUMIFS(Data!$U:$U,Data!$A:$A,$B101,Data!$C:$C,Q$1))</f>
        <v/>
      </c>
      <c r="R101" s="31">
        <f>VLOOKUP(W101,Barem!$W$39:$X$54,2,0)</f>
        <v>0</v>
      </c>
      <c r="S101" s="31">
        <f>SUM(C101:R101)</f>
        <v>7.6646666666666663</v>
      </c>
      <c r="T101" s="31">
        <f>SUMIFS(Data!D:D,Data!A:A,'#ligaSYR'!B17)</f>
        <v>399.73999999999995</v>
      </c>
      <c r="U101" s="1" t="str">
        <f>IF(VLOOKUP(B101,Participanti!A:D,4,0)=0," ","New")</f>
        <v>New</v>
      </c>
      <c r="W101" s="116">
        <f>SUMIFS(Data!Z:Z,Data!A:A,'#ligaSYR'!B101)</f>
        <v>1</v>
      </c>
      <c r="X101" s="116" t="s">
        <v>312</v>
      </c>
      <c r="Y101" s="1" t="s">
        <v>312</v>
      </c>
      <c r="Z101" s="1" t="s">
        <v>312</v>
      </c>
      <c r="AC101" s="1" t="s">
        <v>312</v>
      </c>
      <c r="AD101" s="1" t="s">
        <v>312</v>
      </c>
      <c r="AE101" s="1" t="str">
        <f>VLOOKUP(B101,Participanti!A:B,2,0)</f>
        <v>F</v>
      </c>
      <c r="AF101" s="1" t="e">
        <f>VLOOKUP(B101,Data_Echipe!A:R,18,0)</f>
        <v>#N/A</v>
      </c>
    </row>
    <row r="102" spans="1:32" ht="13" x14ac:dyDescent="0.3">
      <c r="A102" s="79">
        <v>101</v>
      </c>
      <c r="B102" s="30" t="s">
        <v>393</v>
      </c>
      <c r="C102" s="31" t="str">
        <f>IF(SUMIFS(Data!$U:$U,Data!$A:$A,$B102,Data!$C:$C,C$1)=0,"",SUMIFS(Data!$U:$U,Data!$A:$A,$B102,Data!$C:$C,C$1))</f>
        <v/>
      </c>
      <c r="D102" s="31" t="str">
        <f>IF(SUMIFS(Data!$U:$U,Data!$A:$A,$B102,Data!$C:$C,D$1)=0,"",SUMIFS(Data!$U:$U,Data!$A:$A,$B102,Data!$C:$C,D$1))</f>
        <v/>
      </c>
      <c r="E102" s="31">
        <f>IF(SUMIFS(Data!$U:$U,Data!$A:$A,$B102,Data!$C:$C,E$1)=0,"",SUMIFS(Data!$U:$U,Data!$A:$A,$B102,Data!$C:$C,E$1))</f>
        <v>2.3487142857142853</v>
      </c>
      <c r="F102" s="31" t="str">
        <f>IF(SUMIFS(Data!$U:$U,Data!$A:$A,$B102,Data!$C:$C,F$1)=0,"",SUMIFS(Data!$U:$U,Data!$A:$A,$B102,Data!$C:$C,F$1))</f>
        <v/>
      </c>
      <c r="G102" s="31" t="str">
        <f>IF(SUMIFS(Data!$U:$U,Data!$A:$A,$B102,Data!$C:$C,G$1)=0,"",SUMIFS(Data!$U:$U,Data!$A:$A,$B102,Data!$C:$C,G$1))</f>
        <v/>
      </c>
      <c r="H102" s="31" t="str">
        <f>IF(SUMIFS(Data!$U:$U,Data!$A:$A,$B102,Data!$C:$C,H$1)=0,"",SUMIFS(Data!$U:$U,Data!$A:$A,$B102,Data!$C:$C,H$1))</f>
        <v/>
      </c>
      <c r="I102" s="31" t="str">
        <f>IF(SUMIFS(Data!$U:$U,Data!$A:$A,$B102,Data!$C:$C,I$1)=0,"",SUMIFS(Data!$U:$U,Data!$A:$A,$B102,Data!$C:$C,I$1))</f>
        <v/>
      </c>
      <c r="J102" s="31" t="str">
        <f>IF(SUMIFS(Data!$U:$U,Data!$A:$A,$B102,Data!$C:$C,J$1)=0,"",SUMIFS(Data!$U:$U,Data!$A:$A,$B102,Data!$C:$C,J$1))</f>
        <v/>
      </c>
      <c r="K102" s="31" t="str">
        <f>IF(SUMIFS(Data!$U:$U,Data!$A:$A,$B102,Data!$C:$C,K$1)=0,"",SUMIFS(Data!$U:$U,Data!$A:$A,$B102,Data!$C:$C,K$1))</f>
        <v/>
      </c>
      <c r="L102" s="31">
        <f>IF(SUMIFS(Data!$U:$U,Data!$A:$A,$B102,Data!$C:$C,L$1)=0,"",SUMIFS(Data!$U:$U,Data!$A:$A,$B102,Data!$C:$C,L$1))</f>
        <v>2.9061428571428571</v>
      </c>
      <c r="M102" s="31" t="str">
        <f>IF(SUMIFS(Data!$U:$U,Data!$A:$A,$B102,Data!$C:$C,M$1)=0,"",SUMIFS(Data!$U:$U,Data!$A:$A,$B102,Data!$C:$C,M$1))</f>
        <v/>
      </c>
      <c r="N102" s="31" t="str">
        <f>IF(SUMIFS(Data!$U:$U,Data!$A:$A,$B102,Data!$C:$C,N$1)=0,"",SUMIFS(Data!$U:$U,Data!$A:$A,$B102,Data!$C:$C,N$1))</f>
        <v/>
      </c>
      <c r="O102" s="31">
        <f>IF(SUMIFS(Data!$U:$U,Data!$A:$A,$B102,Data!$C:$C,O$1)=0,"",SUMIFS(Data!$U:$U,Data!$A:$A,$B102,Data!$C:$C,O$1))</f>
        <v>2.1956666666666664</v>
      </c>
      <c r="P102" s="31" t="str">
        <f>IF(SUMIFS(Data!$U:$U,Data!$A:$A,$B102,Data!$C:$C,P$1)=0,"",SUMIFS(Data!$U:$U,Data!$A:$A,$B102,Data!$C:$C,P$1))</f>
        <v/>
      </c>
      <c r="Q102" s="31" t="str">
        <f>IF(SUMIFS(Data!$U:$U,Data!$A:$A,$B102,Data!$C:$C,Q$1)=0,"",SUMIFS(Data!$U:$U,Data!$A:$A,$B102,Data!$C:$C,Q$1))</f>
        <v/>
      </c>
      <c r="R102" s="31">
        <f>VLOOKUP(W102,Barem!$W$39:$X$54,2,0)</f>
        <v>0</v>
      </c>
      <c r="S102" s="31">
        <f>SUM(C102:R102)</f>
        <v>7.4505238095238084</v>
      </c>
      <c r="T102" s="31">
        <f>SUMIFS(Data!D:D,Data!A:A,'#ligaSYR'!B104)</f>
        <v>38.46</v>
      </c>
      <c r="U102" s="1" t="str">
        <f>IF(VLOOKUP(B102,Participanti!A:D,4,0)=0," ","New")</f>
        <v>New</v>
      </c>
      <c r="W102" s="116">
        <f>SUMIFS(Data!Z:Z,Data!A:A,'#ligaSYR'!B102)</f>
        <v>0</v>
      </c>
      <c r="X102" s="116" t="s">
        <v>312</v>
      </c>
      <c r="Y102" s="1" t="s">
        <v>312</v>
      </c>
      <c r="Z102" s="1" t="s">
        <v>312</v>
      </c>
      <c r="AC102" s="1" t="s">
        <v>312</v>
      </c>
      <c r="AD102" s="1" t="s">
        <v>312</v>
      </c>
      <c r="AE102" s="1" t="str">
        <f>VLOOKUP(B102,Participanti!A:B,2,0)</f>
        <v>M</v>
      </c>
      <c r="AF102" s="1" t="e">
        <f>VLOOKUP(B102,Data_Echipe!A:R,18,0)</f>
        <v>#N/A</v>
      </c>
    </row>
    <row r="103" spans="1:32" ht="13" x14ac:dyDescent="0.3">
      <c r="A103" s="79">
        <v>102</v>
      </c>
      <c r="B103" s="30" t="s">
        <v>58</v>
      </c>
      <c r="C103" s="31" t="str">
        <f>IF(SUMIFS(Data!$U:$U,Data!$A:$A,$B103,Data!$C:$C,C$1)=0,"",SUMIFS(Data!$U:$U,Data!$A:$A,$B103,Data!$C:$C,C$1))</f>
        <v/>
      </c>
      <c r="D103" s="31">
        <f>IF(SUMIFS(Data!$U:$U,Data!$A:$A,$B103,Data!$C:$C,D$1)=0,"",SUMIFS(Data!$U:$U,Data!$A:$A,$B103,Data!$C:$C,D$1))</f>
        <v>0.97261904761904749</v>
      </c>
      <c r="E103" s="31" t="str">
        <f>IF(SUMIFS(Data!$U:$U,Data!$A:$A,$B103,Data!$C:$C,E$1)=0,"",SUMIFS(Data!$U:$U,Data!$A:$A,$B103,Data!$C:$C,E$1))</f>
        <v/>
      </c>
      <c r="F103" s="31" t="str">
        <f>IF(SUMIFS(Data!$U:$U,Data!$A:$A,$B103,Data!$C:$C,F$1)=0,"",SUMIFS(Data!$U:$U,Data!$A:$A,$B103,Data!$C:$C,F$1))</f>
        <v/>
      </c>
      <c r="G103" s="31" t="str">
        <f>IF(SUMIFS(Data!$U:$U,Data!$A:$A,$B103,Data!$C:$C,G$1)=0,"",SUMIFS(Data!$U:$U,Data!$A:$A,$B103,Data!$C:$C,G$1))</f>
        <v/>
      </c>
      <c r="H103" s="31" t="str">
        <f>IF(SUMIFS(Data!$U:$U,Data!$A:$A,$B103,Data!$C:$C,H$1)=0,"",SUMIFS(Data!$U:$U,Data!$A:$A,$B103,Data!$C:$C,H$1))</f>
        <v/>
      </c>
      <c r="I103" s="31" t="str">
        <f>IF(SUMIFS(Data!$U:$U,Data!$A:$A,$B103,Data!$C:$C,I$1)=0,"",SUMIFS(Data!$U:$U,Data!$A:$A,$B103,Data!$C:$C,I$1))</f>
        <v/>
      </c>
      <c r="J103" s="31" t="str">
        <f>IF(SUMIFS(Data!$U:$U,Data!$A:$A,$B103,Data!$C:$C,J$1)=0,"",SUMIFS(Data!$U:$U,Data!$A:$A,$B103,Data!$C:$C,J$1))</f>
        <v/>
      </c>
      <c r="K103" s="31">
        <f>IF(SUMIFS(Data!$U:$U,Data!$A:$A,$B103,Data!$C:$C,K$1)=0,"",SUMIFS(Data!$U:$U,Data!$A:$A,$B103,Data!$C:$C,K$1))</f>
        <v>0.80238095238095242</v>
      </c>
      <c r="L103" s="31" t="str">
        <f>IF(SUMIFS(Data!$U:$U,Data!$A:$A,$B103,Data!$C:$C,L$1)=0,"",SUMIFS(Data!$U:$U,Data!$A:$A,$B103,Data!$C:$C,L$1))</f>
        <v/>
      </c>
      <c r="M103" s="31">
        <f>IF(SUMIFS(Data!$U:$U,Data!$A:$A,$B103,Data!$C:$C,M$1)=0,"",SUMIFS(Data!$U:$U,Data!$A:$A,$B103,Data!$C:$C,M$1))</f>
        <v>1.4732142857142856</v>
      </c>
      <c r="N103" s="31" t="str">
        <f>IF(SUMIFS(Data!$U:$U,Data!$A:$A,$B103,Data!$C:$C,N$1)=0,"",SUMIFS(Data!$U:$U,Data!$A:$A,$B103,Data!$C:$C,N$1))</f>
        <v/>
      </c>
      <c r="O103" s="31" t="str">
        <f>IF(SUMIFS(Data!$U:$U,Data!$A:$A,$B103,Data!$C:$C,O$1)=0,"",SUMIFS(Data!$U:$U,Data!$A:$A,$B103,Data!$C:$C,O$1))</f>
        <v/>
      </c>
      <c r="P103" s="31">
        <f>IF(SUMIFS(Data!$U:$U,Data!$A:$A,$B103,Data!$C:$C,P$1)=0,"",SUMIFS(Data!$U:$U,Data!$A:$A,$B103,Data!$C:$C,P$1))</f>
        <v>1.3803571428571428</v>
      </c>
      <c r="Q103" s="31">
        <f>IF(SUMIFS(Data!$U:$U,Data!$A:$A,$B103,Data!$C:$C,Q$1)=0,"",SUMIFS(Data!$U:$U,Data!$A:$A,$B103,Data!$C:$C,Q$1))</f>
        <v>2.7480000000000002</v>
      </c>
      <c r="R103" s="31">
        <f>VLOOKUP(W103,Barem!$W$39:$X$54,2,0)</f>
        <v>0</v>
      </c>
      <c r="S103" s="31">
        <f>SUM(C103:R103)</f>
        <v>7.3765714285714283</v>
      </c>
      <c r="T103" s="31">
        <f>SUMIFS(Data!D:D,Data!A:A,'#ligaSYR'!B98)</f>
        <v>57.51</v>
      </c>
      <c r="U103" s="1" t="str">
        <f>IF(VLOOKUP(B103,Participanti!A:D,4,0)=0," ","New")</f>
        <v xml:space="preserve"> </v>
      </c>
      <c r="W103" s="116">
        <f>SUMIFS(Data!Z:Z,Data!A:A,'#ligaSYR'!B103)</f>
        <v>4</v>
      </c>
      <c r="X103" s="116"/>
      <c r="AF103" s="1" t="e">
        <f>VLOOKUP(B103,Data_Echipe!A:R,18,0)</f>
        <v>#N/A</v>
      </c>
    </row>
    <row r="104" spans="1:32" ht="13" x14ac:dyDescent="0.3">
      <c r="A104" s="79">
        <v>103</v>
      </c>
      <c r="B104" s="30" t="s">
        <v>53</v>
      </c>
      <c r="C104" s="31">
        <f>IF(SUMIFS(Data!$U:$U,Data!$A:$A,$B104,Data!$C:$C,C$1)=0,"",SUMIFS(Data!$U:$U,Data!$A:$A,$B104,Data!$C:$C,C$1))</f>
        <v>3.3511666666666668</v>
      </c>
      <c r="D104" s="31">
        <f>IF(SUMIFS(Data!$U:$U,Data!$A:$A,$B104,Data!$C:$C,D$1)=0,"",SUMIFS(Data!$U:$U,Data!$A:$A,$B104,Data!$C:$C,D$1))</f>
        <v>2.9326428571428571</v>
      </c>
      <c r="E104" s="31" t="str">
        <f>IF(SUMIFS(Data!$U:$U,Data!$A:$A,$B104,Data!$C:$C,E$1)=0,"",SUMIFS(Data!$U:$U,Data!$A:$A,$B104,Data!$C:$C,E$1))</f>
        <v/>
      </c>
      <c r="F104" s="31" t="str">
        <f>IF(SUMIFS(Data!$U:$U,Data!$A:$A,$B104,Data!$C:$C,F$1)=0,"",SUMIFS(Data!$U:$U,Data!$A:$A,$B104,Data!$C:$C,F$1))</f>
        <v/>
      </c>
      <c r="G104" s="31" t="str">
        <f>IF(SUMIFS(Data!$U:$U,Data!$A:$A,$B104,Data!$C:$C,G$1)=0,"",SUMIFS(Data!$U:$U,Data!$A:$A,$B104,Data!$C:$C,G$1))</f>
        <v/>
      </c>
      <c r="H104" s="31" t="str">
        <f>IF(SUMIFS(Data!$U:$U,Data!$A:$A,$B104,Data!$C:$C,H$1)=0,"",SUMIFS(Data!$U:$U,Data!$A:$A,$B104,Data!$C:$C,H$1))</f>
        <v/>
      </c>
      <c r="I104" s="31" t="str">
        <f>IF(SUMIFS(Data!$U:$U,Data!$A:$A,$B104,Data!$C:$C,I$1)=0,"",SUMIFS(Data!$U:$U,Data!$A:$A,$B104,Data!$C:$C,I$1))</f>
        <v/>
      </c>
      <c r="J104" s="31" t="str">
        <f>IF(SUMIFS(Data!$U:$U,Data!$A:$A,$B104,Data!$C:$C,J$1)=0,"",SUMIFS(Data!$U:$U,Data!$A:$A,$B104,Data!$C:$C,J$1))</f>
        <v/>
      </c>
      <c r="K104" s="31" t="str">
        <f>IF(SUMIFS(Data!$U:$U,Data!$A:$A,$B104,Data!$C:$C,K$1)=0,"",SUMIFS(Data!$U:$U,Data!$A:$A,$B104,Data!$C:$C,K$1))</f>
        <v/>
      </c>
      <c r="L104" s="31" t="str">
        <f>IF(SUMIFS(Data!$U:$U,Data!$A:$A,$B104,Data!$C:$C,L$1)=0,"",SUMIFS(Data!$U:$U,Data!$A:$A,$B104,Data!$C:$C,L$1))</f>
        <v/>
      </c>
      <c r="M104" s="31" t="str">
        <f>IF(SUMIFS(Data!$U:$U,Data!$A:$A,$B104,Data!$C:$C,M$1)=0,"",SUMIFS(Data!$U:$U,Data!$A:$A,$B104,Data!$C:$C,M$1))</f>
        <v/>
      </c>
      <c r="N104" s="31" t="str">
        <f>IF(SUMIFS(Data!$U:$U,Data!$A:$A,$B104,Data!$C:$C,N$1)=0,"",SUMIFS(Data!$U:$U,Data!$A:$A,$B104,Data!$C:$C,N$1))</f>
        <v/>
      </c>
      <c r="O104" s="31" t="str">
        <f>IF(SUMIFS(Data!$U:$U,Data!$A:$A,$B104,Data!$C:$C,O$1)=0,"",SUMIFS(Data!$U:$U,Data!$A:$A,$B104,Data!$C:$C,O$1))</f>
        <v/>
      </c>
      <c r="P104" s="31" t="str">
        <f>IF(SUMIFS(Data!$U:$U,Data!$A:$A,$B104,Data!$C:$C,P$1)=0,"",SUMIFS(Data!$U:$U,Data!$A:$A,$B104,Data!$C:$C,P$1))</f>
        <v/>
      </c>
      <c r="Q104" s="31" t="str">
        <f>IF(SUMIFS(Data!$U:$U,Data!$A:$A,$B104,Data!$C:$C,Q$1)=0,"",SUMIFS(Data!$U:$U,Data!$A:$A,$B104,Data!$C:$C,Q$1))</f>
        <v/>
      </c>
      <c r="R104" s="31">
        <f>VLOOKUP(W104,Barem!$W$39:$X$54,2,0)</f>
        <v>0</v>
      </c>
      <c r="S104" s="31">
        <f>SUM(C104:R104)</f>
        <v>6.2838095238095235</v>
      </c>
      <c r="T104" s="31">
        <f>SUMIFS(Data!D:D,Data!A:A,'#ligaSYR'!B33)</f>
        <v>165.60999999999999</v>
      </c>
      <c r="U104" s="1" t="str">
        <f>IF(VLOOKUP(B104,Participanti!A:D,4,0)=0," ","New")</f>
        <v xml:space="preserve"> </v>
      </c>
      <c r="W104" s="116">
        <f>SUMIFS(Data!Z:Z,Data!A:A,'#ligaSYR'!B104)</f>
        <v>2</v>
      </c>
      <c r="X104" s="116"/>
      <c r="AF104" s="1" t="e">
        <f>VLOOKUP(B104,Data_Echipe!A:R,18,0)</f>
        <v>#N/A</v>
      </c>
    </row>
    <row r="105" spans="1:32" ht="13" x14ac:dyDescent="0.3">
      <c r="A105" s="79">
        <v>104</v>
      </c>
      <c r="B105" s="30" t="s">
        <v>337</v>
      </c>
      <c r="C105" s="31">
        <f>IF(SUMIFS(Data!$U:$U,Data!$A:$A,$B105,Data!$C:$C,C$1)=0,"",SUMIFS(Data!$U:$U,Data!$A:$A,$B105,Data!$C:$C,C$1))</f>
        <v>2.8190476190476188</v>
      </c>
      <c r="D105" s="31">
        <f>IF(SUMIFS(Data!$U:$U,Data!$A:$A,$B105,Data!$C:$C,D$1)=0,"",SUMIFS(Data!$U:$U,Data!$A:$A,$B105,Data!$C:$C,D$1))</f>
        <v>3.2363095238095236</v>
      </c>
      <c r="E105" s="31" t="str">
        <f>IF(SUMIFS(Data!$U:$U,Data!$A:$A,$B105,Data!$C:$C,E$1)=0,"",SUMIFS(Data!$U:$U,Data!$A:$A,$B105,Data!$C:$C,E$1))</f>
        <v/>
      </c>
      <c r="F105" s="31" t="str">
        <f>IF(SUMIFS(Data!$U:$U,Data!$A:$A,$B105,Data!$C:$C,F$1)=0,"",SUMIFS(Data!$U:$U,Data!$A:$A,$B105,Data!$C:$C,F$1))</f>
        <v/>
      </c>
      <c r="G105" s="31" t="str">
        <f>IF(SUMIFS(Data!$U:$U,Data!$A:$A,$B105,Data!$C:$C,G$1)=0,"",SUMIFS(Data!$U:$U,Data!$A:$A,$B105,Data!$C:$C,G$1))</f>
        <v/>
      </c>
      <c r="H105" s="31" t="str">
        <f>IF(SUMIFS(Data!$U:$U,Data!$A:$A,$B105,Data!$C:$C,H$1)=0,"",SUMIFS(Data!$U:$U,Data!$A:$A,$B105,Data!$C:$C,H$1))</f>
        <v/>
      </c>
      <c r="I105" s="31" t="str">
        <f>IF(SUMIFS(Data!$U:$U,Data!$A:$A,$B105,Data!$C:$C,I$1)=0,"",SUMIFS(Data!$U:$U,Data!$A:$A,$B105,Data!$C:$C,I$1))</f>
        <v/>
      </c>
      <c r="J105" s="31" t="str">
        <f>IF(SUMIFS(Data!$U:$U,Data!$A:$A,$B105,Data!$C:$C,J$1)=0,"",SUMIFS(Data!$U:$U,Data!$A:$A,$B105,Data!$C:$C,J$1))</f>
        <v/>
      </c>
      <c r="K105" s="31" t="str">
        <f>IF(SUMIFS(Data!$U:$U,Data!$A:$A,$B105,Data!$C:$C,K$1)=0,"",SUMIFS(Data!$U:$U,Data!$A:$A,$B105,Data!$C:$C,K$1))</f>
        <v/>
      </c>
      <c r="L105" s="31" t="str">
        <f>IF(SUMIFS(Data!$U:$U,Data!$A:$A,$B105,Data!$C:$C,L$1)=0,"",SUMIFS(Data!$U:$U,Data!$A:$A,$B105,Data!$C:$C,L$1))</f>
        <v/>
      </c>
      <c r="M105" s="31" t="str">
        <f>IF(SUMIFS(Data!$U:$U,Data!$A:$A,$B105,Data!$C:$C,M$1)=0,"",SUMIFS(Data!$U:$U,Data!$A:$A,$B105,Data!$C:$C,M$1))</f>
        <v/>
      </c>
      <c r="N105" s="31" t="str">
        <f>IF(SUMIFS(Data!$U:$U,Data!$A:$A,$B105,Data!$C:$C,N$1)=0,"",SUMIFS(Data!$U:$U,Data!$A:$A,$B105,Data!$C:$C,N$1))</f>
        <v/>
      </c>
      <c r="O105" s="31" t="str">
        <f>IF(SUMIFS(Data!$U:$U,Data!$A:$A,$B105,Data!$C:$C,O$1)=0,"",SUMIFS(Data!$U:$U,Data!$A:$A,$B105,Data!$C:$C,O$1))</f>
        <v/>
      </c>
      <c r="P105" s="31" t="str">
        <f>IF(SUMIFS(Data!$U:$U,Data!$A:$A,$B105,Data!$C:$C,P$1)=0,"",SUMIFS(Data!$U:$U,Data!$A:$A,$B105,Data!$C:$C,P$1))</f>
        <v/>
      </c>
      <c r="Q105" s="31" t="str">
        <f>IF(SUMIFS(Data!$U:$U,Data!$A:$A,$B105,Data!$C:$C,Q$1)=0,"",SUMIFS(Data!$U:$U,Data!$A:$A,$B105,Data!$C:$C,Q$1))</f>
        <v/>
      </c>
      <c r="R105" s="31">
        <f>VLOOKUP(W105,Barem!$W$39:$X$54,2,0)</f>
        <v>0</v>
      </c>
      <c r="S105" s="31">
        <f>SUM(C105:R105)</f>
        <v>6.055357142857142</v>
      </c>
      <c r="T105" s="31">
        <f>SUMIFS(Data!D:D,Data!A:A,'#ligaSYR'!B36)</f>
        <v>230.99</v>
      </c>
      <c r="U105" s="1" t="str">
        <f>IF(VLOOKUP(B105,Participanti!A:D,4,0)=0," ","New")</f>
        <v>New</v>
      </c>
      <c r="W105" s="116">
        <f>SUMIFS(Data!Z:Z,Data!A:A,'#ligaSYR'!B105)</f>
        <v>2</v>
      </c>
      <c r="X105" s="116" t="s">
        <v>312</v>
      </c>
      <c r="AC105" s="1" t="s">
        <v>312</v>
      </c>
      <c r="AD105" s="1" t="s">
        <v>312</v>
      </c>
      <c r="AE105" s="1" t="str">
        <f>VLOOKUP(B105,Participanti!A:B,2,0)</f>
        <v>M</v>
      </c>
      <c r="AF105" s="1" t="str">
        <f>VLOOKUP(B105,Data_Echipe!A:R,18,0)</f>
        <v>The GOATs</v>
      </c>
    </row>
    <row r="106" spans="1:32" ht="13" x14ac:dyDescent="0.3">
      <c r="A106" s="79">
        <v>105</v>
      </c>
      <c r="B106" s="30" t="s">
        <v>461</v>
      </c>
      <c r="C106" s="31" t="str">
        <f>IF(SUMIFS(Data!$U:$U,Data!$A:$A,$B106,Data!$C:$C,C$1)=0,"",SUMIFS(Data!$U:$U,Data!$A:$A,$B106,Data!$C:$C,C$1))</f>
        <v/>
      </c>
      <c r="D106" s="31" t="str">
        <f>IF(SUMIFS(Data!$U:$U,Data!$A:$A,$B106,Data!$C:$C,D$1)=0,"",SUMIFS(Data!$U:$U,Data!$A:$A,$B106,Data!$C:$C,D$1))</f>
        <v/>
      </c>
      <c r="E106" s="31" t="str">
        <f>IF(SUMIFS(Data!$U:$U,Data!$A:$A,$B106,Data!$C:$C,E$1)=0,"",SUMIFS(Data!$U:$U,Data!$A:$A,$B106,Data!$C:$C,E$1))</f>
        <v/>
      </c>
      <c r="F106" s="31" t="str">
        <f>IF(SUMIFS(Data!$U:$U,Data!$A:$A,$B106,Data!$C:$C,F$1)=0,"",SUMIFS(Data!$U:$U,Data!$A:$A,$B106,Data!$C:$C,F$1))</f>
        <v/>
      </c>
      <c r="G106" s="31" t="str">
        <f>IF(SUMIFS(Data!$U:$U,Data!$A:$A,$B106,Data!$C:$C,G$1)=0,"",SUMIFS(Data!$U:$U,Data!$A:$A,$B106,Data!$C:$C,G$1))</f>
        <v/>
      </c>
      <c r="H106" s="31" t="str">
        <f>IF(SUMIFS(Data!$U:$U,Data!$A:$A,$B106,Data!$C:$C,H$1)=0,"",SUMIFS(Data!$U:$U,Data!$A:$A,$B106,Data!$C:$C,H$1))</f>
        <v/>
      </c>
      <c r="I106" s="31">
        <f>IF(SUMIFS(Data!$U:$U,Data!$A:$A,$B106,Data!$C:$C,I$1)=0,"",SUMIFS(Data!$U:$U,Data!$A:$A,$B106,Data!$C:$C,I$1))</f>
        <v>1.5809523809523809</v>
      </c>
      <c r="J106" s="31">
        <f>IF(SUMIFS(Data!$U:$U,Data!$A:$A,$B106,Data!$C:$C,J$1)=0,"",SUMIFS(Data!$U:$U,Data!$A:$A,$B106,Data!$C:$C,J$1))</f>
        <v>1.2791666666666666</v>
      </c>
      <c r="K106" s="31">
        <f>IF(SUMIFS(Data!$U:$U,Data!$A:$A,$B106,Data!$C:$C,K$1)=0,"",SUMIFS(Data!$U:$U,Data!$A:$A,$B106,Data!$C:$C,K$1))</f>
        <v>1.2922619047619048</v>
      </c>
      <c r="L106" s="31">
        <f>IF(SUMIFS(Data!$U:$U,Data!$A:$A,$B106,Data!$C:$C,L$1)=0,"",SUMIFS(Data!$U:$U,Data!$A:$A,$B106,Data!$C:$C,L$1))</f>
        <v>1.5041666666666667</v>
      </c>
      <c r="M106" s="31" t="str">
        <f>IF(SUMIFS(Data!$U:$U,Data!$A:$A,$B106,Data!$C:$C,M$1)=0,"",SUMIFS(Data!$U:$U,Data!$A:$A,$B106,Data!$C:$C,M$1))</f>
        <v/>
      </c>
      <c r="N106" s="31" t="str">
        <f>IF(SUMIFS(Data!$U:$U,Data!$A:$A,$B106,Data!$C:$C,N$1)=0,"",SUMIFS(Data!$U:$U,Data!$A:$A,$B106,Data!$C:$C,N$1))</f>
        <v/>
      </c>
      <c r="O106" s="31" t="str">
        <f>IF(SUMIFS(Data!$U:$U,Data!$A:$A,$B106,Data!$C:$C,O$1)=0,"",SUMIFS(Data!$U:$U,Data!$A:$A,$B106,Data!$C:$C,O$1))</f>
        <v/>
      </c>
      <c r="P106" s="31" t="str">
        <f>IF(SUMIFS(Data!$U:$U,Data!$A:$A,$B106,Data!$C:$C,P$1)=0,"",SUMIFS(Data!$U:$U,Data!$A:$A,$B106,Data!$C:$C,P$1))</f>
        <v/>
      </c>
      <c r="Q106" s="31" t="str">
        <f>IF(SUMIFS(Data!$U:$U,Data!$A:$A,$B106,Data!$C:$C,Q$1)=0,"",SUMIFS(Data!$U:$U,Data!$A:$A,$B106,Data!$C:$C,Q$1))</f>
        <v/>
      </c>
      <c r="R106" s="31">
        <f>VLOOKUP(W106,Barem!$W$39:$X$54,2,0)</f>
        <v>0</v>
      </c>
      <c r="S106" s="31">
        <f>SUM(C106:R106)</f>
        <v>5.6565476190476183</v>
      </c>
      <c r="T106" s="31">
        <f>SUMIFS(Data!D:D,Data!A:A,'#ligaSYR'!B100)</f>
        <v>44.63</v>
      </c>
      <c r="U106" s="1" t="str">
        <f>IF(VLOOKUP(B106,Participanti!A:D,4,0)=0," ","New")</f>
        <v>New</v>
      </c>
      <c r="W106" s="116">
        <f>SUMIFS(Data!Z:Z,Data!A:A,'#ligaSYR'!B106)</f>
        <v>4</v>
      </c>
      <c r="X106" s="116" t="s">
        <v>312</v>
      </c>
      <c r="Y106" s="1" t="s">
        <v>312</v>
      </c>
      <c r="Z106" s="1" t="s">
        <v>312</v>
      </c>
      <c r="AC106" s="1" t="s">
        <v>312</v>
      </c>
      <c r="AD106" s="1" t="s">
        <v>312</v>
      </c>
      <c r="AE106" s="1" t="str">
        <f>VLOOKUP(B106,Participanti!A:B,2,0)</f>
        <v>M</v>
      </c>
      <c r="AF106" s="1" t="e">
        <f>VLOOKUP(B106,Data_Echipe!A:R,18,0)</f>
        <v>#N/A</v>
      </c>
    </row>
    <row r="107" spans="1:32" ht="13" x14ac:dyDescent="0.3">
      <c r="A107" s="79">
        <v>106</v>
      </c>
      <c r="B107" s="30" t="s">
        <v>363</v>
      </c>
      <c r="C107" s="31">
        <f>IF(SUMIFS(Data!$U:$U,Data!$A:$A,$B107,Data!$C:$C,C$1)=0,"",SUMIFS(Data!$U:$U,Data!$A:$A,$B107,Data!$C:$C,C$1))</f>
        <v>2.6287500000000001</v>
      </c>
      <c r="D107" s="31" t="str">
        <f>IF(SUMIFS(Data!$U:$U,Data!$A:$A,$B107,Data!$C:$C,D$1)=0,"",SUMIFS(Data!$U:$U,Data!$A:$A,$B107,Data!$C:$C,D$1))</f>
        <v/>
      </c>
      <c r="E107" s="31" t="str">
        <f>IF(SUMIFS(Data!$U:$U,Data!$A:$A,$B107,Data!$C:$C,E$1)=0,"",SUMIFS(Data!$U:$U,Data!$A:$A,$B107,Data!$C:$C,E$1))</f>
        <v/>
      </c>
      <c r="F107" s="31" t="str">
        <f>IF(SUMIFS(Data!$U:$U,Data!$A:$A,$B107,Data!$C:$C,F$1)=0,"",SUMIFS(Data!$U:$U,Data!$A:$A,$B107,Data!$C:$C,F$1))</f>
        <v/>
      </c>
      <c r="G107" s="31" t="str">
        <f>IF(SUMIFS(Data!$U:$U,Data!$A:$A,$B107,Data!$C:$C,G$1)=0,"",SUMIFS(Data!$U:$U,Data!$A:$A,$B107,Data!$C:$C,G$1))</f>
        <v/>
      </c>
      <c r="H107" s="31" t="str">
        <f>IF(SUMIFS(Data!$U:$U,Data!$A:$A,$B107,Data!$C:$C,H$1)=0,"",SUMIFS(Data!$U:$U,Data!$A:$A,$B107,Data!$C:$C,H$1))</f>
        <v/>
      </c>
      <c r="I107" s="31" t="str">
        <f>IF(SUMIFS(Data!$U:$U,Data!$A:$A,$B107,Data!$C:$C,I$1)=0,"",SUMIFS(Data!$U:$U,Data!$A:$A,$B107,Data!$C:$C,I$1))</f>
        <v/>
      </c>
      <c r="J107" s="31" t="str">
        <f>IF(SUMIFS(Data!$U:$U,Data!$A:$A,$B107,Data!$C:$C,J$1)=0,"",SUMIFS(Data!$U:$U,Data!$A:$A,$B107,Data!$C:$C,J$1))</f>
        <v/>
      </c>
      <c r="K107" s="31" t="str">
        <f>IF(SUMIFS(Data!$U:$U,Data!$A:$A,$B107,Data!$C:$C,K$1)=0,"",SUMIFS(Data!$U:$U,Data!$A:$A,$B107,Data!$C:$C,K$1))</f>
        <v/>
      </c>
      <c r="L107" s="31">
        <f>IF(SUMIFS(Data!$U:$U,Data!$A:$A,$B107,Data!$C:$C,L$1)=0,"",SUMIFS(Data!$U:$U,Data!$A:$A,$B107,Data!$C:$C,L$1))</f>
        <v>1.9375</v>
      </c>
      <c r="M107" s="31">
        <f>IF(SUMIFS(Data!$U:$U,Data!$A:$A,$B107,Data!$C:$C,M$1)=0,"",SUMIFS(Data!$U:$U,Data!$A:$A,$B107,Data!$C:$C,M$1))</f>
        <v>0.4375</v>
      </c>
      <c r="N107" s="31" t="str">
        <f>IF(SUMIFS(Data!$U:$U,Data!$A:$A,$B107,Data!$C:$C,N$1)=0,"",SUMIFS(Data!$U:$U,Data!$A:$A,$B107,Data!$C:$C,N$1))</f>
        <v/>
      </c>
      <c r="O107" s="31" t="str">
        <f>IF(SUMIFS(Data!$U:$U,Data!$A:$A,$B107,Data!$C:$C,O$1)=0,"",SUMIFS(Data!$U:$U,Data!$A:$A,$B107,Data!$C:$C,O$1))</f>
        <v/>
      </c>
      <c r="P107" s="31" t="str">
        <f>IF(SUMIFS(Data!$U:$U,Data!$A:$A,$B107,Data!$C:$C,P$1)=0,"",SUMIFS(Data!$U:$U,Data!$A:$A,$B107,Data!$C:$C,P$1))</f>
        <v/>
      </c>
      <c r="Q107" s="31" t="str">
        <f>IF(SUMIFS(Data!$U:$U,Data!$A:$A,$B107,Data!$C:$C,Q$1)=0,"",SUMIFS(Data!$U:$U,Data!$A:$A,$B107,Data!$C:$C,Q$1))</f>
        <v/>
      </c>
      <c r="R107" s="31">
        <f>VLOOKUP(W107,Barem!$W$39:$X$54,2,0)</f>
        <v>0</v>
      </c>
      <c r="S107" s="31">
        <f>SUM(C107:R107)</f>
        <v>5.0037500000000001</v>
      </c>
      <c r="T107" s="31">
        <f>SUMIFS(Data!D:D,Data!A:A,'#ligaSYR'!B86)</f>
        <v>98.67</v>
      </c>
      <c r="U107" s="1" t="str">
        <f>IF(VLOOKUP(B107,Participanti!A:D,4,0)=0," ","New")</f>
        <v>New</v>
      </c>
      <c r="W107" s="116">
        <f>SUMIFS(Data!Z:Z,Data!A:A,'#ligaSYR'!B107)</f>
        <v>2</v>
      </c>
      <c r="X107" s="116"/>
      <c r="AE107" s="1" t="str">
        <f>VLOOKUP(B107,Participanti!A:B,2,0)</f>
        <v>F</v>
      </c>
      <c r="AF107" s="1" t="e">
        <f>VLOOKUP(B107,Data_Echipe!A:R,18,0)</f>
        <v>#N/A</v>
      </c>
    </row>
    <row r="108" spans="1:32" ht="13" x14ac:dyDescent="0.3">
      <c r="A108" s="79">
        <v>107</v>
      </c>
      <c r="B108" s="30" t="s">
        <v>365</v>
      </c>
      <c r="C108" s="31">
        <f>IF(SUMIFS(Data!$U:$U,Data!$A:$A,$B108,Data!$C:$C,C$1)=0,"",SUMIFS(Data!$U:$U,Data!$A:$A,$B108,Data!$C:$C,C$1))</f>
        <v>0.99404761904761907</v>
      </c>
      <c r="D108" s="31">
        <f>IF(SUMIFS(Data!$U:$U,Data!$A:$A,$B108,Data!$C:$C,D$1)=0,"",SUMIFS(Data!$U:$U,Data!$A:$A,$B108,Data!$C:$C,D$1))</f>
        <v>1.7928571428571429</v>
      </c>
      <c r="E108" s="31" t="str">
        <f>IF(SUMIFS(Data!$U:$U,Data!$A:$A,$B108,Data!$C:$C,E$1)=0,"",SUMIFS(Data!$U:$U,Data!$A:$A,$B108,Data!$C:$C,E$1))</f>
        <v/>
      </c>
      <c r="F108" s="31" t="str">
        <f>IF(SUMIFS(Data!$U:$U,Data!$A:$A,$B108,Data!$C:$C,F$1)=0,"",SUMIFS(Data!$U:$U,Data!$A:$A,$B108,Data!$C:$C,F$1))</f>
        <v/>
      </c>
      <c r="G108" s="31">
        <f>IF(SUMIFS(Data!$U:$U,Data!$A:$A,$B108,Data!$C:$C,G$1)=0,"",SUMIFS(Data!$U:$U,Data!$A:$A,$B108,Data!$C:$C,G$1))</f>
        <v>1.7577380952380952</v>
      </c>
      <c r="H108" s="31" t="str">
        <f>IF(SUMIFS(Data!$U:$U,Data!$A:$A,$B108,Data!$C:$C,H$1)=0,"",SUMIFS(Data!$U:$U,Data!$A:$A,$B108,Data!$C:$C,H$1))</f>
        <v/>
      </c>
      <c r="I108" s="31" t="str">
        <f>IF(SUMIFS(Data!$U:$U,Data!$A:$A,$B108,Data!$C:$C,I$1)=0,"",SUMIFS(Data!$U:$U,Data!$A:$A,$B108,Data!$C:$C,I$1))</f>
        <v/>
      </c>
      <c r="J108" s="31" t="str">
        <f>IF(SUMIFS(Data!$U:$U,Data!$A:$A,$B108,Data!$C:$C,J$1)=0,"",SUMIFS(Data!$U:$U,Data!$A:$A,$B108,Data!$C:$C,J$1))</f>
        <v/>
      </c>
      <c r="K108" s="31" t="str">
        <f>IF(SUMIFS(Data!$U:$U,Data!$A:$A,$B108,Data!$C:$C,K$1)=0,"",SUMIFS(Data!$U:$U,Data!$A:$A,$B108,Data!$C:$C,K$1))</f>
        <v/>
      </c>
      <c r="L108" s="31" t="str">
        <f>IF(SUMIFS(Data!$U:$U,Data!$A:$A,$B108,Data!$C:$C,L$1)=0,"",SUMIFS(Data!$U:$U,Data!$A:$A,$B108,Data!$C:$C,L$1))</f>
        <v/>
      </c>
      <c r="M108" s="31" t="str">
        <f>IF(SUMIFS(Data!$U:$U,Data!$A:$A,$B108,Data!$C:$C,M$1)=0,"",SUMIFS(Data!$U:$U,Data!$A:$A,$B108,Data!$C:$C,M$1))</f>
        <v/>
      </c>
      <c r="N108" s="31" t="str">
        <f>IF(SUMIFS(Data!$U:$U,Data!$A:$A,$B108,Data!$C:$C,N$1)=0,"",SUMIFS(Data!$U:$U,Data!$A:$A,$B108,Data!$C:$C,N$1))</f>
        <v/>
      </c>
      <c r="O108" s="31" t="str">
        <f>IF(SUMIFS(Data!$U:$U,Data!$A:$A,$B108,Data!$C:$C,O$1)=0,"",SUMIFS(Data!$U:$U,Data!$A:$A,$B108,Data!$C:$C,O$1))</f>
        <v/>
      </c>
      <c r="P108" s="31" t="str">
        <f>IF(SUMIFS(Data!$U:$U,Data!$A:$A,$B108,Data!$C:$C,P$1)=0,"",SUMIFS(Data!$U:$U,Data!$A:$A,$B108,Data!$C:$C,P$1))</f>
        <v/>
      </c>
      <c r="Q108" s="31" t="str">
        <f>IF(SUMIFS(Data!$U:$U,Data!$A:$A,$B108,Data!$C:$C,Q$1)=0,"",SUMIFS(Data!$U:$U,Data!$A:$A,$B108,Data!$C:$C,Q$1))</f>
        <v/>
      </c>
      <c r="R108" s="31">
        <f>VLOOKUP(W108,Barem!$W$39:$X$54,2,0)</f>
        <v>0</v>
      </c>
      <c r="S108" s="31">
        <f>SUM(C108:R108)</f>
        <v>4.5446428571428577</v>
      </c>
      <c r="T108" s="31">
        <f>SUMIFS(Data!D:D,Data!A:A,'#ligaSYR'!B84)</f>
        <v>118.32</v>
      </c>
      <c r="U108" s="1" t="str">
        <f>IF(VLOOKUP(B108,Participanti!A:D,4,0)=0," ","New")</f>
        <v>New</v>
      </c>
      <c r="W108" s="116">
        <f>SUMIFS(Data!Z:Z,Data!A:A,'#ligaSYR'!B108)</f>
        <v>3</v>
      </c>
      <c r="X108" s="116" t="s">
        <v>312</v>
      </c>
      <c r="Y108" s="1" t="s">
        <v>312</v>
      </c>
      <c r="Z108" s="1" t="s">
        <v>312</v>
      </c>
      <c r="AC108" s="1" t="s">
        <v>312</v>
      </c>
      <c r="AD108" s="1" t="s">
        <v>312</v>
      </c>
      <c r="AE108" s="1" t="str">
        <f>VLOOKUP(B108,Participanti!A:B,2,0)</f>
        <v>M</v>
      </c>
      <c r="AF108" s="1" t="str">
        <f>VLOOKUP(B108,Data_Echipe!A:R,18,0)</f>
        <v>MedgidiaRunning</v>
      </c>
    </row>
    <row r="109" spans="1:32" ht="13" x14ac:dyDescent="0.3">
      <c r="A109" s="79">
        <v>108</v>
      </c>
      <c r="B109" s="30" t="s">
        <v>381</v>
      </c>
      <c r="C109" s="31" t="str">
        <f>IF(SUMIFS(Data!$U:$U,Data!$A:$A,$B109,Data!$C:$C,C$1)=0,"",SUMIFS(Data!$U:$U,Data!$A:$A,$B109,Data!$C:$C,C$1))</f>
        <v/>
      </c>
      <c r="D109" s="31">
        <f>IF(SUMIFS(Data!$U:$U,Data!$A:$A,$B109,Data!$C:$C,D$1)=0,"",SUMIFS(Data!$U:$U,Data!$A:$A,$B109,Data!$C:$C,D$1))</f>
        <v>1.8525238095238095</v>
      </c>
      <c r="E109" s="31" t="str">
        <f>IF(SUMIFS(Data!$U:$U,Data!$A:$A,$B109,Data!$C:$C,E$1)=0,"",SUMIFS(Data!$U:$U,Data!$A:$A,$B109,Data!$C:$C,E$1))</f>
        <v/>
      </c>
      <c r="F109" s="31">
        <f>IF(SUMIFS(Data!$U:$U,Data!$A:$A,$B109,Data!$C:$C,F$1)=0,"",SUMIFS(Data!$U:$U,Data!$A:$A,$B109,Data!$C:$C,F$1))</f>
        <v>1.9809523809523808</v>
      </c>
      <c r="G109" s="31" t="str">
        <f>IF(SUMIFS(Data!$U:$U,Data!$A:$A,$B109,Data!$C:$C,G$1)=0,"",SUMIFS(Data!$U:$U,Data!$A:$A,$B109,Data!$C:$C,G$1))</f>
        <v/>
      </c>
      <c r="H109" s="31" t="str">
        <f>IF(SUMIFS(Data!$U:$U,Data!$A:$A,$B109,Data!$C:$C,H$1)=0,"",SUMIFS(Data!$U:$U,Data!$A:$A,$B109,Data!$C:$C,H$1))</f>
        <v/>
      </c>
      <c r="I109" s="31" t="str">
        <f>IF(SUMIFS(Data!$U:$U,Data!$A:$A,$B109,Data!$C:$C,I$1)=0,"",SUMIFS(Data!$U:$U,Data!$A:$A,$B109,Data!$C:$C,I$1))</f>
        <v/>
      </c>
      <c r="J109" s="31" t="str">
        <f>IF(SUMIFS(Data!$U:$U,Data!$A:$A,$B109,Data!$C:$C,J$1)=0,"",SUMIFS(Data!$U:$U,Data!$A:$A,$B109,Data!$C:$C,J$1))</f>
        <v/>
      </c>
      <c r="K109" s="31" t="str">
        <f>IF(SUMIFS(Data!$U:$U,Data!$A:$A,$B109,Data!$C:$C,K$1)=0,"",SUMIFS(Data!$U:$U,Data!$A:$A,$B109,Data!$C:$C,K$1))</f>
        <v/>
      </c>
      <c r="L109" s="31" t="str">
        <f>IF(SUMIFS(Data!$U:$U,Data!$A:$A,$B109,Data!$C:$C,L$1)=0,"",SUMIFS(Data!$U:$U,Data!$A:$A,$B109,Data!$C:$C,L$1))</f>
        <v/>
      </c>
      <c r="M109" s="31" t="str">
        <f>IF(SUMIFS(Data!$U:$U,Data!$A:$A,$B109,Data!$C:$C,M$1)=0,"",SUMIFS(Data!$U:$U,Data!$A:$A,$B109,Data!$C:$C,M$1))</f>
        <v/>
      </c>
      <c r="N109" s="31" t="str">
        <f>IF(SUMIFS(Data!$U:$U,Data!$A:$A,$B109,Data!$C:$C,N$1)=0,"",SUMIFS(Data!$U:$U,Data!$A:$A,$B109,Data!$C:$C,N$1))</f>
        <v/>
      </c>
      <c r="O109" s="31" t="str">
        <f>IF(SUMIFS(Data!$U:$U,Data!$A:$A,$B109,Data!$C:$C,O$1)=0,"",SUMIFS(Data!$U:$U,Data!$A:$A,$B109,Data!$C:$C,O$1))</f>
        <v/>
      </c>
      <c r="P109" s="31" t="str">
        <f>IF(SUMIFS(Data!$U:$U,Data!$A:$A,$B109,Data!$C:$C,P$1)=0,"",SUMIFS(Data!$U:$U,Data!$A:$A,$B109,Data!$C:$C,P$1))</f>
        <v/>
      </c>
      <c r="Q109" s="31" t="str">
        <f>IF(SUMIFS(Data!$U:$U,Data!$A:$A,$B109,Data!$C:$C,Q$1)=0,"",SUMIFS(Data!$U:$U,Data!$A:$A,$B109,Data!$C:$C,Q$1))</f>
        <v/>
      </c>
      <c r="R109" s="31">
        <f>VLOOKUP(W109,Barem!$W$39:$X$54,2,0)</f>
        <v>0</v>
      </c>
      <c r="S109" s="31">
        <f>SUM(C109:R109)</f>
        <v>3.8334761904761905</v>
      </c>
      <c r="T109" s="31">
        <f>SUMIFS(Data!D:D,Data!A:A,'#ligaSYR'!B93)</f>
        <v>58.150000000000006</v>
      </c>
      <c r="U109" s="1" t="str">
        <f>IF(VLOOKUP(B109,Participanti!A:D,4,0)=0," ","New")</f>
        <v>New</v>
      </c>
      <c r="W109" s="116">
        <f>SUMIFS(Data!Z:Z,Data!A:A,'#ligaSYR'!B109)</f>
        <v>2</v>
      </c>
      <c r="X109" s="116" t="s">
        <v>312</v>
      </c>
      <c r="Y109" s="1" t="s">
        <v>312</v>
      </c>
      <c r="Z109" s="1" t="s">
        <v>312</v>
      </c>
      <c r="AA109" s="1" t="s">
        <v>312</v>
      </c>
      <c r="AB109" s="1" t="s">
        <v>312</v>
      </c>
      <c r="AC109" s="1" t="s">
        <v>312</v>
      </c>
      <c r="AD109" s="1" t="s">
        <v>312</v>
      </c>
      <c r="AE109" s="1" t="str">
        <f>VLOOKUP(B109,Participanti!A:B,2,0)</f>
        <v>M</v>
      </c>
      <c r="AF109" s="1" t="e">
        <f>VLOOKUP(B109,Data_Echipe!A:R,18,0)</f>
        <v>#N/A</v>
      </c>
    </row>
    <row r="110" spans="1:32" ht="13" x14ac:dyDescent="0.3">
      <c r="A110" s="79">
        <v>109</v>
      </c>
      <c r="B110" s="30" t="s">
        <v>510</v>
      </c>
      <c r="C110" s="31" t="str">
        <f>IF(SUMIFS(Data!$U:$U,Data!$A:$A,$B110,Data!$C:$C,C$1)=0,"",SUMIFS(Data!$U:$U,Data!$A:$A,$B110,Data!$C:$C,C$1))</f>
        <v/>
      </c>
      <c r="D110" s="31" t="str">
        <f>IF(SUMIFS(Data!$U:$U,Data!$A:$A,$B110,Data!$C:$C,D$1)=0,"",SUMIFS(Data!$U:$U,Data!$A:$A,$B110,Data!$C:$C,D$1))</f>
        <v/>
      </c>
      <c r="E110" s="31" t="str">
        <f>IF(SUMIFS(Data!$U:$U,Data!$A:$A,$B110,Data!$C:$C,E$1)=0,"",SUMIFS(Data!$U:$U,Data!$A:$A,$B110,Data!$C:$C,E$1))</f>
        <v/>
      </c>
      <c r="F110" s="31" t="str">
        <f>IF(SUMIFS(Data!$U:$U,Data!$A:$A,$B110,Data!$C:$C,F$1)=0,"",SUMIFS(Data!$U:$U,Data!$A:$A,$B110,Data!$C:$C,F$1))</f>
        <v/>
      </c>
      <c r="G110" s="31" t="str">
        <f>IF(SUMIFS(Data!$U:$U,Data!$A:$A,$B110,Data!$C:$C,G$1)=0,"",SUMIFS(Data!$U:$U,Data!$A:$A,$B110,Data!$C:$C,G$1))</f>
        <v/>
      </c>
      <c r="H110" s="31" t="str">
        <f>IF(SUMIFS(Data!$U:$U,Data!$A:$A,$B110,Data!$C:$C,H$1)=0,"",SUMIFS(Data!$U:$U,Data!$A:$A,$B110,Data!$C:$C,H$1))</f>
        <v/>
      </c>
      <c r="I110" s="31" t="str">
        <f>IF(SUMIFS(Data!$U:$U,Data!$A:$A,$B110,Data!$C:$C,I$1)=0,"",SUMIFS(Data!$U:$U,Data!$A:$A,$B110,Data!$C:$C,I$1))</f>
        <v/>
      </c>
      <c r="J110" s="31" t="str">
        <f>IF(SUMIFS(Data!$U:$U,Data!$A:$A,$B110,Data!$C:$C,J$1)=0,"",SUMIFS(Data!$U:$U,Data!$A:$A,$B110,Data!$C:$C,J$1))</f>
        <v/>
      </c>
      <c r="K110" s="31" t="str">
        <f>IF(SUMIFS(Data!$U:$U,Data!$A:$A,$B110,Data!$C:$C,K$1)=0,"",SUMIFS(Data!$U:$U,Data!$A:$A,$B110,Data!$C:$C,K$1))</f>
        <v/>
      </c>
      <c r="L110" s="31" t="str">
        <f>IF(SUMIFS(Data!$U:$U,Data!$A:$A,$B110,Data!$C:$C,L$1)=0,"",SUMIFS(Data!$U:$U,Data!$A:$A,$B110,Data!$C:$C,L$1))</f>
        <v/>
      </c>
      <c r="M110" s="31" t="str">
        <f>IF(SUMIFS(Data!$U:$U,Data!$A:$A,$B110,Data!$C:$C,M$1)=0,"",SUMIFS(Data!$U:$U,Data!$A:$A,$B110,Data!$C:$C,M$1))</f>
        <v/>
      </c>
      <c r="N110" s="31" t="str">
        <f>IF(SUMIFS(Data!$U:$U,Data!$A:$A,$B110,Data!$C:$C,N$1)=0,"",SUMIFS(Data!$U:$U,Data!$A:$A,$B110,Data!$C:$C,N$1))</f>
        <v/>
      </c>
      <c r="O110" s="31" t="str">
        <f>IF(SUMIFS(Data!$U:$U,Data!$A:$A,$B110,Data!$C:$C,O$1)=0,"",SUMIFS(Data!$U:$U,Data!$A:$A,$B110,Data!$C:$C,O$1))</f>
        <v/>
      </c>
      <c r="P110" s="31">
        <f>IF(SUMIFS(Data!$U:$U,Data!$A:$A,$B110,Data!$C:$C,P$1)=0,"",SUMIFS(Data!$U:$U,Data!$A:$A,$B110,Data!$C:$C,P$1))</f>
        <v>2.0922619047619047</v>
      </c>
      <c r="Q110" s="31">
        <f>IF(SUMIFS(Data!$U:$U,Data!$A:$A,$B110,Data!$C:$C,Q$1)=0,"",SUMIFS(Data!$U:$U,Data!$A:$A,$B110,Data!$C:$C,Q$1))</f>
        <v>1.605952380952381</v>
      </c>
      <c r="R110" s="31">
        <f>VLOOKUP(W110,Barem!$W$39:$X$54,2,0)</f>
        <v>0</v>
      </c>
      <c r="S110" s="31">
        <f>SUM(C110:R110)</f>
        <v>3.6982142857142857</v>
      </c>
      <c r="T110" s="31">
        <f>SUMIFS(Data!D:D,Data!A:A,'#ligaSYR'!B97)</f>
        <v>22.080000000000002</v>
      </c>
      <c r="U110" s="1" t="str">
        <f>IF(VLOOKUP(B110,Participanti!A:D,4,0)=0," ","New")</f>
        <v>New</v>
      </c>
      <c r="W110" s="116">
        <f>SUMIFS(Data!Z:Z,Data!A:A,'#ligaSYR'!B110)</f>
        <v>2</v>
      </c>
      <c r="X110" s="116"/>
      <c r="AF110" s="1" t="e">
        <f>VLOOKUP(B110,Data_Echipe!A:R,18,0)</f>
        <v>#N/A</v>
      </c>
    </row>
    <row r="111" spans="1:32" ht="13" x14ac:dyDescent="0.3">
      <c r="A111" s="79">
        <v>110</v>
      </c>
      <c r="B111" s="30" t="s">
        <v>352</v>
      </c>
      <c r="C111" s="31">
        <f>IF(SUMIFS(Data!$U:$U,Data!$A:$A,$B111,Data!$C:$C,C$1)=0,"",SUMIFS(Data!$U:$U,Data!$A:$A,$B111,Data!$C:$C,C$1))</f>
        <v>1.8916666666666666</v>
      </c>
      <c r="D111" s="31">
        <f>IF(SUMIFS(Data!$U:$U,Data!$A:$A,$B111,Data!$C:$C,D$1)=0,"",SUMIFS(Data!$U:$U,Data!$A:$A,$B111,Data!$C:$C,D$1))</f>
        <v>1.4886904761904762</v>
      </c>
      <c r="E111" s="31" t="str">
        <f>IF(SUMIFS(Data!$U:$U,Data!$A:$A,$B111,Data!$C:$C,E$1)=0,"",SUMIFS(Data!$U:$U,Data!$A:$A,$B111,Data!$C:$C,E$1))</f>
        <v/>
      </c>
      <c r="F111" s="31" t="str">
        <f>IF(SUMIFS(Data!$U:$U,Data!$A:$A,$B111,Data!$C:$C,F$1)=0,"",SUMIFS(Data!$U:$U,Data!$A:$A,$B111,Data!$C:$C,F$1))</f>
        <v/>
      </c>
      <c r="G111" s="31" t="str">
        <f>IF(SUMIFS(Data!$U:$U,Data!$A:$A,$B111,Data!$C:$C,G$1)=0,"",SUMIFS(Data!$U:$U,Data!$A:$A,$B111,Data!$C:$C,G$1))</f>
        <v/>
      </c>
      <c r="H111" s="31" t="str">
        <f>IF(SUMIFS(Data!$U:$U,Data!$A:$A,$B111,Data!$C:$C,H$1)=0,"",SUMIFS(Data!$U:$U,Data!$A:$A,$B111,Data!$C:$C,H$1))</f>
        <v/>
      </c>
      <c r="I111" s="31" t="str">
        <f>IF(SUMIFS(Data!$U:$U,Data!$A:$A,$B111,Data!$C:$C,I$1)=0,"",SUMIFS(Data!$U:$U,Data!$A:$A,$B111,Data!$C:$C,I$1))</f>
        <v/>
      </c>
      <c r="J111" s="31" t="str">
        <f>IF(SUMIFS(Data!$U:$U,Data!$A:$A,$B111,Data!$C:$C,J$1)=0,"",SUMIFS(Data!$U:$U,Data!$A:$A,$B111,Data!$C:$C,J$1))</f>
        <v/>
      </c>
      <c r="K111" s="31" t="str">
        <f>IF(SUMIFS(Data!$U:$U,Data!$A:$A,$B111,Data!$C:$C,K$1)=0,"",SUMIFS(Data!$U:$U,Data!$A:$A,$B111,Data!$C:$C,K$1))</f>
        <v/>
      </c>
      <c r="L111" s="31" t="str">
        <f>IF(SUMIFS(Data!$U:$U,Data!$A:$A,$B111,Data!$C:$C,L$1)=0,"",SUMIFS(Data!$U:$U,Data!$A:$A,$B111,Data!$C:$C,L$1))</f>
        <v/>
      </c>
      <c r="M111" s="31" t="str">
        <f>IF(SUMIFS(Data!$U:$U,Data!$A:$A,$B111,Data!$C:$C,M$1)=0,"",SUMIFS(Data!$U:$U,Data!$A:$A,$B111,Data!$C:$C,M$1))</f>
        <v/>
      </c>
      <c r="N111" s="31" t="str">
        <f>IF(SUMIFS(Data!$U:$U,Data!$A:$A,$B111,Data!$C:$C,N$1)=0,"",SUMIFS(Data!$U:$U,Data!$A:$A,$B111,Data!$C:$C,N$1))</f>
        <v/>
      </c>
      <c r="O111" s="31" t="str">
        <f>IF(SUMIFS(Data!$U:$U,Data!$A:$A,$B111,Data!$C:$C,O$1)=0,"",SUMIFS(Data!$U:$U,Data!$A:$A,$B111,Data!$C:$C,O$1))</f>
        <v/>
      </c>
      <c r="P111" s="31" t="str">
        <f>IF(SUMIFS(Data!$U:$U,Data!$A:$A,$B111,Data!$C:$C,P$1)=0,"",SUMIFS(Data!$U:$U,Data!$A:$A,$B111,Data!$C:$C,P$1))</f>
        <v/>
      </c>
      <c r="Q111" s="31" t="str">
        <f>IF(SUMIFS(Data!$U:$U,Data!$A:$A,$B111,Data!$C:$C,Q$1)=0,"",SUMIFS(Data!$U:$U,Data!$A:$A,$B111,Data!$C:$C,Q$1))</f>
        <v/>
      </c>
      <c r="R111" s="31">
        <f>VLOOKUP(W111,Barem!$W$39:$X$54,2,0)</f>
        <v>0</v>
      </c>
      <c r="S111" s="31">
        <f>SUM(C111:R111)</f>
        <v>3.3803571428571431</v>
      </c>
      <c r="T111" s="31">
        <f>SUMIFS(Data!D:D,Data!A:A,'#ligaSYR'!B78)</f>
        <v>121.16</v>
      </c>
      <c r="U111" s="1" t="str">
        <f>IF(VLOOKUP(B111,Participanti!A:D,4,0)=0," ","New")</f>
        <v>New</v>
      </c>
      <c r="W111" s="116">
        <f>SUMIFS(Data!Z:Z,Data!A:A,'#ligaSYR'!B111)</f>
        <v>2</v>
      </c>
      <c r="X111" s="116" t="s">
        <v>312</v>
      </c>
      <c r="Y111" s="1" t="s">
        <v>312</v>
      </c>
      <c r="Z111" s="1" t="s">
        <v>312</v>
      </c>
      <c r="AC111" s="1" t="s">
        <v>312</v>
      </c>
      <c r="AD111" s="1" t="s">
        <v>312</v>
      </c>
      <c r="AE111" s="1" t="str">
        <f>VLOOKUP(B111,Participanti!A:B,2,0)</f>
        <v>M</v>
      </c>
      <c r="AF111" s="1" t="e">
        <f>VLOOKUP(B111,Data_Echipe!A:R,18,0)</f>
        <v>#N/A</v>
      </c>
    </row>
    <row r="112" spans="1:32" ht="13" x14ac:dyDescent="0.3">
      <c r="A112" s="79">
        <v>111</v>
      </c>
      <c r="B112" s="30" t="s">
        <v>338</v>
      </c>
      <c r="C112" s="31">
        <f>IF(SUMIFS(Data!$U:$U,Data!$A:$A,$B112,Data!$C:$C,C$1)=0,"",SUMIFS(Data!$U:$U,Data!$A:$A,$B112,Data!$C:$C,C$1))</f>
        <v>3.1065833333333335</v>
      </c>
      <c r="D112" s="31" t="str">
        <f>IF(SUMIFS(Data!$U:$U,Data!$A:$A,$B112,Data!$C:$C,D$1)=0,"",SUMIFS(Data!$U:$U,Data!$A:$A,$B112,Data!$C:$C,D$1))</f>
        <v/>
      </c>
      <c r="E112" s="31" t="str">
        <f>IF(SUMIFS(Data!$U:$U,Data!$A:$A,$B112,Data!$C:$C,E$1)=0,"",SUMIFS(Data!$U:$U,Data!$A:$A,$B112,Data!$C:$C,E$1))</f>
        <v/>
      </c>
      <c r="F112" s="31" t="str">
        <f>IF(SUMIFS(Data!$U:$U,Data!$A:$A,$B112,Data!$C:$C,F$1)=0,"",SUMIFS(Data!$U:$U,Data!$A:$A,$B112,Data!$C:$C,F$1))</f>
        <v/>
      </c>
      <c r="G112" s="31" t="str">
        <f>IF(SUMIFS(Data!$U:$U,Data!$A:$A,$B112,Data!$C:$C,G$1)=0,"",SUMIFS(Data!$U:$U,Data!$A:$A,$B112,Data!$C:$C,G$1))</f>
        <v/>
      </c>
      <c r="H112" s="31" t="str">
        <f>IF(SUMIFS(Data!$U:$U,Data!$A:$A,$B112,Data!$C:$C,H$1)=0,"",SUMIFS(Data!$U:$U,Data!$A:$A,$B112,Data!$C:$C,H$1))</f>
        <v/>
      </c>
      <c r="I112" s="31" t="str">
        <f>IF(SUMIFS(Data!$U:$U,Data!$A:$A,$B112,Data!$C:$C,I$1)=0,"",SUMIFS(Data!$U:$U,Data!$A:$A,$B112,Data!$C:$C,I$1))</f>
        <v/>
      </c>
      <c r="J112" s="31" t="str">
        <f>IF(SUMIFS(Data!$U:$U,Data!$A:$A,$B112,Data!$C:$C,J$1)=0,"",SUMIFS(Data!$U:$U,Data!$A:$A,$B112,Data!$C:$C,J$1))</f>
        <v/>
      </c>
      <c r="K112" s="31" t="str">
        <f>IF(SUMIFS(Data!$U:$U,Data!$A:$A,$B112,Data!$C:$C,K$1)=0,"",SUMIFS(Data!$U:$U,Data!$A:$A,$B112,Data!$C:$C,K$1))</f>
        <v/>
      </c>
      <c r="L112" s="31" t="str">
        <f>IF(SUMIFS(Data!$U:$U,Data!$A:$A,$B112,Data!$C:$C,L$1)=0,"",SUMIFS(Data!$U:$U,Data!$A:$A,$B112,Data!$C:$C,L$1))</f>
        <v/>
      </c>
      <c r="M112" s="31" t="str">
        <f>IF(SUMIFS(Data!$U:$U,Data!$A:$A,$B112,Data!$C:$C,M$1)=0,"",SUMIFS(Data!$U:$U,Data!$A:$A,$B112,Data!$C:$C,M$1))</f>
        <v/>
      </c>
      <c r="N112" s="31" t="str">
        <f>IF(SUMIFS(Data!$U:$U,Data!$A:$A,$B112,Data!$C:$C,N$1)=0,"",SUMIFS(Data!$U:$U,Data!$A:$A,$B112,Data!$C:$C,N$1))</f>
        <v/>
      </c>
      <c r="O112" s="31" t="str">
        <f>IF(SUMIFS(Data!$U:$U,Data!$A:$A,$B112,Data!$C:$C,O$1)=0,"",SUMIFS(Data!$U:$U,Data!$A:$A,$B112,Data!$C:$C,O$1))</f>
        <v/>
      </c>
      <c r="P112" s="31" t="str">
        <f>IF(SUMIFS(Data!$U:$U,Data!$A:$A,$B112,Data!$C:$C,P$1)=0,"",SUMIFS(Data!$U:$U,Data!$A:$A,$B112,Data!$C:$C,P$1))</f>
        <v/>
      </c>
      <c r="Q112" s="31" t="str">
        <f>IF(SUMIFS(Data!$U:$U,Data!$A:$A,$B112,Data!$C:$C,Q$1)=0,"",SUMIFS(Data!$U:$U,Data!$A:$A,$B112,Data!$C:$C,Q$1))</f>
        <v/>
      </c>
      <c r="R112" s="31">
        <f>VLOOKUP(W112,Barem!$W$39:$X$54,2,0)</f>
        <v>0</v>
      </c>
      <c r="S112" s="31">
        <f>SUM(C112:R112)</f>
        <v>3.1065833333333335</v>
      </c>
      <c r="T112" s="31">
        <f>SUMIFS(Data!D:D,Data!A:A,'#ligaSYR'!B82)</f>
        <v>89.52</v>
      </c>
      <c r="U112" s="1" t="str">
        <f>IF(VLOOKUP(B112,Participanti!A:D,4,0)=0," ","New")</f>
        <v>New</v>
      </c>
      <c r="W112" s="116">
        <f>SUMIFS(Data!Z:Z,Data!A:A,'#ligaSYR'!B112)</f>
        <v>0</v>
      </c>
      <c r="X112" s="116" t="s">
        <v>312</v>
      </c>
      <c r="Y112" s="1" t="s">
        <v>312</v>
      </c>
      <c r="Z112" s="1" t="s">
        <v>312</v>
      </c>
      <c r="AA112" s="1" t="s">
        <v>312</v>
      </c>
      <c r="AB112" s="1" t="s">
        <v>312</v>
      </c>
      <c r="AC112" s="1" t="s">
        <v>312</v>
      </c>
      <c r="AD112" s="1" t="s">
        <v>312</v>
      </c>
      <c r="AE112" s="1" t="str">
        <f>VLOOKUP(B112,Participanti!A:B,2,0)</f>
        <v>F</v>
      </c>
      <c r="AF112" s="1" t="e">
        <f>VLOOKUP(B112,Data_Echipe!A:R,18,0)</f>
        <v>#N/A</v>
      </c>
    </row>
    <row r="113" spans="1:32" ht="13" x14ac:dyDescent="0.3">
      <c r="A113" s="79">
        <v>112</v>
      </c>
      <c r="B113" s="30" t="s">
        <v>385</v>
      </c>
      <c r="C113" s="31" t="str">
        <f>IF(SUMIFS(Data!$U:$U,Data!$A:$A,$B113,Data!$C:$C,C$1)=0,"",SUMIFS(Data!$U:$U,Data!$A:$A,$B113,Data!$C:$C,C$1))</f>
        <v/>
      </c>
      <c r="D113" s="31">
        <f>IF(SUMIFS(Data!$U:$U,Data!$A:$A,$B113,Data!$C:$C,D$1)=0,"",SUMIFS(Data!$U:$U,Data!$A:$A,$B113,Data!$C:$C,D$1))</f>
        <v>2.9387499999999998</v>
      </c>
      <c r="E113" s="31" t="str">
        <f>IF(SUMIFS(Data!$U:$U,Data!$A:$A,$B113,Data!$C:$C,E$1)=0,"",SUMIFS(Data!$U:$U,Data!$A:$A,$B113,Data!$C:$C,E$1))</f>
        <v/>
      </c>
      <c r="F113" s="31" t="str">
        <f>IF(SUMIFS(Data!$U:$U,Data!$A:$A,$B113,Data!$C:$C,F$1)=0,"",SUMIFS(Data!$U:$U,Data!$A:$A,$B113,Data!$C:$C,F$1))</f>
        <v/>
      </c>
      <c r="G113" s="31" t="str">
        <f>IF(SUMIFS(Data!$U:$U,Data!$A:$A,$B113,Data!$C:$C,G$1)=0,"",SUMIFS(Data!$U:$U,Data!$A:$A,$B113,Data!$C:$C,G$1))</f>
        <v/>
      </c>
      <c r="H113" s="31" t="str">
        <f>IF(SUMIFS(Data!$U:$U,Data!$A:$A,$B113,Data!$C:$C,H$1)=0,"",SUMIFS(Data!$U:$U,Data!$A:$A,$B113,Data!$C:$C,H$1))</f>
        <v/>
      </c>
      <c r="I113" s="31" t="str">
        <f>IF(SUMIFS(Data!$U:$U,Data!$A:$A,$B113,Data!$C:$C,I$1)=0,"",SUMIFS(Data!$U:$U,Data!$A:$A,$B113,Data!$C:$C,I$1))</f>
        <v/>
      </c>
      <c r="J113" s="31" t="str">
        <f>IF(SUMIFS(Data!$U:$U,Data!$A:$A,$B113,Data!$C:$C,J$1)=0,"",SUMIFS(Data!$U:$U,Data!$A:$A,$B113,Data!$C:$C,J$1))</f>
        <v/>
      </c>
      <c r="K113" s="31" t="str">
        <f>IF(SUMIFS(Data!$U:$U,Data!$A:$A,$B113,Data!$C:$C,K$1)=0,"",SUMIFS(Data!$U:$U,Data!$A:$A,$B113,Data!$C:$C,K$1))</f>
        <v/>
      </c>
      <c r="L113" s="31" t="str">
        <f>IF(SUMIFS(Data!$U:$U,Data!$A:$A,$B113,Data!$C:$C,L$1)=0,"",SUMIFS(Data!$U:$U,Data!$A:$A,$B113,Data!$C:$C,L$1))</f>
        <v/>
      </c>
      <c r="M113" s="31" t="str">
        <f>IF(SUMIFS(Data!$U:$U,Data!$A:$A,$B113,Data!$C:$C,M$1)=0,"",SUMIFS(Data!$U:$U,Data!$A:$A,$B113,Data!$C:$C,M$1))</f>
        <v/>
      </c>
      <c r="N113" s="31" t="str">
        <f>IF(SUMIFS(Data!$U:$U,Data!$A:$A,$B113,Data!$C:$C,N$1)=0,"",SUMIFS(Data!$U:$U,Data!$A:$A,$B113,Data!$C:$C,N$1))</f>
        <v/>
      </c>
      <c r="O113" s="31" t="str">
        <f>IF(SUMIFS(Data!$U:$U,Data!$A:$A,$B113,Data!$C:$C,O$1)=0,"",SUMIFS(Data!$U:$U,Data!$A:$A,$B113,Data!$C:$C,O$1))</f>
        <v/>
      </c>
      <c r="P113" s="31" t="str">
        <f>IF(SUMIFS(Data!$U:$U,Data!$A:$A,$B113,Data!$C:$C,P$1)=0,"",SUMIFS(Data!$U:$U,Data!$A:$A,$B113,Data!$C:$C,P$1))</f>
        <v/>
      </c>
      <c r="Q113" s="31" t="str">
        <f>IF(SUMIFS(Data!$U:$U,Data!$A:$A,$B113,Data!$C:$C,Q$1)=0,"",SUMIFS(Data!$U:$U,Data!$A:$A,$B113,Data!$C:$C,Q$1))</f>
        <v/>
      </c>
      <c r="R113" s="31">
        <f>VLOOKUP(W113,Barem!$W$39:$X$54,2,0)</f>
        <v>0</v>
      </c>
      <c r="S113" s="31">
        <f>SUM(C113:R113)</f>
        <v>2.9387499999999998</v>
      </c>
      <c r="T113" s="31">
        <f>SUMIFS(Data!D:D,Data!A:A,'#ligaSYR'!B83)</f>
        <v>135.56</v>
      </c>
      <c r="U113" s="1" t="str">
        <f>IF(VLOOKUP(B113,Participanti!A:D,4,0)=0," ","New")</f>
        <v>New</v>
      </c>
      <c r="W113" s="116">
        <f>SUMIFS(Data!Z:Z,Data!A:A,'#ligaSYR'!B113)</f>
        <v>1</v>
      </c>
      <c r="X113" s="116" t="s">
        <v>312</v>
      </c>
      <c r="Y113" s="1" t="s">
        <v>312</v>
      </c>
      <c r="Z113" s="1" t="s">
        <v>312</v>
      </c>
      <c r="AC113" s="1" t="s">
        <v>312</v>
      </c>
      <c r="AD113" s="1" t="s">
        <v>312</v>
      </c>
      <c r="AE113" s="1" t="str">
        <f>VLOOKUP(B113,Participanti!A:B,2,0)</f>
        <v>F</v>
      </c>
      <c r="AF113" s="1" t="e">
        <f>VLOOKUP(B113,Data_Echipe!A:R,18,0)</f>
        <v>#N/A</v>
      </c>
    </row>
    <row r="114" spans="1:32" ht="13" x14ac:dyDescent="0.3">
      <c r="A114" s="79">
        <v>113</v>
      </c>
      <c r="B114" s="30" t="s">
        <v>304</v>
      </c>
      <c r="C114" s="31" t="str">
        <f>IF(SUMIFS(Data!$U:$U,Data!$A:$A,$B114,Data!$C:$C,C$1)=0,"",SUMIFS(Data!$U:$U,Data!$A:$A,$B114,Data!$C:$C,C$1))</f>
        <v/>
      </c>
      <c r="D114" s="31" t="str">
        <f>IF(SUMIFS(Data!$U:$U,Data!$A:$A,$B114,Data!$C:$C,D$1)=0,"",SUMIFS(Data!$U:$U,Data!$A:$A,$B114,Data!$C:$C,D$1))</f>
        <v/>
      </c>
      <c r="E114" s="31">
        <f>IF(SUMIFS(Data!$U:$U,Data!$A:$A,$B114,Data!$C:$C,E$1)=0,"",SUMIFS(Data!$U:$U,Data!$A:$A,$B114,Data!$C:$C,E$1))</f>
        <v>2.7250000000000001</v>
      </c>
      <c r="F114" s="31" t="str">
        <f>IF(SUMIFS(Data!$U:$U,Data!$A:$A,$B114,Data!$C:$C,F$1)=0,"",SUMIFS(Data!$U:$U,Data!$A:$A,$B114,Data!$C:$C,F$1))</f>
        <v/>
      </c>
      <c r="G114" s="31" t="str">
        <f>IF(SUMIFS(Data!$U:$U,Data!$A:$A,$B114,Data!$C:$C,G$1)=0,"",SUMIFS(Data!$U:$U,Data!$A:$A,$B114,Data!$C:$C,G$1))</f>
        <v/>
      </c>
      <c r="H114" s="31" t="str">
        <f>IF(SUMIFS(Data!$U:$U,Data!$A:$A,$B114,Data!$C:$C,H$1)=0,"",SUMIFS(Data!$U:$U,Data!$A:$A,$B114,Data!$C:$C,H$1))</f>
        <v/>
      </c>
      <c r="I114" s="31" t="str">
        <f>IF(SUMIFS(Data!$U:$U,Data!$A:$A,$B114,Data!$C:$C,I$1)=0,"",SUMIFS(Data!$U:$U,Data!$A:$A,$B114,Data!$C:$C,I$1))</f>
        <v/>
      </c>
      <c r="J114" s="31" t="str">
        <f>IF(SUMIFS(Data!$U:$U,Data!$A:$A,$B114,Data!$C:$C,J$1)=0,"",SUMIFS(Data!$U:$U,Data!$A:$A,$B114,Data!$C:$C,J$1))</f>
        <v/>
      </c>
      <c r="K114" s="31" t="str">
        <f>IF(SUMIFS(Data!$U:$U,Data!$A:$A,$B114,Data!$C:$C,K$1)=0,"",SUMIFS(Data!$U:$U,Data!$A:$A,$B114,Data!$C:$C,K$1))</f>
        <v/>
      </c>
      <c r="L114" s="31" t="str">
        <f>IF(SUMIFS(Data!$U:$U,Data!$A:$A,$B114,Data!$C:$C,L$1)=0,"",SUMIFS(Data!$U:$U,Data!$A:$A,$B114,Data!$C:$C,L$1))</f>
        <v/>
      </c>
      <c r="M114" s="31" t="str">
        <f>IF(SUMIFS(Data!$U:$U,Data!$A:$A,$B114,Data!$C:$C,M$1)=0,"",SUMIFS(Data!$U:$U,Data!$A:$A,$B114,Data!$C:$C,M$1))</f>
        <v/>
      </c>
      <c r="N114" s="31" t="str">
        <f>IF(SUMIFS(Data!$U:$U,Data!$A:$A,$B114,Data!$C:$C,N$1)=0,"",SUMIFS(Data!$U:$U,Data!$A:$A,$B114,Data!$C:$C,N$1))</f>
        <v/>
      </c>
      <c r="O114" s="31" t="str">
        <f>IF(SUMIFS(Data!$U:$U,Data!$A:$A,$B114,Data!$C:$C,O$1)=0,"",SUMIFS(Data!$U:$U,Data!$A:$A,$B114,Data!$C:$C,O$1))</f>
        <v/>
      </c>
      <c r="P114" s="31" t="str">
        <f>IF(SUMIFS(Data!$U:$U,Data!$A:$A,$B114,Data!$C:$C,P$1)=0,"",SUMIFS(Data!$U:$U,Data!$A:$A,$B114,Data!$C:$C,P$1))</f>
        <v/>
      </c>
      <c r="Q114" s="31" t="str">
        <f>IF(SUMIFS(Data!$U:$U,Data!$A:$A,$B114,Data!$C:$C,Q$1)=0,"",SUMIFS(Data!$U:$U,Data!$A:$A,$B114,Data!$C:$C,Q$1))</f>
        <v/>
      </c>
      <c r="R114" s="31">
        <f>VLOOKUP(W114,Barem!$W$39:$X$54,2,0)</f>
        <v>0</v>
      </c>
      <c r="S114" s="31">
        <f>SUM(C114:R114)</f>
        <v>2.7250000000000001</v>
      </c>
      <c r="T114" s="31">
        <f>SUMIFS(Data!D:D,Data!A:A,'#ligaSYR'!B101)</f>
        <v>37.58</v>
      </c>
      <c r="U114" s="1" t="str">
        <f>IF(VLOOKUP(B114,Participanti!A:D,4,0)=0," ","New")</f>
        <v xml:space="preserve"> </v>
      </c>
      <c r="W114" s="116">
        <f>SUMIFS(Data!Z:Z,Data!A:A,'#ligaSYR'!B114)</f>
        <v>1</v>
      </c>
      <c r="X114" s="116" t="s">
        <v>312</v>
      </c>
      <c r="Y114" s="1" t="s">
        <v>312</v>
      </c>
      <c r="Z114" s="1" t="s">
        <v>312</v>
      </c>
      <c r="AC114" s="1" t="s">
        <v>312</v>
      </c>
      <c r="AD114" s="1" t="s">
        <v>312</v>
      </c>
      <c r="AE114" s="1" t="str">
        <f>VLOOKUP(B114,Participanti!A:B,2,0)</f>
        <v>F</v>
      </c>
      <c r="AF114" s="1" t="e">
        <f>VLOOKUP(B114,Data_Echipe!A:R,18,0)</f>
        <v>#N/A</v>
      </c>
    </row>
    <row r="115" spans="1:32" ht="13" x14ac:dyDescent="0.3">
      <c r="A115" s="79">
        <v>114</v>
      </c>
      <c r="B115" s="30" t="s">
        <v>394</v>
      </c>
      <c r="C115" s="31" t="str">
        <f>IF(SUMIFS(Data!$U:$U,Data!$A:$A,$B115,Data!$C:$C,C$1)=0,"",SUMIFS(Data!$U:$U,Data!$A:$A,$B115,Data!$C:$C,C$1))</f>
        <v/>
      </c>
      <c r="D115" s="31" t="str">
        <f>IF(SUMIFS(Data!$U:$U,Data!$A:$A,$B115,Data!$C:$C,D$1)=0,"",SUMIFS(Data!$U:$U,Data!$A:$A,$B115,Data!$C:$C,D$1))</f>
        <v/>
      </c>
      <c r="E115" s="31">
        <f>IF(SUMIFS(Data!$U:$U,Data!$A:$A,$B115,Data!$C:$C,E$1)=0,"",SUMIFS(Data!$U:$U,Data!$A:$A,$B115,Data!$C:$C,E$1))</f>
        <v>2.1428571428571428</v>
      </c>
      <c r="F115" s="31" t="str">
        <f>IF(SUMIFS(Data!$U:$U,Data!$A:$A,$B115,Data!$C:$C,F$1)=0,"",SUMIFS(Data!$U:$U,Data!$A:$A,$B115,Data!$C:$C,F$1))</f>
        <v/>
      </c>
      <c r="G115" s="31" t="str">
        <f>IF(SUMIFS(Data!$U:$U,Data!$A:$A,$B115,Data!$C:$C,G$1)=0,"",SUMIFS(Data!$U:$U,Data!$A:$A,$B115,Data!$C:$C,G$1))</f>
        <v/>
      </c>
      <c r="H115" s="31" t="str">
        <f>IF(SUMIFS(Data!$U:$U,Data!$A:$A,$B115,Data!$C:$C,H$1)=0,"",SUMIFS(Data!$U:$U,Data!$A:$A,$B115,Data!$C:$C,H$1))</f>
        <v/>
      </c>
      <c r="I115" s="31" t="str">
        <f>IF(SUMIFS(Data!$U:$U,Data!$A:$A,$B115,Data!$C:$C,I$1)=0,"",SUMIFS(Data!$U:$U,Data!$A:$A,$B115,Data!$C:$C,I$1))</f>
        <v/>
      </c>
      <c r="J115" s="31" t="str">
        <f>IF(SUMIFS(Data!$U:$U,Data!$A:$A,$B115,Data!$C:$C,J$1)=0,"",SUMIFS(Data!$U:$U,Data!$A:$A,$B115,Data!$C:$C,J$1))</f>
        <v/>
      </c>
      <c r="K115" s="31" t="str">
        <f>IF(SUMIFS(Data!$U:$U,Data!$A:$A,$B115,Data!$C:$C,K$1)=0,"",SUMIFS(Data!$U:$U,Data!$A:$A,$B115,Data!$C:$C,K$1))</f>
        <v/>
      </c>
      <c r="L115" s="31" t="str">
        <f>IF(SUMIFS(Data!$U:$U,Data!$A:$A,$B115,Data!$C:$C,L$1)=0,"",SUMIFS(Data!$U:$U,Data!$A:$A,$B115,Data!$C:$C,L$1))</f>
        <v/>
      </c>
      <c r="M115" s="31" t="str">
        <f>IF(SUMIFS(Data!$U:$U,Data!$A:$A,$B115,Data!$C:$C,M$1)=0,"",SUMIFS(Data!$U:$U,Data!$A:$A,$B115,Data!$C:$C,M$1))</f>
        <v/>
      </c>
      <c r="N115" s="31" t="str">
        <f>IF(SUMIFS(Data!$U:$U,Data!$A:$A,$B115,Data!$C:$C,N$1)=0,"",SUMIFS(Data!$U:$U,Data!$A:$A,$B115,Data!$C:$C,N$1))</f>
        <v/>
      </c>
      <c r="O115" s="31" t="str">
        <f>IF(SUMIFS(Data!$U:$U,Data!$A:$A,$B115,Data!$C:$C,O$1)=0,"",SUMIFS(Data!$U:$U,Data!$A:$A,$B115,Data!$C:$C,O$1))</f>
        <v/>
      </c>
      <c r="P115" s="31" t="str">
        <f>IF(SUMIFS(Data!$U:$U,Data!$A:$A,$B115,Data!$C:$C,P$1)=0,"",SUMIFS(Data!$U:$U,Data!$A:$A,$B115,Data!$C:$C,P$1))</f>
        <v/>
      </c>
      <c r="Q115" s="31" t="str">
        <f>IF(SUMIFS(Data!$U:$U,Data!$A:$A,$B115,Data!$C:$C,Q$1)=0,"",SUMIFS(Data!$U:$U,Data!$A:$A,$B115,Data!$C:$C,Q$1))</f>
        <v/>
      </c>
      <c r="R115" s="31">
        <f>VLOOKUP(W115,Barem!$W$39:$X$54,2,0)</f>
        <v>0</v>
      </c>
      <c r="S115" s="31">
        <f>SUM(C115:R115)</f>
        <v>2.1428571428571428</v>
      </c>
      <c r="T115" s="31">
        <f>SUMIFS(Data!D:D,Data!A:A,'#ligaSYR'!B105)</f>
        <v>26.77</v>
      </c>
      <c r="U115" s="1" t="str">
        <f>IF(VLOOKUP(B115,Participanti!A:D,4,0)=0," ","New")</f>
        <v>New</v>
      </c>
      <c r="W115" s="116">
        <f>SUMIFS(Data!Z:Z,Data!A:A,'#ligaSYR'!B115)</f>
        <v>1</v>
      </c>
      <c r="X115" s="116" t="s">
        <v>312</v>
      </c>
      <c r="Y115" s="1" t="s">
        <v>312</v>
      </c>
      <c r="Z115" s="1" t="s">
        <v>312</v>
      </c>
      <c r="AC115" s="1" t="s">
        <v>312</v>
      </c>
      <c r="AD115" s="1" t="s">
        <v>312</v>
      </c>
      <c r="AE115" s="1" t="str">
        <f>VLOOKUP(B115,Participanti!A:B,2,0)</f>
        <v>M</v>
      </c>
      <c r="AF115" s="1" t="e">
        <f>VLOOKUP(B115,Data_Echipe!A:R,18,0)</f>
        <v>#N/A</v>
      </c>
    </row>
    <row r="116" spans="1:32" ht="13" x14ac:dyDescent="0.3">
      <c r="A116" s="79">
        <v>115</v>
      </c>
      <c r="B116" s="30" t="s">
        <v>371</v>
      </c>
      <c r="C116" s="31">
        <f>IF(SUMIFS(Data!$U:$U,Data!$A:$A,$B116,Data!$C:$C,C$1)=0,"",SUMIFS(Data!$U:$U,Data!$A:$A,$B116,Data!$C:$C,C$1))</f>
        <v>2</v>
      </c>
      <c r="D116" s="31" t="str">
        <f>IF(SUMIFS(Data!$U:$U,Data!$A:$A,$B116,Data!$C:$C,D$1)=0,"",SUMIFS(Data!$U:$U,Data!$A:$A,$B116,Data!$C:$C,D$1))</f>
        <v/>
      </c>
      <c r="E116" s="31" t="str">
        <f>IF(SUMIFS(Data!$U:$U,Data!$A:$A,$B116,Data!$C:$C,E$1)=0,"",SUMIFS(Data!$U:$U,Data!$A:$A,$B116,Data!$C:$C,E$1))</f>
        <v/>
      </c>
      <c r="F116" s="31" t="str">
        <f>IF(SUMIFS(Data!$U:$U,Data!$A:$A,$B116,Data!$C:$C,F$1)=0,"",SUMIFS(Data!$U:$U,Data!$A:$A,$B116,Data!$C:$C,F$1))</f>
        <v/>
      </c>
      <c r="G116" s="31" t="str">
        <f>IF(SUMIFS(Data!$U:$U,Data!$A:$A,$B116,Data!$C:$C,G$1)=0,"",SUMIFS(Data!$U:$U,Data!$A:$A,$B116,Data!$C:$C,G$1))</f>
        <v/>
      </c>
      <c r="H116" s="31" t="str">
        <f>IF(SUMIFS(Data!$U:$U,Data!$A:$A,$B116,Data!$C:$C,H$1)=0,"",SUMIFS(Data!$U:$U,Data!$A:$A,$B116,Data!$C:$C,H$1))</f>
        <v/>
      </c>
      <c r="I116" s="31" t="str">
        <f>IF(SUMIFS(Data!$U:$U,Data!$A:$A,$B116,Data!$C:$C,I$1)=0,"",SUMIFS(Data!$U:$U,Data!$A:$A,$B116,Data!$C:$C,I$1))</f>
        <v/>
      </c>
      <c r="J116" s="31" t="str">
        <f>IF(SUMIFS(Data!$U:$U,Data!$A:$A,$B116,Data!$C:$C,J$1)=0,"",SUMIFS(Data!$U:$U,Data!$A:$A,$B116,Data!$C:$C,J$1))</f>
        <v/>
      </c>
      <c r="K116" s="31" t="str">
        <f>IF(SUMIFS(Data!$U:$U,Data!$A:$A,$B116,Data!$C:$C,K$1)=0,"",SUMIFS(Data!$U:$U,Data!$A:$A,$B116,Data!$C:$C,K$1))</f>
        <v/>
      </c>
      <c r="L116" s="31" t="str">
        <f>IF(SUMIFS(Data!$U:$U,Data!$A:$A,$B116,Data!$C:$C,L$1)=0,"",SUMIFS(Data!$U:$U,Data!$A:$A,$B116,Data!$C:$C,L$1))</f>
        <v/>
      </c>
      <c r="M116" s="31" t="str">
        <f>IF(SUMIFS(Data!$U:$U,Data!$A:$A,$B116,Data!$C:$C,M$1)=0,"",SUMIFS(Data!$U:$U,Data!$A:$A,$B116,Data!$C:$C,M$1))</f>
        <v/>
      </c>
      <c r="N116" s="31" t="str">
        <f>IF(SUMIFS(Data!$U:$U,Data!$A:$A,$B116,Data!$C:$C,N$1)=0,"",SUMIFS(Data!$U:$U,Data!$A:$A,$B116,Data!$C:$C,N$1))</f>
        <v/>
      </c>
      <c r="O116" s="31" t="str">
        <f>IF(SUMIFS(Data!$U:$U,Data!$A:$A,$B116,Data!$C:$C,O$1)=0,"",SUMIFS(Data!$U:$U,Data!$A:$A,$B116,Data!$C:$C,O$1))</f>
        <v/>
      </c>
      <c r="P116" s="31" t="str">
        <f>IF(SUMIFS(Data!$U:$U,Data!$A:$A,$B116,Data!$C:$C,P$1)=0,"",SUMIFS(Data!$U:$U,Data!$A:$A,$B116,Data!$C:$C,P$1))</f>
        <v/>
      </c>
      <c r="Q116" s="31" t="str">
        <f>IF(SUMIFS(Data!$U:$U,Data!$A:$A,$B116,Data!$C:$C,Q$1)=0,"",SUMIFS(Data!$U:$U,Data!$A:$A,$B116,Data!$C:$C,Q$1))</f>
        <v/>
      </c>
      <c r="R116" s="31">
        <f>VLOOKUP(W116,Barem!$W$39:$X$54,2,0)</f>
        <v>0</v>
      </c>
      <c r="S116" s="31">
        <f>SUM(C116:R116)</f>
        <v>2</v>
      </c>
      <c r="T116" s="31">
        <f>SUMIFS(Data!D:D,Data!A:A,'#ligaSYR'!B92)</f>
        <v>41.22</v>
      </c>
      <c r="U116" s="1" t="str">
        <f>IF(VLOOKUP(B116,Participanti!A:D,4,0)=0," ","New")</f>
        <v>New</v>
      </c>
      <c r="W116" s="116">
        <f>SUMIFS(Data!Z:Z,Data!A:A,'#ligaSYR'!B116)</f>
        <v>1</v>
      </c>
      <c r="X116" s="116" t="s">
        <v>312</v>
      </c>
      <c r="Z116" s="1" t="s">
        <v>312</v>
      </c>
      <c r="AE116" s="1" t="str">
        <f>VLOOKUP(B116,Participanti!A:B,2,0)</f>
        <v>F</v>
      </c>
      <c r="AF116" s="1" t="e">
        <f>VLOOKUP(B116,Data_Echipe!A:R,18,0)</f>
        <v>#N/A</v>
      </c>
    </row>
    <row r="117" spans="1:32" ht="13" x14ac:dyDescent="0.3">
      <c r="A117" s="79">
        <v>116</v>
      </c>
      <c r="B117" s="30" t="s">
        <v>342</v>
      </c>
      <c r="C117" s="31">
        <f>IF(SUMIFS(Data!$U:$U,Data!$A:$A,$B117,Data!$C:$C,C$1)=0,"",SUMIFS(Data!$U:$U,Data!$A:$A,$B117,Data!$C:$C,C$1))</f>
        <v>1.675</v>
      </c>
      <c r="D117" s="31" t="str">
        <f>IF(SUMIFS(Data!$U:$U,Data!$A:$A,$B117,Data!$C:$C,D$1)=0,"",SUMIFS(Data!$U:$U,Data!$A:$A,$B117,Data!$C:$C,D$1))</f>
        <v/>
      </c>
      <c r="E117" s="31" t="str">
        <f>IF(SUMIFS(Data!$U:$U,Data!$A:$A,$B117,Data!$C:$C,E$1)=0,"",SUMIFS(Data!$U:$U,Data!$A:$A,$B117,Data!$C:$C,E$1))</f>
        <v/>
      </c>
      <c r="F117" s="31" t="str">
        <f>IF(SUMIFS(Data!$U:$U,Data!$A:$A,$B117,Data!$C:$C,F$1)=0,"",SUMIFS(Data!$U:$U,Data!$A:$A,$B117,Data!$C:$C,F$1))</f>
        <v/>
      </c>
      <c r="G117" s="31" t="str">
        <f>IF(SUMIFS(Data!$U:$U,Data!$A:$A,$B117,Data!$C:$C,G$1)=0,"",SUMIFS(Data!$U:$U,Data!$A:$A,$B117,Data!$C:$C,G$1))</f>
        <v/>
      </c>
      <c r="H117" s="31" t="str">
        <f>IF(SUMIFS(Data!$U:$U,Data!$A:$A,$B117,Data!$C:$C,H$1)=0,"",SUMIFS(Data!$U:$U,Data!$A:$A,$B117,Data!$C:$C,H$1))</f>
        <v/>
      </c>
      <c r="I117" s="31" t="str">
        <f>IF(SUMIFS(Data!$U:$U,Data!$A:$A,$B117,Data!$C:$C,I$1)=0,"",SUMIFS(Data!$U:$U,Data!$A:$A,$B117,Data!$C:$C,I$1))</f>
        <v/>
      </c>
      <c r="J117" s="31" t="str">
        <f>IF(SUMIFS(Data!$U:$U,Data!$A:$A,$B117,Data!$C:$C,J$1)=0,"",SUMIFS(Data!$U:$U,Data!$A:$A,$B117,Data!$C:$C,J$1))</f>
        <v/>
      </c>
      <c r="K117" s="31" t="str">
        <f>IF(SUMIFS(Data!$U:$U,Data!$A:$A,$B117,Data!$C:$C,K$1)=0,"",SUMIFS(Data!$U:$U,Data!$A:$A,$B117,Data!$C:$C,K$1))</f>
        <v/>
      </c>
      <c r="L117" s="31" t="str">
        <f>IF(SUMIFS(Data!$U:$U,Data!$A:$A,$B117,Data!$C:$C,L$1)=0,"",SUMIFS(Data!$U:$U,Data!$A:$A,$B117,Data!$C:$C,L$1))</f>
        <v/>
      </c>
      <c r="M117" s="31" t="str">
        <f>IF(SUMIFS(Data!$U:$U,Data!$A:$A,$B117,Data!$C:$C,M$1)=0,"",SUMIFS(Data!$U:$U,Data!$A:$A,$B117,Data!$C:$C,M$1))</f>
        <v/>
      </c>
      <c r="N117" s="31" t="str">
        <f>IF(SUMIFS(Data!$U:$U,Data!$A:$A,$B117,Data!$C:$C,N$1)=0,"",SUMIFS(Data!$U:$U,Data!$A:$A,$B117,Data!$C:$C,N$1))</f>
        <v/>
      </c>
      <c r="O117" s="31" t="str">
        <f>IF(SUMIFS(Data!$U:$U,Data!$A:$A,$B117,Data!$C:$C,O$1)=0,"",SUMIFS(Data!$U:$U,Data!$A:$A,$B117,Data!$C:$C,O$1))</f>
        <v/>
      </c>
      <c r="P117" s="31" t="str">
        <f>IF(SUMIFS(Data!$U:$U,Data!$A:$A,$B117,Data!$C:$C,P$1)=0,"",SUMIFS(Data!$U:$U,Data!$A:$A,$B117,Data!$C:$C,P$1))</f>
        <v/>
      </c>
      <c r="Q117" s="31" t="str">
        <f>IF(SUMIFS(Data!$U:$U,Data!$A:$A,$B117,Data!$C:$C,Q$1)=0,"",SUMIFS(Data!$U:$U,Data!$A:$A,$B117,Data!$C:$C,Q$1))</f>
        <v/>
      </c>
      <c r="R117" s="31">
        <f>VLOOKUP(W117,Barem!$W$39:$X$54,2,0)</f>
        <v>0</v>
      </c>
      <c r="S117" s="31">
        <f>SUM(C117:R117)</f>
        <v>1.675</v>
      </c>
      <c r="T117" s="31">
        <f>SUMIFS(Data!D:D,Data!A:A,'#ligaSYR'!B95)</f>
        <v>67.3</v>
      </c>
      <c r="U117" s="1" t="str">
        <f>IF(VLOOKUP(B117,Participanti!A:D,4,0)=0," ","New")</f>
        <v>New</v>
      </c>
      <c r="W117" s="116">
        <f>SUMIFS(Data!Z:Z,Data!A:A,'#ligaSYR'!B117)</f>
        <v>1</v>
      </c>
      <c r="X117" s="116"/>
      <c r="AF117" s="1" t="e">
        <f>VLOOKUP(B117,Data_Echipe!A:R,18,0)</f>
        <v>#N/A</v>
      </c>
    </row>
    <row r="118" spans="1:32" ht="13" x14ac:dyDescent="0.3">
      <c r="A118" s="79">
        <v>117</v>
      </c>
      <c r="B118" s="30" t="s">
        <v>367</v>
      </c>
      <c r="C118" s="31">
        <f>IF(SUMIFS(Data!$U:$U,Data!$A:$A,$B118,Data!$C:$C,C$1)=0,"",SUMIFS(Data!$U:$U,Data!$A:$A,$B118,Data!$C:$C,C$1))</f>
        <v>1.5625</v>
      </c>
      <c r="D118" s="31" t="str">
        <f>IF(SUMIFS(Data!$U:$U,Data!$A:$A,$B118,Data!$C:$C,D$1)=0,"",SUMIFS(Data!$U:$U,Data!$A:$A,$B118,Data!$C:$C,D$1))</f>
        <v/>
      </c>
      <c r="E118" s="31" t="str">
        <f>IF(SUMIFS(Data!$U:$U,Data!$A:$A,$B118,Data!$C:$C,E$1)=0,"",SUMIFS(Data!$U:$U,Data!$A:$A,$B118,Data!$C:$C,E$1))</f>
        <v/>
      </c>
      <c r="F118" s="31" t="str">
        <f>IF(SUMIFS(Data!$U:$U,Data!$A:$A,$B118,Data!$C:$C,F$1)=0,"",SUMIFS(Data!$U:$U,Data!$A:$A,$B118,Data!$C:$C,F$1))</f>
        <v/>
      </c>
      <c r="G118" s="31" t="str">
        <f>IF(SUMIFS(Data!$U:$U,Data!$A:$A,$B118,Data!$C:$C,G$1)=0,"",SUMIFS(Data!$U:$U,Data!$A:$A,$B118,Data!$C:$C,G$1))</f>
        <v/>
      </c>
      <c r="H118" s="31" t="str">
        <f>IF(SUMIFS(Data!$U:$U,Data!$A:$A,$B118,Data!$C:$C,H$1)=0,"",SUMIFS(Data!$U:$U,Data!$A:$A,$B118,Data!$C:$C,H$1))</f>
        <v/>
      </c>
      <c r="I118" s="31" t="str">
        <f>IF(SUMIFS(Data!$U:$U,Data!$A:$A,$B118,Data!$C:$C,I$1)=0,"",SUMIFS(Data!$U:$U,Data!$A:$A,$B118,Data!$C:$C,I$1))</f>
        <v/>
      </c>
      <c r="J118" s="31" t="str">
        <f>IF(SUMIFS(Data!$U:$U,Data!$A:$A,$B118,Data!$C:$C,J$1)=0,"",SUMIFS(Data!$U:$U,Data!$A:$A,$B118,Data!$C:$C,J$1))</f>
        <v/>
      </c>
      <c r="K118" s="31" t="str">
        <f>IF(SUMIFS(Data!$U:$U,Data!$A:$A,$B118,Data!$C:$C,K$1)=0,"",SUMIFS(Data!$U:$U,Data!$A:$A,$B118,Data!$C:$C,K$1))</f>
        <v/>
      </c>
      <c r="L118" s="31" t="str">
        <f>IF(SUMIFS(Data!$U:$U,Data!$A:$A,$B118,Data!$C:$C,L$1)=0,"",SUMIFS(Data!$U:$U,Data!$A:$A,$B118,Data!$C:$C,L$1))</f>
        <v/>
      </c>
      <c r="M118" s="31" t="str">
        <f>IF(SUMIFS(Data!$U:$U,Data!$A:$A,$B118,Data!$C:$C,M$1)=0,"",SUMIFS(Data!$U:$U,Data!$A:$A,$B118,Data!$C:$C,M$1))</f>
        <v/>
      </c>
      <c r="N118" s="31" t="str">
        <f>IF(SUMIFS(Data!$U:$U,Data!$A:$A,$B118,Data!$C:$C,N$1)=0,"",SUMIFS(Data!$U:$U,Data!$A:$A,$B118,Data!$C:$C,N$1))</f>
        <v/>
      </c>
      <c r="O118" s="31" t="str">
        <f>IF(SUMIFS(Data!$U:$U,Data!$A:$A,$B118,Data!$C:$C,O$1)=0,"",SUMIFS(Data!$U:$U,Data!$A:$A,$B118,Data!$C:$C,O$1))</f>
        <v/>
      </c>
      <c r="P118" s="31" t="str">
        <f>IF(SUMIFS(Data!$U:$U,Data!$A:$A,$B118,Data!$C:$C,P$1)=0,"",SUMIFS(Data!$U:$U,Data!$A:$A,$B118,Data!$C:$C,P$1))</f>
        <v/>
      </c>
      <c r="Q118" s="31" t="str">
        <f>IF(SUMIFS(Data!$U:$U,Data!$A:$A,$B118,Data!$C:$C,Q$1)=0,"",SUMIFS(Data!$U:$U,Data!$A:$A,$B118,Data!$C:$C,Q$1))</f>
        <v/>
      </c>
      <c r="R118" s="31">
        <f>VLOOKUP(W118,Barem!$W$39:$X$54,2,0)</f>
        <v>0</v>
      </c>
      <c r="S118" s="31">
        <f>SUM(C118:R118)</f>
        <v>1.5625</v>
      </c>
      <c r="T118" s="31">
        <f>SUMIFS(Data!D:D,Data!A:A,'#ligaSYR'!B96)</f>
        <v>56.980000000000004</v>
      </c>
      <c r="U118" s="1" t="str">
        <f>IF(VLOOKUP(B118,Participanti!A:D,4,0)=0," ","New")</f>
        <v>New</v>
      </c>
      <c r="W118" s="116">
        <f>SUMIFS(Data!Z:Z,Data!A:A,'#ligaSYR'!B118)</f>
        <v>1</v>
      </c>
      <c r="X118" s="116" t="s">
        <v>312</v>
      </c>
      <c r="Y118" s="1" t="s">
        <v>312</v>
      </c>
      <c r="Z118" s="1" t="s">
        <v>312</v>
      </c>
      <c r="AC118" s="1" t="s">
        <v>312</v>
      </c>
      <c r="AD118" s="1" t="s">
        <v>312</v>
      </c>
      <c r="AE118" s="1" t="str">
        <f>VLOOKUP(B118,Participanti!A:B,2,0)</f>
        <v>F</v>
      </c>
      <c r="AF118" s="1" t="e">
        <f>VLOOKUP(B118,Data_Echipe!A:R,18,0)</f>
        <v>#N/A</v>
      </c>
    </row>
    <row r="119" spans="1:32" ht="13" x14ac:dyDescent="0.3">
      <c r="A119" s="79">
        <v>118</v>
      </c>
      <c r="B119" s="30" t="s">
        <v>384</v>
      </c>
      <c r="C119" s="31" t="str">
        <f>IF(SUMIFS(Data!$U:$U,Data!$A:$A,$B119,Data!$C:$C,C$1)=0,"",SUMIFS(Data!$U:$U,Data!$A:$A,$B119,Data!$C:$C,C$1))</f>
        <v/>
      </c>
      <c r="D119" s="31">
        <f>IF(SUMIFS(Data!$U:$U,Data!$A:$A,$B119,Data!$C:$C,D$1)=0,"",SUMIFS(Data!$U:$U,Data!$A:$A,$B119,Data!$C:$C,D$1))</f>
        <v>1.1738095238095236</v>
      </c>
      <c r="E119" s="31" t="str">
        <f>IF(SUMIFS(Data!$U:$U,Data!$A:$A,$B119,Data!$C:$C,E$1)=0,"",SUMIFS(Data!$U:$U,Data!$A:$A,$B119,Data!$C:$C,E$1))</f>
        <v/>
      </c>
      <c r="F119" s="31" t="str">
        <f>IF(SUMIFS(Data!$U:$U,Data!$A:$A,$B119,Data!$C:$C,F$1)=0,"",SUMIFS(Data!$U:$U,Data!$A:$A,$B119,Data!$C:$C,F$1))</f>
        <v/>
      </c>
      <c r="G119" s="31" t="str">
        <f>IF(SUMIFS(Data!$U:$U,Data!$A:$A,$B119,Data!$C:$C,G$1)=0,"",SUMIFS(Data!$U:$U,Data!$A:$A,$B119,Data!$C:$C,G$1))</f>
        <v/>
      </c>
      <c r="H119" s="31" t="str">
        <f>IF(SUMIFS(Data!$U:$U,Data!$A:$A,$B119,Data!$C:$C,H$1)=0,"",SUMIFS(Data!$U:$U,Data!$A:$A,$B119,Data!$C:$C,H$1))</f>
        <v/>
      </c>
      <c r="I119" s="31" t="str">
        <f>IF(SUMIFS(Data!$U:$U,Data!$A:$A,$B119,Data!$C:$C,I$1)=0,"",SUMIFS(Data!$U:$U,Data!$A:$A,$B119,Data!$C:$C,I$1))</f>
        <v/>
      </c>
      <c r="J119" s="31" t="str">
        <f>IF(SUMIFS(Data!$U:$U,Data!$A:$A,$B119,Data!$C:$C,J$1)=0,"",SUMIFS(Data!$U:$U,Data!$A:$A,$B119,Data!$C:$C,J$1))</f>
        <v/>
      </c>
      <c r="K119" s="31" t="str">
        <f>IF(SUMIFS(Data!$U:$U,Data!$A:$A,$B119,Data!$C:$C,K$1)=0,"",SUMIFS(Data!$U:$U,Data!$A:$A,$B119,Data!$C:$C,K$1))</f>
        <v/>
      </c>
      <c r="L119" s="31" t="str">
        <f>IF(SUMIFS(Data!$U:$U,Data!$A:$A,$B119,Data!$C:$C,L$1)=0,"",SUMIFS(Data!$U:$U,Data!$A:$A,$B119,Data!$C:$C,L$1))</f>
        <v/>
      </c>
      <c r="M119" s="31" t="str">
        <f>IF(SUMIFS(Data!$U:$U,Data!$A:$A,$B119,Data!$C:$C,M$1)=0,"",SUMIFS(Data!$U:$U,Data!$A:$A,$B119,Data!$C:$C,M$1))</f>
        <v/>
      </c>
      <c r="N119" s="31" t="str">
        <f>IF(SUMIFS(Data!$U:$U,Data!$A:$A,$B119,Data!$C:$C,N$1)=0,"",SUMIFS(Data!$U:$U,Data!$A:$A,$B119,Data!$C:$C,N$1))</f>
        <v/>
      </c>
      <c r="O119" s="31" t="str">
        <f>IF(SUMIFS(Data!$U:$U,Data!$A:$A,$B119,Data!$C:$C,O$1)=0,"",SUMIFS(Data!$U:$U,Data!$A:$A,$B119,Data!$C:$C,O$1))</f>
        <v/>
      </c>
      <c r="P119" s="31" t="str">
        <f>IF(SUMIFS(Data!$U:$U,Data!$A:$A,$B119,Data!$C:$C,P$1)=0,"",SUMIFS(Data!$U:$U,Data!$A:$A,$B119,Data!$C:$C,P$1))</f>
        <v/>
      </c>
      <c r="Q119" s="31" t="str">
        <f>IF(SUMIFS(Data!$U:$U,Data!$A:$A,$B119,Data!$C:$C,Q$1)=0,"",SUMIFS(Data!$U:$U,Data!$A:$A,$B119,Data!$C:$C,Q$1))</f>
        <v/>
      </c>
      <c r="R119" s="31">
        <f>VLOOKUP(W119,Barem!$W$39:$X$54,2,0)</f>
        <v>0</v>
      </c>
      <c r="S119" s="31">
        <f>SUM(C119:R119)</f>
        <v>1.1738095238095236</v>
      </c>
      <c r="T119" s="31">
        <f>SUMIFS(Data!D:D,Data!A:A,'#ligaSYR'!B96)</f>
        <v>56.980000000000004</v>
      </c>
      <c r="U119" s="1" t="str">
        <f>IF(VLOOKUP(B119,Participanti!A:D,4,0)=0," ","New")</f>
        <v>New</v>
      </c>
      <c r="W119" s="116">
        <f>SUMIFS(Data!Z:Z,Data!A:A,'#ligaSYR'!B119)</f>
        <v>0</v>
      </c>
      <c r="X119" s="116" t="s">
        <v>312</v>
      </c>
      <c r="Y119" s="1" t="s">
        <v>312</v>
      </c>
      <c r="Z119" s="1" t="s">
        <v>312</v>
      </c>
      <c r="AC119" s="1" t="s">
        <v>312</v>
      </c>
      <c r="AD119" s="1" t="s">
        <v>312</v>
      </c>
      <c r="AE119" s="1" t="str">
        <f>VLOOKUP(B119,Participanti!A:B,2,0)</f>
        <v>M</v>
      </c>
      <c r="AF119" s="1" t="e">
        <f>VLOOKUP(B119,Data_Echipe!A:R,18,0)</f>
        <v>#N/A</v>
      </c>
    </row>
  </sheetData>
  <autoFilter ref="A1:AG119" xr:uid="{E135EC17-2212-419E-9092-125B8357A3C9}">
    <sortState xmlns:xlrd2="http://schemas.microsoft.com/office/spreadsheetml/2017/richdata2" ref="A2:AG119">
      <sortCondition descending="1" ref="S1:S119"/>
    </sortState>
  </autoFilter>
  <sortState xmlns:xlrd2="http://schemas.microsoft.com/office/spreadsheetml/2017/richdata2" ref="B2:T119">
    <sortCondition descending="1" ref="S2:S119"/>
    <sortCondition descending="1" ref="T2:T119"/>
  </sortState>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F0"/>
  </sheetPr>
  <dimension ref="A1:V83"/>
  <sheetViews>
    <sheetView workbookViewId="0">
      <pane ySplit="1" topLeftCell="A2" activePane="bottomLeft" state="frozen"/>
      <selection activeCell="A31" sqref="A31"/>
      <selection pane="bottomLeft" activeCell="B9" sqref="B9"/>
    </sheetView>
  </sheetViews>
  <sheetFormatPr defaultColWidth="9.1796875" defaultRowHeight="12" x14ac:dyDescent="0.3"/>
  <cols>
    <col min="1" max="1" width="8.1796875" style="82" bestFit="1" customWidth="1"/>
    <col min="2" max="2" width="22.54296875" style="34" bestFit="1" customWidth="1"/>
    <col min="3" max="10" width="6" style="34" customWidth="1"/>
    <col min="11" max="12" width="5.1796875" style="34" customWidth="1"/>
    <col min="13" max="13" width="5.453125" style="34" bestFit="1" customWidth="1"/>
    <col min="14" max="17" width="5.453125" style="34" customWidth="1"/>
    <col min="18" max="18" width="13.1796875" style="34" customWidth="1"/>
    <col min="19" max="19" width="10.453125" style="34" customWidth="1"/>
    <col min="20" max="20" width="13.453125" style="34" bestFit="1" customWidth="1"/>
    <col min="21" max="16384" width="9.1796875" style="34"/>
  </cols>
  <sheetData>
    <row r="1" spans="1:22" ht="13" x14ac:dyDescent="0.3">
      <c r="A1" s="81" t="s">
        <v>67</v>
      </c>
      <c r="B1" s="33" t="s">
        <v>31</v>
      </c>
      <c r="C1" s="36">
        <v>1</v>
      </c>
      <c r="D1" s="36">
        <v>2</v>
      </c>
      <c r="E1" s="36">
        <v>3</v>
      </c>
      <c r="F1" s="36">
        <v>4</v>
      </c>
      <c r="G1" s="36">
        <v>5</v>
      </c>
      <c r="H1" s="36">
        <v>6</v>
      </c>
      <c r="I1" s="36">
        <v>7</v>
      </c>
      <c r="J1" s="36">
        <v>8</v>
      </c>
      <c r="K1" s="36">
        <v>9</v>
      </c>
      <c r="L1" s="36">
        <v>10</v>
      </c>
      <c r="M1" s="36">
        <v>11</v>
      </c>
      <c r="N1" s="36">
        <v>12</v>
      </c>
      <c r="O1" s="36">
        <v>13</v>
      </c>
      <c r="P1" s="36">
        <v>14</v>
      </c>
      <c r="Q1" s="36">
        <v>15</v>
      </c>
      <c r="R1" s="70" t="s">
        <v>83</v>
      </c>
      <c r="S1" s="33" t="s">
        <v>69</v>
      </c>
      <c r="T1" s="33" t="s">
        <v>68</v>
      </c>
    </row>
    <row r="2" spans="1:22" ht="13" x14ac:dyDescent="0.3">
      <c r="A2" s="79">
        <v>1</v>
      </c>
      <c r="B2" s="30" t="s">
        <v>124</v>
      </c>
      <c r="C2" s="31">
        <f>IF(SUMIFS(Data!$U:$U,Data!$A:$A,$B2,Data!$C:$C,C$1)=0,"",SUMIFS(Data!$U:$U,Data!$A:$A,$B2,Data!$C:$C,C$1))</f>
        <v>6.5250000000000004</v>
      </c>
      <c r="D2" s="31">
        <f>IF(SUMIFS(Data!$U:$U,Data!$A:$A,$B2,Data!$C:$C,D$1)=0,"",SUMIFS(Data!$U:$U,Data!$A:$A,$B2,Data!$C:$C,D$1))</f>
        <v>4.6096666666666666</v>
      </c>
      <c r="E2" s="31">
        <f>IF(SUMIFS(Data!$U:$U,Data!$A:$A,$B2,Data!$C:$C,E$1)=0,"",SUMIFS(Data!$U:$U,Data!$A:$A,$B2,Data!$C:$C,E$1))</f>
        <v>5.8646666666666665</v>
      </c>
      <c r="F2" s="31">
        <f>IF(SUMIFS(Data!$U:$U,Data!$A:$A,$B2,Data!$C:$C,F$1)=0,"",SUMIFS(Data!$U:$U,Data!$A:$A,$B2,Data!$C:$C,F$1))</f>
        <v>4.4729999999999999</v>
      </c>
      <c r="G2" s="31">
        <f>IF(SUMIFS(Data!$U:$U,Data!$A:$A,$B2,Data!$C:$C,G$1)=0,"",SUMIFS(Data!$U:$U,Data!$A:$A,$B2,Data!$C:$C,G$1))</f>
        <v>5.8625000000000007</v>
      </c>
      <c r="H2" s="31">
        <f>IF(SUMIFS(Data!$U:$U,Data!$A:$A,$B2,Data!$C:$C,H$1)=0,"",SUMIFS(Data!$U:$U,Data!$A:$A,$B2,Data!$C:$C,H$1))</f>
        <v>5.65</v>
      </c>
      <c r="I2" s="31">
        <f>IF(SUMIFS(Data!$U:$U,Data!$A:$A,$B2,Data!$C:$C,I$1)=0,"",SUMIFS(Data!$U:$U,Data!$A:$A,$B2,Data!$C:$C,I$1))</f>
        <v>5.7267380952380957</v>
      </c>
      <c r="J2" s="31">
        <f>IF(SUMIFS(Data!$U:$U,Data!$A:$A,$B2,Data!$C:$C,J$1)=0,"",SUMIFS(Data!$U:$U,Data!$A:$A,$B2,Data!$C:$C,J$1))</f>
        <v>10.658333333333333</v>
      </c>
      <c r="K2" s="31">
        <f>IF(SUMIFS(Data!$U:$U,Data!$A:$A,$B2,Data!$C:$C,K$1)=0,"",SUMIFS(Data!$U:$U,Data!$A:$A,$B2,Data!$C:$C,K$1))</f>
        <v>6.75</v>
      </c>
      <c r="L2" s="31">
        <f>IF(SUMIFS(Data!$U:$U,Data!$A:$A,$B2,Data!$C:$C,L$1)=0,"",SUMIFS(Data!$U:$U,Data!$A:$A,$B2,Data!$C:$C,L$1))</f>
        <v>7.4749999999999996</v>
      </c>
      <c r="M2" s="31">
        <f>IF(SUMIFS(Data!$U:$U,Data!$A:$A,$B2,Data!$C:$C,M$1)=0,"",SUMIFS(Data!$U:$U,Data!$A:$A,$B2,Data!$C:$C,M$1))</f>
        <v>13.329166666666666</v>
      </c>
      <c r="N2" s="31">
        <f>IF(SUMIFS(Data!$U:$U,Data!$A:$A,$B2,Data!$C:$C,N$1)=0,"",SUMIFS(Data!$U:$U,Data!$A:$A,$B2,Data!$C:$C,N$1))</f>
        <v>7.1606666666666676</v>
      </c>
      <c r="O2" s="31">
        <f>IF(SUMIFS(Data!$U:$U,Data!$A:$A,$B2,Data!$C:$C,O$1)=0,"",SUMIFS(Data!$U:$U,Data!$A:$A,$B2,Data!$C:$C,O$1))</f>
        <v>5.5</v>
      </c>
      <c r="P2" s="31">
        <f>IF(SUMIFS(Data!$U:$U,Data!$A:$A,$B2,Data!$C:$C,P$1)=0,"",SUMIFS(Data!$U:$U,Data!$A:$A,$B2,Data!$C:$C,P$1))</f>
        <v>9.9651190476190479</v>
      </c>
      <c r="Q2" s="31">
        <f>IF(SUMIFS(Data!$U:$U,Data!$A:$A,$B2,Data!$C:$C,Q$1)=0,"",SUMIFS(Data!$U:$U,Data!$A:$A,$B2,Data!$C:$C,Q$1))</f>
        <v>6.6624999999999996</v>
      </c>
      <c r="R2" s="31">
        <f>VLOOKUP(B2,'#ligaSYR'!B:R,17,0)</f>
        <v>5</v>
      </c>
      <c r="S2" s="31">
        <f>SUM(C2:R2)</f>
        <v>111.21235714285714</v>
      </c>
      <c r="T2" s="31">
        <f>SUMIFS(Data!D:D,Data!A:A,B2)</f>
        <v>393.19999999999993</v>
      </c>
    </row>
    <row r="3" spans="1:22" ht="13" x14ac:dyDescent="0.3">
      <c r="A3" s="79">
        <v>2</v>
      </c>
      <c r="B3" s="30" t="s">
        <v>227</v>
      </c>
      <c r="C3" s="31">
        <f>IF(SUMIFS(Data!$U:$U,Data!$A:$A,$B3,Data!$C:$C,C$1)=0,"",SUMIFS(Data!$U:$U,Data!$A:$A,$B3,Data!$C:$C,C$1))</f>
        <v>4.6403333333333334</v>
      </c>
      <c r="D3" s="31">
        <f>IF(SUMIFS(Data!$U:$U,Data!$A:$A,$B3,Data!$C:$C,D$1)=0,"",SUMIFS(Data!$U:$U,Data!$A:$A,$B3,Data!$C:$C,D$1))</f>
        <v>5.0066666666666659</v>
      </c>
      <c r="E3" s="31">
        <f>IF(SUMIFS(Data!$U:$U,Data!$A:$A,$B3,Data!$C:$C,E$1)=0,"",SUMIFS(Data!$U:$U,Data!$A:$A,$B3,Data!$C:$C,E$1))</f>
        <v>5.8216666666666672</v>
      </c>
      <c r="F3" s="31">
        <f>IF(SUMIFS(Data!$U:$U,Data!$A:$A,$B3,Data!$C:$C,F$1)=0,"",SUMIFS(Data!$U:$U,Data!$A:$A,$B3,Data!$C:$C,F$1))</f>
        <v>6.315833333333333</v>
      </c>
      <c r="G3" s="31">
        <f>IF(SUMIFS(Data!$U:$U,Data!$A:$A,$B3,Data!$C:$C,G$1)=0,"",SUMIFS(Data!$U:$U,Data!$A:$A,$B3,Data!$C:$C,G$1))</f>
        <v>7.3274999999999997</v>
      </c>
      <c r="H3" s="31">
        <f>IF(SUMIFS(Data!$U:$U,Data!$A:$A,$B3,Data!$C:$C,H$1)=0,"",SUMIFS(Data!$U:$U,Data!$A:$A,$B3,Data!$C:$C,H$1))</f>
        <v>4.3624999999999998</v>
      </c>
      <c r="I3" s="31">
        <f>IF(SUMIFS(Data!$U:$U,Data!$A:$A,$B3,Data!$C:$C,I$1)=0,"",SUMIFS(Data!$U:$U,Data!$A:$A,$B3,Data!$C:$C,I$1))</f>
        <v>4.4836666666666662</v>
      </c>
      <c r="J3" s="31">
        <f>IF(SUMIFS(Data!$U:$U,Data!$A:$A,$B3,Data!$C:$C,J$1)=0,"",SUMIFS(Data!$U:$U,Data!$A:$A,$B3,Data!$C:$C,J$1))</f>
        <v>6.0914999999999999</v>
      </c>
      <c r="K3" s="31">
        <f>IF(SUMIFS(Data!$U:$U,Data!$A:$A,$B3,Data!$C:$C,K$1)=0,"",SUMIFS(Data!$U:$U,Data!$A:$A,$B3,Data!$C:$C,K$1))</f>
        <v>4.359</v>
      </c>
      <c r="L3" s="31">
        <f>IF(SUMIFS(Data!$U:$U,Data!$A:$A,$B3,Data!$C:$C,L$1)=0,"",SUMIFS(Data!$U:$U,Data!$A:$A,$B3,Data!$C:$C,L$1))</f>
        <v>7.9773333333333341</v>
      </c>
      <c r="M3" s="31">
        <f>IF(SUMIFS(Data!$U:$U,Data!$A:$A,$B3,Data!$C:$C,M$1)=0,"",SUMIFS(Data!$U:$U,Data!$A:$A,$B3,Data!$C:$C,M$1))</f>
        <v>6.8031666666666668</v>
      </c>
      <c r="N3" s="31">
        <f>IF(SUMIFS(Data!$U:$U,Data!$A:$A,$B3,Data!$C:$C,N$1)=0,"",SUMIFS(Data!$U:$U,Data!$A:$A,$B3,Data!$C:$C,N$1))</f>
        <v>4.5625</v>
      </c>
      <c r="O3" s="31">
        <f>IF(SUMIFS(Data!$U:$U,Data!$A:$A,$B3,Data!$C:$C,O$1)=0,"",SUMIFS(Data!$U:$U,Data!$A:$A,$B3,Data!$C:$C,O$1))</f>
        <v>6.070333333333334</v>
      </c>
      <c r="P3" s="31">
        <f>IF(SUMIFS(Data!$U:$U,Data!$A:$A,$B3,Data!$C:$C,P$1)=0,"",SUMIFS(Data!$U:$U,Data!$A:$A,$B3,Data!$C:$C,P$1))</f>
        <v>4.4863333333333326</v>
      </c>
      <c r="Q3" s="31">
        <f>IF(SUMIFS(Data!$U:$U,Data!$A:$A,$B3,Data!$C:$C,Q$1)=0,"",SUMIFS(Data!$U:$U,Data!$A:$A,$B3,Data!$C:$C,Q$1))</f>
        <v>5.9919999999999991</v>
      </c>
      <c r="R3" s="31">
        <f>VLOOKUP(B3,'#ligaSYR'!B:R,17,0)</f>
        <v>5</v>
      </c>
      <c r="S3" s="31">
        <f>SUM(C3:R3)</f>
        <v>89.300333333333342</v>
      </c>
      <c r="T3" s="31">
        <f>SUMIFS(Data!D:D,Data!A:A,B3)</f>
        <v>773.94000000000017</v>
      </c>
    </row>
    <row r="4" spans="1:22" ht="13" x14ac:dyDescent="0.3">
      <c r="A4" s="79">
        <v>3</v>
      </c>
      <c r="B4" s="30" t="s">
        <v>376</v>
      </c>
      <c r="C4" s="31">
        <f>IF(SUMIFS(Data!$U:$U,Data!$A:$A,$B4,Data!$C:$C,C$1)=0,"",SUMIFS(Data!$U:$U,Data!$A:$A,$B4,Data!$C:$C,C$1))</f>
        <v>3.95</v>
      </c>
      <c r="D4" s="31">
        <f>IF(SUMIFS(Data!$U:$U,Data!$A:$A,$B4,Data!$C:$C,D$1)=0,"",SUMIFS(Data!$U:$U,Data!$A:$A,$B4,Data!$C:$C,D$1))</f>
        <v>4.3250000000000002</v>
      </c>
      <c r="E4" s="31">
        <f>IF(SUMIFS(Data!$U:$U,Data!$A:$A,$B4,Data!$C:$C,E$1)=0,"",SUMIFS(Data!$U:$U,Data!$A:$A,$B4,Data!$C:$C,E$1))</f>
        <v>7.5553571428571438</v>
      </c>
      <c r="F4" s="31">
        <f>IF(SUMIFS(Data!$U:$U,Data!$A:$A,$B4,Data!$C:$C,F$1)=0,"",SUMIFS(Data!$U:$U,Data!$A:$A,$B4,Data!$C:$C,F$1))</f>
        <v>3.4273809523809522</v>
      </c>
      <c r="G4" s="31">
        <f>IF(SUMIFS(Data!$U:$U,Data!$A:$A,$B4,Data!$C:$C,G$1)=0,"",SUMIFS(Data!$U:$U,Data!$A:$A,$B4,Data!$C:$C,G$1))</f>
        <v>1.5</v>
      </c>
      <c r="H4" s="31">
        <f>IF(SUMIFS(Data!$U:$U,Data!$A:$A,$B4,Data!$C:$C,H$1)=0,"",SUMIFS(Data!$U:$U,Data!$A:$A,$B4,Data!$C:$C,H$1))</f>
        <v>7.0826666666666664</v>
      </c>
      <c r="I4" s="31">
        <f>IF(SUMIFS(Data!$U:$U,Data!$A:$A,$B4,Data!$C:$C,I$1)=0,"",SUMIFS(Data!$U:$U,Data!$A:$A,$B4,Data!$C:$C,I$1))</f>
        <v>3.75</v>
      </c>
      <c r="J4" s="31">
        <f>IF(SUMIFS(Data!$U:$U,Data!$A:$A,$B4,Data!$C:$C,J$1)=0,"",SUMIFS(Data!$U:$U,Data!$A:$A,$B4,Data!$C:$C,J$1))</f>
        <v>8.15</v>
      </c>
      <c r="K4" s="31">
        <f>IF(SUMIFS(Data!$U:$U,Data!$A:$A,$B4,Data!$C:$C,K$1)=0,"",SUMIFS(Data!$U:$U,Data!$A:$A,$B4,Data!$C:$C,K$1))</f>
        <v>2.4695952380952386</v>
      </c>
      <c r="L4" s="31">
        <f>IF(SUMIFS(Data!$U:$U,Data!$A:$A,$B4,Data!$C:$C,L$1)=0,"",SUMIFS(Data!$U:$U,Data!$A:$A,$B4,Data!$C:$C,L$1))</f>
        <v>4.9000000000000004</v>
      </c>
      <c r="M4" s="31">
        <f>IF(SUMIFS(Data!$U:$U,Data!$A:$A,$B4,Data!$C:$C,M$1)=0,"",SUMIFS(Data!$U:$U,Data!$A:$A,$B4,Data!$C:$C,M$1))</f>
        <v>4.4000000000000004</v>
      </c>
      <c r="N4" s="31">
        <f>IF(SUMIFS(Data!$U:$U,Data!$A:$A,$B4,Data!$C:$C,N$1)=0,"",SUMIFS(Data!$U:$U,Data!$A:$A,$B4,Data!$C:$C,N$1))</f>
        <v>5.0289999999999999</v>
      </c>
      <c r="O4" s="31">
        <f>IF(SUMIFS(Data!$U:$U,Data!$A:$A,$B4,Data!$C:$C,O$1)=0,"",SUMIFS(Data!$U:$U,Data!$A:$A,$B4,Data!$C:$C,O$1))</f>
        <v>3.7651190476190473</v>
      </c>
      <c r="P4" s="31">
        <f>IF(SUMIFS(Data!$U:$U,Data!$A:$A,$B4,Data!$C:$C,P$1)=0,"",SUMIFS(Data!$U:$U,Data!$A:$A,$B4,Data!$C:$C,P$1))</f>
        <v>4.3746666666666671</v>
      </c>
      <c r="Q4" s="31">
        <f>IF(SUMIFS(Data!$U:$U,Data!$A:$A,$B4,Data!$C:$C,Q$1)=0,"",SUMIFS(Data!$U:$U,Data!$A:$A,$B4,Data!$C:$C,Q$1))</f>
        <v>8.2750000000000004</v>
      </c>
      <c r="R4" s="31">
        <f>VLOOKUP(B4,'#ligaSYR'!B:R,17,0)</f>
        <v>5</v>
      </c>
      <c r="S4" s="31">
        <f>SUM(C4:R4)</f>
        <v>77.953785714285715</v>
      </c>
      <c r="T4" s="31">
        <f>SUMIFS(Data!D:D,Data!A:A,B4)</f>
        <v>514.9</v>
      </c>
    </row>
    <row r="5" spans="1:22" ht="13" x14ac:dyDescent="0.3">
      <c r="A5" s="79">
        <v>4</v>
      </c>
      <c r="B5" s="30" t="s">
        <v>283</v>
      </c>
      <c r="C5" s="31">
        <f>IF(SUMIFS(Data!$U:$U,Data!$A:$A,$B5,Data!$C:$C,C$1)=0,"",SUMIFS(Data!$U:$U,Data!$A:$A,$B5,Data!$C:$C,C$1))</f>
        <v>3.9144999999999999</v>
      </c>
      <c r="D5" s="31">
        <f>IF(SUMIFS(Data!$U:$U,Data!$A:$A,$B5,Data!$C:$C,D$1)=0,"",SUMIFS(Data!$U:$U,Data!$A:$A,$B5,Data!$C:$C,D$1))</f>
        <v>2.5880476190476194</v>
      </c>
      <c r="E5" s="31">
        <f>IF(SUMIFS(Data!$U:$U,Data!$A:$A,$B5,Data!$C:$C,E$1)=0,"",SUMIFS(Data!$U:$U,Data!$A:$A,$B5,Data!$C:$C,E$1))</f>
        <v>3.8173333333333335</v>
      </c>
      <c r="F5" s="31">
        <f>IF(SUMIFS(Data!$U:$U,Data!$A:$A,$B5,Data!$C:$C,F$1)=0,"",SUMIFS(Data!$U:$U,Data!$A:$A,$B5,Data!$C:$C,F$1))</f>
        <v>5.1546666666666665</v>
      </c>
      <c r="G5" s="31">
        <f>IF(SUMIFS(Data!$U:$U,Data!$A:$A,$B5,Data!$C:$C,G$1)=0,"",SUMIFS(Data!$U:$U,Data!$A:$A,$B5,Data!$C:$C,G$1))</f>
        <v>6.1755000000000004</v>
      </c>
      <c r="H5" s="31">
        <f>IF(SUMIFS(Data!$U:$U,Data!$A:$A,$B5,Data!$C:$C,H$1)=0,"",SUMIFS(Data!$U:$U,Data!$A:$A,$B5,Data!$C:$C,H$1))</f>
        <v>4.4089999999999998</v>
      </c>
      <c r="I5" s="31">
        <f>IF(SUMIFS(Data!$U:$U,Data!$A:$A,$B5,Data!$C:$C,I$1)=0,"",SUMIFS(Data!$U:$U,Data!$A:$A,$B5,Data!$C:$C,I$1))</f>
        <v>8.1646666666666672</v>
      </c>
      <c r="J5" s="31">
        <f>IF(SUMIFS(Data!$U:$U,Data!$A:$A,$B5,Data!$C:$C,J$1)=0,"",SUMIFS(Data!$U:$U,Data!$A:$A,$B5,Data!$C:$C,J$1))</f>
        <v>4.3896666666666668</v>
      </c>
      <c r="K5" s="31">
        <f>IF(SUMIFS(Data!$U:$U,Data!$A:$A,$B5,Data!$C:$C,K$1)=0,"",SUMIFS(Data!$U:$U,Data!$A:$A,$B5,Data!$C:$C,K$1))</f>
        <v>4.8441666666666663</v>
      </c>
      <c r="L5" s="31">
        <f>IF(SUMIFS(Data!$U:$U,Data!$A:$A,$B5,Data!$C:$C,L$1)=0,"",SUMIFS(Data!$U:$U,Data!$A:$A,$B5,Data!$C:$C,L$1))</f>
        <v>5.8573333333333331</v>
      </c>
      <c r="M5" s="31">
        <f>IF(SUMIFS(Data!$U:$U,Data!$A:$A,$B5,Data!$C:$C,M$1)=0,"",SUMIFS(Data!$U:$U,Data!$A:$A,$B5,Data!$C:$C,M$1))</f>
        <v>4.8555000000000001</v>
      </c>
      <c r="N5" s="31">
        <f>IF(SUMIFS(Data!$U:$U,Data!$A:$A,$B5,Data!$C:$C,N$1)=0,"",SUMIFS(Data!$U:$U,Data!$A:$A,$B5,Data!$C:$C,N$1))</f>
        <v>4</v>
      </c>
      <c r="O5" s="31">
        <f>IF(SUMIFS(Data!$U:$U,Data!$A:$A,$B5,Data!$C:$C,O$1)=0,"",SUMIFS(Data!$U:$U,Data!$A:$A,$B5,Data!$C:$C,O$1))</f>
        <v>2.7322380952380954</v>
      </c>
      <c r="P5" s="31">
        <f>IF(SUMIFS(Data!$U:$U,Data!$A:$A,$B5,Data!$C:$C,P$1)=0,"",SUMIFS(Data!$U:$U,Data!$A:$A,$B5,Data!$C:$C,P$1))</f>
        <v>4.7923333333333336</v>
      </c>
      <c r="Q5" s="31">
        <f>IF(SUMIFS(Data!$U:$U,Data!$A:$A,$B5,Data!$C:$C,Q$1)=0,"",SUMIFS(Data!$U:$U,Data!$A:$A,$B5,Data!$C:$C,Q$1))</f>
        <v>4.6116666666666664</v>
      </c>
      <c r="R5" s="31">
        <f>VLOOKUP(B5,'#ligaSYR'!B:R,17,0)</f>
        <v>5</v>
      </c>
      <c r="S5" s="31">
        <f>SUM(C5:R5)</f>
        <v>75.306619047619037</v>
      </c>
      <c r="T5" s="31">
        <f>SUMIFS(Data!D:D,Data!A:A,B5)</f>
        <v>631.07000000000005</v>
      </c>
    </row>
    <row r="6" spans="1:22" ht="13" x14ac:dyDescent="0.3">
      <c r="A6" s="79">
        <v>5</v>
      </c>
      <c r="B6" s="30" t="s">
        <v>78</v>
      </c>
      <c r="C6" s="31">
        <f>IF(SUMIFS(Data!$U:$U,Data!$A:$A,$B6,Data!$C:$C,C$1)=0,"",SUMIFS(Data!$U:$U,Data!$A:$A,$B6,Data!$C:$C,C$1))</f>
        <v>5.6566666666666672</v>
      </c>
      <c r="D6" s="31">
        <f>IF(SUMIFS(Data!$U:$U,Data!$A:$A,$B6,Data!$C:$C,D$1)=0,"",SUMIFS(Data!$U:$U,Data!$A:$A,$B6,Data!$C:$C,D$1))</f>
        <v>5.522333333333334</v>
      </c>
      <c r="E6" s="31">
        <f>IF(SUMIFS(Data!$U:$U,Data!$A:$A,$B6,Data!$C:$C,E$1)=0,"",SUMIFS(Data!$U:$U,Data!$A:$A,$B6,Data!$C:$C,E$1))</f>
        <v>4.7116666666666669</v>
      </c>
      <c r="F6" s="31">
        <f>IF(SUMIFS(Data!$U:$U,Data!$A:$A,$B6,Data!$C:$C,F$1)=0,"",SUMIFS(Data!$U:$U,Data!$A:$A,$B6,Data!$C:$C,F$1))</f>
        <v>5.8560000000000008</v>
      </c>
      <c r="G6" s="31">
        <f>IF(SUMIFS(Data!$U:$U,Data!$A:$A,$B6,Data!$C:$C,G$1)=0,"",SUMIFS(Data!$U:$U,Data!$A:$A,$B6,Data!$C:$C,G$1))</f>
        <v>5.5136666666666674</v>
      </c>
      <c r="H6" s="31">
        <f>IF(SUMIFS(Data!$U:$U,Data!$A:$A,$B6,Data!$C:$C,H$1)=0,"",SUMIFS(Data!$U:$U,Data!$A:$A,$B6,Data!$C:$C,H$1))</f>
        <v>3.0956666666666668</v>
      </c>
      <c r="I6" s="31">
        <f>IF(SUMIFS(Data!$U:$U,Data!$A:$A,$B6,Data!$C:$C,I$1)=0,"",SUMIFS(Data!$U:$U,Data!$A:$A,$B6,Data!$C:$C,I$1))</f>
        <v>3.7384999999999997</v>
      </c>
      <c r="J6" s="31">
        <f>IF(SUMIFS(Data!$U:$U,Data!$A:$A,$B6,Data!$C:$C,J$1)=0,"",SUMIFS(Data!$U:$U,Data!$A:$A,$B6,Data!$C:$C,J$1))</f>
        <v>3.5054999999999996</v>
      </c>
      <c r="K6" s="31">
        <f>IF(SUMIFS(Data!$U:$U,Data!$A:$A,$B6,Data!$C:$C,K$1)=0,"",SUMIFS(Data!$U:$U,Data!$A:$A,$B6,Data!$C:$C,K$1))</f>
        <v>3.1413333333333333</v>
      </c>
      <c r="L6" s="31">
        <f>IF(SUMIFS(Data!$U:$U,Data!$A:$A,$B6,Data!$C:$C,L$1)=0,"",SUMIFS(Data!$U:$U,Data!$A:$A,$B6,Data!$C:$C,L$1))</f>
        <v>3.3116666666666665</v>
      </c>
      <c r="M6" s="31">
        <f>IF(SUMIFS(Data!$U:$U,Data!$A:$A,$B6,Data!$C:$C,M$1)=0,"",SUMIFS(Data!$U:$U,Data!$A:$A,$B6,Data!$C:$C,M$1))</f>
        <v>4.9138333333333337</v>
      </c>
      <c r="N6" s="31">
        <f>IF(SUMIFS(Data!$U:$U,Data!$A:$A,$B6,Data!$C:$C,N$1)=0,"",SUMIFS(Data!$U:$U,Data!$A:$A,$B6,Data!$C:$C,N$1))</f>
        <v>8.4996666666666663</v>
      </c>
      <c r="O6" s="31">
        <f>IF(SUMIFS(Data!$U:$U,Data!$A:$A,$B6,Data!$C:$C,O$1)=0,"",SUMIFS(Data!$U:$U,Data!$A:$A,$B6,Data!$C:$C,O$1))</f>
        <v>5.6431666666666667</v>
      </c>
      <c r="P6" s="31">
        <f>IF(SUMIFS(Data!$U:$U,Data!$A:$A,$B6,Data!$C:$C,P$1)=0,"",SUMIFS(Data!$U:$U,Data!$A:$A,$B6,Data!$C:$C,P$1))</f>
        <v>5.5873333333333335</v>
      </c>
      <c r="Q6" s="31">
        <f>IF(SUMIFS(Data!$U:$U,Data!$A:$A,$B6,Data!$C:$C,Q$1)=0,"",SUMIFS(Data!$U:$U,Data!$A:$A,$B6,Data!$C:$C,Q$1))</f>
        <v>5.9521666666666668</v>
      </c>
      <c r="R6" s="31">
        <f>VLOOKUP(B6,'#ligaSYR'!B:R,17,0)</f>
        <v>0</v>
      </c>
      <c r="S6" s="31">
        <f>SUM(C6:R6)</f>
        <v>74.649166666666673</v>
      </c>
      <c r="T6" s="31">
        <f>SUMIFS(Data!D:D,Data!A:A,B6)</f>
        <v>585.89999999999986</v>
      </c>
      <c r="V6" s="129"/>
    </row>
    <row r="7" spans="1:22" ht="13" x14ac:dyDescent="0.3">
      <c r="A7" s="79">
        <v>6</v>
      </c>
      <c r="B7" s="30" t="s">
        <v>341</v>
      </c>
      <c r="C7" s="31">
        <f>IF(SUMIFS(Data!$U:$U,Data!$A:$A,$B7,Data!$C:$C,C$1)=0,"",SUMIFS(Data!$U:$U,Data!$A:$A,$B7,Data!$C:$C,C$1))</f>
        <v>5.1166666666666671</v>
      </c>
      <c r="D7" s="31">
        <f>IF(SUMIFS(Data!$U:$U,Data!$A:$A,$B7,Data!$C:$C,D$1)=0,"",SUMIFS(Data!$U:$U,Data!$A:$A,$B7,Data!$C:$C,D$1))</f>
        <v>5.7293333333333329</v>
      </c>
      <c r="E7" s="31">
        <f>IF(SUMIFS(Data!$U:$U,Data!$A:$A,$B7,Data!$C:$C,E$1)=0,"",SUMIFS(Data!$U:$U,Data!$A:$A,$B7,Data!$C:$C,E$1))</f>
        <v>3.3049999999999997</v>
      </c>
      <c r="F7" s="31">
        <f>IF(SUMIFS(Data!$U:$U,Data!$A:$A,$B7,Data!$C:$C,F$1)=0,"",SUMIFS(Data!$U:$U,Data!$A:$A,$B7,Data!$C:$C,F$1))</f>
        <v>3.3064999999999998</v>
      </c>
      <c r="G7" s="31">
        <f>IF(SUMIFS(Data!$U:$U,Data!$A:$A,$B7,Data!$C:$C,G$1)=0,"",SUMIFS(Data!$U:$U,Data!$A:$A,$B7,Data!$C:$C,G$1))</f>
        <v>3.7131666666666669</v>
      </c>
      <c r="H7" s="31">
        <f>IF(SUMIFS(Data!$U:$U,Data!$A:$A,$B7,Data!$C:$C,H$1)=0,"",SUMIFS(Data!$U:$U,Data!$A:$A,$B7,Data!$C:$C,H$1))</f>
        <v>5.27</v>
      </c>
      <c r="I7" s="31">
        <f>IF(SUMIFS(Data!$U:$U,Data!$A:$A,$B7,Data!$C:$C,I$1)=0,"",SUMIFS(Data!$U:$U,Data!$A:$A,$B7,Data!$C:$C,I$1))</f>
        <v>6.3410714285714285</v>
      </c>
      <c r="J7" s="31">
        <f>IF(SUMIFS(Data!$U:$U,Data!$A:$A,$B7,Data!$C:$C,J$1)=0,"",SUMIFS(Data!$U:$U,Data!$A:$A,$B7,Data!$C:$C,J$1))</f>
        <v>4.5763333333333334</v>
      </c>
      <c r="K7" s="31">
        <f>IF(SUMIFS(Data!$U:$U,Data!$A:$A,$B7,Data!$C:$C,K$1)=0,"",SUMIFS(Data!$U:$U,Data!$A:$A,$B7,Data!$C:$C,K$1))</f>
        <v>3.3125</v>
      </c>
      <c r="L7" s="31">
        <f>IF(SUMIFS(Data!$U:$U,Data!$A:$A,$B7,Data!$C:$C,L$1)=0,"",SUMIFS(Data!$U:$U,Data!$A:$A,$B7,Data!$C:$C,L$1))</f>
        <v>5.633</v>
      </c>
      <c r="M7" s="31">
        <f>IF(SUMIFS(Data!$U:$U,Data!$A:$A,$B7,Data!$C:$C,M$1)=0,"",SUMIFS(Data!$U:$U,Data!$A:$A,$B7,Data!$C:$C,M$1))</f>
        <v>4.4339285714285719</v>
      </c>
      <c r="N7" s="31">
        <f>IF(SUMIFS(Data!$U:$U,Data!$A:$A,$B7,Data!$C:$C,N$1)=0,"",SUMIFS(Data!$U:$U,Data!$A:$A,$B7,Data!$C:$C,N$1))</f>
        <v>4.8053333333333335</v>
      </c>
      <c r="O7" s="31">
        <f>IF(SUMIFS(Data!$U:$U,Data!$A:$A,$B7,Data!$C:$C,O$1)=0,"",SUMIFS(Data!$U:$U,Data!$A:$A,$B7,Data!$C:$C,O$1))</f>
        <v>4.54</v>
      </c>
      <c r="P7" s="31">
        <f>IF(SUMIFS(Data!$U:$U,Data!$A:$A,$B7,Data!$C:$C,P$1)=0,"",SUMIFS(Data!$U:$U,Data!$A:$A,$B7,Data!$C:$C,P$1))</f>
        <v>4.9096666666666664</v>
      </c>
      <c r="Q7" s="31">
        <f>IF(SUMIFS(Data!$U:$U,Data!$A:$A,$B7,Data!$C:$C,Q$1)=0,"",SUMIFS(Data!$U:$U,Data!$A:$A,$B7,Data!$C:$C,Q$1))</f>
        <v>5.5654761904761907</v>
      </c>
      <c r="R7" s="31">
        <f>VLOOKUP(B7,'#ligaSYR'!B:R,17,0)</f>
        <v>4</v>
      </c>
      <c r="S7" s="31">
        <f>SUM(C7:R7)</f>
        <v>74.557976190476197</v>
      </c>
      <c r="T7" s="31">
        <f>SUMIFS(Data!D:D,Data!A:A,B7)</f>
        <v>427.75</v>
      </c>
    </row>
    <row r="8" spans="1:22" ht="13" x14ac:dyDescent="0.3">
      <c r="A8" s="79">
        <v>7</v>
      </c>
      <c r="B8" s="30" t="s">
        <v>108</v>
      </c>
      <c r="C8" s="31">
        <f>IF(SUMIFS(Data!$U:$U,Data!$A:$A,$B8,Data!$C:$C,C$1)=0,"",SUMIFS(Data!$U:$U,Data!$A:$A,$B8,Data!$C:$C,C$1))</f>
        <v>4.05</v>
      </c>
      <c r="D8" s="31">
        <f>IF(SUMIFS(Data!$U:$U,Data!$A:$A,$B8,Data!$C:$C,D$1)=0,"",SUMIFS(Data!$U:$U,Data!$A:$A,$B8,Data!$C:$C,D$1))</f>
        <v>6.7263333333333328</v>
      </c>
      <c r="E8" s="31">
        <f>IF(SUMIFS(Data!$U:$U,Data!$A:$A,$B8,Data!$C:$C,E$1)=0,"",SUMIFS(Data!$U:$U,Data!$A:$A,$B8,Data!$C:$C,E$1))</f>
        <v>3.8874285714285715</v>
      </c>
      <c r="F8" s="31">
        <f>IF(SUMIFS(Data!$U:$U,Data!$A:$A,$B8,Data!$C:$C,F$1)=0,"",SUMIFS(Data!$U:$U,Data!$A:$A,$B8,Data!$C:$C,F$1))</f>
        <v>3.1815476190476191</v>
      </c>
      <c r="G8" s="31">
        <f>IF(SUMIFS(Data!$U:$U,Data!$A:$A,$B8,Data!$C:$C,G$1)=0,"",SUMIFS(Data!$U:$U,Data!$A:$A,$B8,Data!$C:$C,G$1))</f>
        <v>2.9196428571428572</v>
      </c>
      <c r="H8" s="31">
        <f>IF(SUMIFS(Data!$U:$U,Data!$A:$A,$B8,Data!$C:$C,H$1)=0,"",SUMIFS(Data!$U:$U,Data!$A:$A,$B8,Data!$C:$C,H$1))</f>
        <v>4.2125000000000004</v>
      </c>
      <c r="I8" s="31">
        <f>IF(SUMIFS(Data!$U:$U,Data!$A:$A,$B8,Data!$C:$C,I$1)=0,"",SUMIFS(Data!$U:$U,Data!$A:$A,$B8,Data!$C:$C,I$1))</f>
        <v>4.2721666666666671</v>
      </c>
      <c r="J8" s="31">
        <f>IF(SUMIFS(Data!$U:$U,Data!$A:$A,$B8,Data!$C:$C,J$1)=0,"",SUMIFS(Data!$U:$U,Data!$A:$A,$B8,Data!$C:$C,J$1))</f>
        <v>6.5611666666666668</v>
      </c>
      <c r="K8" s="31">
        <f>IF(SUMIFS(Data!$U:$U,Data!$A:$A,$B8,Data!$C:$C,K$1)=0,"",SUMIFS(Data!$U:$U,Data!$A:$A,$B8,Data!$C:$C,K$1))</f>
        <v>2.7668095238095241</v>
      </c>
      <c r="L8" s="31">
        <f>IF(SUMIFS(Data!$U:$U,Data!$A:$A,$B8,Data!$C:$C,L$1)=0,"",SUMIFS(Data!$U:$U,Data!$A:$A,$B8,Data!$C:$C,L$1))</f>
        <v>2.9249999999999998</v>
      </c>
      <c r="M8" s="31">
        <f>IF(SUMIFS(Data!$U:$U,Data!$A:$A,$B8,Data!$C:$C,M$1)=0,"",SUMIFS(Data!$U:$U,Data!$A:$A,$B8,Data!$C:$C,M$1))</f>
        <v>2.9940476190476191</v>
      </c>
      <c r="N8" s="31">
        <f>IF(SUMIFS(Data!$U:$U,Data!$A:$A,$B8,Data!$C:$C,N$1)=0,"",SUMIFS(Data!$U:$U,Data!$A:$A,$B8,Data!$C:$C,N$1))</f>
        <v>9.8491666666666671</v>
      </c>
      <c r="O8" s="31">
        <f>IF(SUMIFS(Data!$U:$U,Data!$A:$A,$B8,Data!$C:$C,O$1)=0,"",SUMIFS(Data!$U:$U,Data!$A:$A,$B8,Data!$C:$C,O$1))</f>
        <v>3.8828333333333331</v>
      </c>
      <c r="P8" s="31">
        <f>IF(SUMIFS(Data!$U:$U,Data!$A:$A,$B8,Data!$C:$C,P$1)=0,"",SUMIFS(Data!$U:$U,Data!$A:$A,$B8,Data!$C:$C,P$1))</f>
        <v>5.1786666666666665</v>
      </c>
      <c r="Q8" s="31">
        <f>IF(SUMIFS(Data!$U:$U,Data!$A:$A,$B8,Data!$C:$C,Q$1)=0,"",SUMIFS(Data!$U:$U,Data!$A:$A,$B8,Data!$C:$C,Q$1))</f>
        <v>3.6723333333333334</v>
      </c>
      <c r="R8" s="31">
        <f>VLOOKUP(B8,'#ligaSYR'!B:R,17,0)</f>
        <v>4</v>
      </c>
      <c r="S8" s="31">
        <f>SUM(C8:R8)</f>
        <v>71.079642857142858</v>
      </c>
      <c r="T8" s="31">
        <f>SUMIFS(Data!D:D,Data!A:A,B8)</f>
        <v>569.94000000000005</v>
      </c>
    </row>
    <row r="9" spans="1:22" ht="13" x14ac:dyDescent="0.3">
      <c r="A9" s="79">
        <v>8</v>
      </c>
      <c r="B9" s="30" t="s">
        <v>51</v>
      </c>
      <c r="C9" s="31">
        <f>IF(SUMIFS(Data!$U:$U,Data!$A:$A,$B9,Data!$C:$C,C$1)=0,"",SUMIFS(Data!$U:$U,Data!$A:$A,$B9,Data!$C:$C,C$1))</f>
        <v>4.9391666666666669</v>
      </c>
      <c r="D9" s="31">
        <f>IF(SUMIFS(Data!$U:$U,Data!$A:$A,$B9,Data!$C:$C,D$1)=0,"",SUMIFS(Data!$U:$U,Data!$A:$A,$B9,Data!$C:$C,D$1))</f>
        <v>4.1906190476190472</v>
      </c>
      <c r="E9" s="31">
        <f>IF(SUMIFS(Data!$U:$U,Data!$A:$A,$B9,Data!$C:$C,E$1)=0,"",SUMIFS(Data!$U:$U,Data!$A:$A,$B9,Data!$C:$C,E$1))</f>
        <v>4.3885714285714279</v>
      </c>
      <c r="F9" s="31">
        <f>IF(SUMIFS(Data!$U:$U,Data!$A:$A,$B9,Data!$C:$C,F$1)=0,"",SUMIFS(Data!$U:$U,Data!$A:$A,$B9,Data!$C:$C,F$1))</f>
        <v>3.4886904761904765</v>
      </c>
      <c r="G9" s="31">
        <f>IF(SUMIFS(Data!$U:$U,Data!$A:$A,$B9,Data!$C:$C,G$1)=0,"",SUMIFS(Data!$U:$U,Data!$A:$A,$B9,Data!$C:$C,G$1))</f>
        <v>5.1035000000000004</v>
      </c>
      <c r="H9" s="31">
        <f>IF(SUMIFS(Data!$U:$U,Data!$A:$A,$B9,Data!$C:$C,H$1)=0,"",SUMIFS(Data!$U:$U,Data!$A:$A,$B9,Data!$C:$C,H$1))</f>
        <v>4.4865000000000004</v>
      </c>
      <c r="I9" s="31">
        <f>IF(SUMIFS(Data!$U:$U,Data!$A:$A,$B9,Data!$C:$C,I$1)=0,"",SUMIFS(Data!$U:$U,Data!$A:$A,$B9,Data!$C:$C,I$1))</f>
        <v>4.6859999999999999</v>
      </c>
      <c r="J9" s="31">
        <f>IF(SUMIFS(Data!$U:$U,Data!$A:$A,$B9,Data!$C:$C,J$1)=0,"",SUMIFS(Data!$U:$U,Data!$A:$A,$B9,Data!$C:$C,J$1))</f>
        <v>3.3988095238095237</v>
      </c>
      <c r="K9" s="31">
        <f>IF(SUMIFS(Data!$U:$U,Data!$A:$A,$B9,Data!$C:$C,K$1)=0,"",SUMIFS(Data!$U:$U,Data!$A:$A,$B9,Data!$C:$C,K$1))</f>
        <v>3.4737142857142853</v>
      </c>
      <c r="L9" s="31">
        <f>IF(SUMIFS(Data!$U:$U,Data!$A:$A,$B9,Data!$C:$C,L$1)=0,"",SUMIFS(Data!$U:$U,Data!$A:$A,$B9,Data!$C:$C,L$1))</f>
        <v>3.9702380952380953</v>
      </c>
      <c r="M9" s="31">
        <f>IF(SUMIFS(Data!$U:$U,Data!$A:$A,$B9,Data!$C:$C,M$1)=0,"",SUMIFS(Data!$U:$U,Data!$A:$A,$B9,Data!$C:$C,M$1))</f>
        <v>7.6048333333333336</v>
      </c>
      <c r="N9" s="31">
        <f>IF(SUMIFS(Data!$U:$U,Data!$A:$A,$B9,Data!$C:$C,N$1)=0,"",SUMIFS(Data!$U:$U,Data!$A:$A,$B9,Data!$C:$C,N$1))</f>
        <v>4.8678571428571429</v>
      </c>
      <c r="O9" s="31">
        <f>IF(SUMIFS(Data!$U:$U,Data!$A:$A,$B9,Data!$C:$C,O$1)=0,"",SUMIFS(Data!$U:$U,Data!$A:$A,$B9,Data!$C:$C,O$1))</f>
        <v>4.4365000000000006</v>
      </c>
      <c r="P9" s="31">
        <f>IF(SUMIFS(Data!$U:$U,Data!$A:$A,$B9,Data!$C:$C,P$1)=0,"",SUMIFS(Data!$U:$U,Data!$A:$A,$B9,Data!$C:$C,P$1))</f>
        <v>3.5860000000000003</v>
      </c>
      <c r="Q9" s="31">
        <f>IF(SUMIFS(Data!$U:$U,Data!$A:$A,$B9,Data!$C:$C,Q$1)=0,"",SUMIFS(Data!$U:$U,Data!$A:$A,$B9,Data!$C:$C,Q$1))</f>
        <v>3.4004761904761907</v>
      </c>
      <c r="R9" s="31">
        <f>VLOOKUP(B9,'#ligaSYR'!B:R,17,0)</f>
        <v>5</v>
      </c>
      <c r="S9" s="31">
        <f>SUM(C9:R9)</f>
        <v>71.021476190476193</v>
      </c>
      <c r="T9" s="31">
        <f>SUMIFS(Data!D:D,Data!A:A,B9)</f>
        <v>362.96000000000004</v>
      </c>
    </row>
    <row r="10" spans="1:22" ht="13" x14ac:dyDescent="0.3">
      <c r="A10" s="79">
        <v>9</v>
      </c>
      <c r="B10" s="30" t="s">
        <v>205</v>
      </c>
      <c r="C10" s="31">
        <f>IF(SUMIFS(Data!$U:$U,Data!$A:$A,$B10,Data!$C:$C,C$1)=0,"",SUMIFS(Data!$U:$U,Data!$A:$A,$B10,Data!$C:$C,C$1))</f>
        <v>3.6923809523809523</v>
      </c>
      <c r="D10" s="31">
        <f>IF(SUMIFS(Data!$U:$U,Data!$A:$A,$B10,Data!$C:$C,D$1)=0,"",SUMIFS(Data!$U:$U,Data!$A:$A,$B10,Data!$C:$C,D$1))</f>
        <v>3.1015238095238096</v>
      </c>
      <c r="E10" s="31">
        <f>IF(SUMIFS(Data!$U:$U,Data!$A:$A,$B10,Data!$C:$C,E$1)=0,"",SUMIFS(Data!$U:$U,Data!$A:$A,$B10,Data!$C:$C,E$1))</f>
        <v>4.3961666666666668</v>
      </c>
      <c r="F10" s="31">
        <f>IF(SUMIFS(Data!$U:$U,Data!$A:$A,$B10,Data!$C:$C,F$1)=0,"",SUMIFS(Data!$U:$U,Data!$A:$A,$B10,Data!$C:$C,F$1))</f>
        <v>3.6516190476190475</v>
      </c>
      <c r="G10" s="31">
        <f>IF(SUMIFS(Data!$U:$U,Data!$A:$A,$B10,Data!$C:$C,G$1)=0,"",SUMIFS(Data!$U:$U,Data!$A:$A,$B10,Data!$C:$C,G$1))</f>
        <v>4.450333333333333</v>
      </c>
      <c r="H10" s="31">
        <f>IF(SUMIFS(Data!$U:$U,Data!$A:$A,$B10,Data!$C:$C,H$1)=0,"",SUMIFS(Data!$U:$U,Data!$A:$A,$B10,Data!$C:$C,H$1))</f>
        <v>4.8643333333333327</v>
      </c>
      <c r="I10" s="31">
        <f>IF(SUMIFS(Data!$U:$U,Data!$A:$A,$B10,Data!$C:$C,I$1)=0,"",SUMIFS(Data!$U:$U,Data!$A:$A,$B10,Data!$C:$C,I$1))</f>
        <v>4.7945000000000002</v>
      </c>
      <c r="J10" s="31">
        <f>IF(SUMIFS(Data!$U:$U,Data!$A:$A,$B10,Data!$C:$C,J$1)=0,"",SUMIFS(Data!$U:$U,Data!$A:$A,$B10,Data!$C:$C,J$1))</f>
        <v>5.9779761904761903</v>
      </c>
      <c r="K10" s="31">
        <f>IF(SUMIFS(Data!$U:$U,Data!$A:$A,$B10,Data!$C:$C,K$1)=0,"",SUMIFS(Data!$U:$U,Data!$A:$A,$B10,Data!$C:$C,K$1))</f>
        <v>4.16</v>
      </c>
      <c r="L10" s="31">
        <f>IF(SUMIFS(Data!$U:$U,Data!$A:$A,$B10,Data!$C:$C,L$1)=0,"",SUMIFS(Data!$U:$U,Data!$A:$A,$B10,Data!$C:$C,L$1))</f>
        <v>4.0236666666666663</v>
      </c>
      <c r="M10" s="31">
        <f>IF(SUMIFS(Data!$U:$U,Data!$A:$A,$B10,Data!$C:$C,M$1)=0,"",SUMIFS(Data!$U:$U,Data!$A:$A,$B10,Data!$C:$C,M$1))</f>
        <v>4.3023333333333333</v>
      </c>
      <c r="N10" s="31">
        <f>IF(SUMIFS(Data!$U:$U,Data!$A:$A,$B10,Data!$C:$C,N$1)=0,"",SUMIFS(Data!$U:$U,Data!$A:$A,$B10,Data!$C:$C,N$1))</f>
        <v>4.6046666666666667</v>
      </c>
      <c r="O10" s="31">
        <f>IF(SUMIFS(Data!$U:$U,Data!$A:$A,$B10,Data!$C:$C,O$1)=0,"",SUMIFS(Data!$U:$U,Data!$A:$A,$B10,Data!$C:$C,O$1))</f>
        <v>5.9761904761904763</v>
      </c>
      <c r="P10" s="31">
        <f>IF(SUMIFS(Data!$U:$U,Data!$A:$A,$B10,Data!$C:$C,P$1)=0,"",SUMIFS(Data!$U:$U,Data!$A:$A,$B10,Data!$C:$C,P$1))</f>
        <v>4.5547619047619046</v>
      </c>
      <c r="Q10" s="31">
        <f>IF(SUMIFS(Data!$U:$U,Data!$A:$A,$B10,Data!$C:$C,Q$1)=0,"",SUMIFS(Data!$U:$U,Data!$A:$A,$B10,Data!$C:$C,Q$1))</f>
        <v>3.333619047619047</v>
      </c>
      <c r="R10" s="31">
        <f>VLOOKUP(B10,'#ligaSYR'!B:R,17,0)</f>
        <v>5</v>
      </c>
      <c r="S10" s="31">
        <f>SUM(C10:R10)</f>
        <v>70.884071428571417</v>
      </c>
      <c r="T10" s="31">
        <f>SUMIFS(Data!D:D,Data!A:A,B10)</f>
        <v>290.87</v>
      </c>
    </row>
    <row r="11" spans="1:22" ht="13" x14ac:dyDescent="0.3">
      <c r="A11" s="79">
        <v>10</v>
      </c>
      <c r="B11" s="30" t="s">
        <v>361</v>
      </c>
      <c r="C11" s="31">
        <f>IF(SUMIFS(Data!$U:$U,Data!$A:$A,$B11,Data!$C:$C,C$1)=0,"",SUMIFS(Data!$U:$U,Data!$A:$A,$B11,Data!$C:$C,C$1))</f>
        <v>5.0250000000000004</v>
      </c>
      <c r="D11" s="31">
        <f>IF(SUMIFS(Data!$U:$U,Data!$A:$A,$B11,Data!$C:$C,D$1)=0,"",SUMIFS(Data!$U:$U,Data!$A:$A,$B11,Data!$C:$C,D$1))</f>
        <v>4.6630000000000003</v>
      </c>
      <c r="E11" s="31">
        <f>IF(SUMIFS(Data!$U:$U,Data!$A:$A,$B11,Data!$C:$C,E$1)=0,"",SUMIFS(Data!$U:$U,Data!$A:$A,$B11,Data!$C:$C,E$1))</f>
        <v>5.3607142857142858</v>
      </c>
      <c r="F11" s="31">
        <f>IF(SUMIFS(Data!$U:$U,Data!$A:$A,$B11,Data!$C:$C,F$1)=0,"",SUMIFS(Data!$U:$U,Data!$A:$A,$B11,Data!$C:$C,F$1))</f>
        <v>4.5903333333333336</v>
      </c>
      <c r="G11" s="31">
        <f>IF(SUMIFS(Data!$U:$U,Data!$A:$A,$B11,Data!$C:$C,G$1)=0,"",SUMIFS(Data!$U:$U,Data!$A:$A,$B11,Data!$C:$C,G$1))</f>
        <v>3.625</v>
      </c>
      <c r="H11" s="31">
        <f>IF(SUMIFS(Data!$U:$U,Data!$A:$A,$B11,Data!$C:$C,H$1)=0,"",SUMIFS(Data!$U:$U,Data!$A:$A,$B11,Data!$C:$C,H$1))</f>
        <v>2.875</v>
      </c>
      <c r="I11" s="31">
        <f>IF(SUMIFS(Data!$U:$U,Data!$A:$A,$B11,Data!$C:$C,I$1)=0,"",SUMIFS(Data!$U:$U,Data!$A:$A,$B11,Data!$C:$C,I$1))</f>
        <v>4.3168333333333333</v>
      </c>
      <c r="J11" s="31">
        <f>IF(SUMIFS(Data!$U:$U,Data!$A:$A,$B11,Data!$C:$C,J$1)=0,"",SUMIFS(Data!$U:$U,Data!$A:$A,$B11,Data!$C:$C,J$1))</f>
        <v>5.0596666666666668</v>
      </c>
      <c r="K11" s="31">
        <f>IF(SUMIFS(Data!$U:$U,Data!$A:$A,$B11,Data!$C:$C,K$1)=0,"",SUMIFS(Data!$U:$U,Data!$A:$A,$B11,Data!$C:$C,K$1))</f>
        <v>4.9748333333333337</v>
      </c>
      <c r="L11" s="31">
        <f>IF(SUMIFS(Data!$U:$U,Data!$A:$A,$B11,Data!$C:$C,L$1)=0,"",SUMIFS(Data!$U:$U,Data!$A:$A,$B11,Data!$C:$C,L$1))</f>
        <v>4.5676666666666668</v>
      </c>
      <c r="M11" s="31" t="str">
        <f>IF(SUMIFS(Data!$U:$U,Data!$A:$A,$B11,Data!$C:$C,M$1)=0,"",SUMIFS(Data!$U:$U,Data!$A:$A,$B11,Data!$C:$C,M$1))</f>
        <v/>
      </c>
      <c r="N11" s="31">
        <f>IF(SUMIFS(Data!$U:$U,Data!$A:$A,$B11,Data!$C:$C,N$1)=0,"",SUMIFS(Data!$U:$U,Data!$A:$A,$B11,Data!$C:$C,N$1))</f>
        <v>11.152333333333335</v>
      </c>
      <c r="O11" s="31">
        <f>IF(SUMIFS(Data!$U:$U,Data!$A:$A,$B11,Data!$C:$C,O$1)=0,"",SUMIFS(Data!$U:$U,Data!$A:$A,$B11,Data!$C:$C,O$1))</f>
        <v>2.3250000000000002</v>
      </c>
      <c r="P11" s="31">
        <f>IF(SUMIFS(Data!$U:$U,Data!$A:$A,$B11,Data!$C:$C,P$1)=0,"",SUMIFS(Data!$U:$U,Data!$A:$A,$B11,Data!$C:$C,P$1))</f>
        <v>1.6577380952380953</v>
      </c>
      <c r="Q11" s="31">
        <f>IF(SUMIFS(Data!$U:$U,Data!$A:$A,$B11,Data!$C:$C,Q$1)=0,"",SUMIFS(Data!$U:$U,Data!$A:$A,$B11,Data!$C:$C,Q$1))</f>
        <v>3.6713333333333336</v>
      </c>
      <c r="R11" s="31">
        <f>VLOOKUP(B11,'#ligaSYR'!B:R,17,0)</f>
        <v>5</v>
      </c>
      <c r="S11" s="31">
        <f>SUM(C11:R11)</f>
        <v>68.8644523809524</v>
      </c>
      <c r="T11" s="31">
        <f>SUMIFS(Data!D:D,Data!A:A,B11)</f>
        <v>652.92000000000007</v>
      </c>
    </row>
    <row r="12" spans="1:22" ht="13" x14ac:dyDescent="0.3">
      <c r="A12" s="79">
        <v>11</v>
      </c>
      <c r="B12" s="30" t="s">
        <v>49</v>
      </c>
      <c r="C12" s="31">
        <f>IF(SUMIFS(Data!$U:$U,Data!$A:$A,$B12,Data!$C:$C,C$1)=0,"",SUMIFS(Data!$U:$U,Data!$A:$A,$B12,Data!$C:$C,C$1))</f>
        <v>3.0486666666666666</v>
      </c>
      <c r="D12" s="31">
        <f>IF(SUMIFS(Data!$U:$U,Data!$A:$A,$B12,Data!$C:$C,D$1)=0,"",SUMIFS(Data!$U:$U,Data!$A:$A,$B12,Data!$C:$C,D$1))</f>
        <v>4.0660714285714281</v>
      </c>
      <c r="E12" s="31">
        <f>IF(SUMIFS(Data!$U:$U,Data!$A:$A,$B12,Data!$C:$C,E$1)=0,"",SUMIFS(Data!$U:$U,Data!$A:$A,$B12,Data!$C:$C,E$1))</f>
        <v>5.1878333333333337</v>
      </c>
      <c r="F12" s="31">
        <f>IF(SUMIFS(Data!$U:$U,Data!$A:$A,$B12,Data!$C:$C,F$1)=0,"",SUMIFS(Data!$U:$U,Data!$A:$A,$B12,Data!$C:$C,F$1))</f>
        <v>4.3820000000000006</v>
      </c>
      <c r="G12" s="31">
        <f>IF(SUMIFS(Data!$U:$U,Data!$A:$A,$B12,Data!$C:$C,G$1)=0,"",SUMIFS(Data!$U:$U,Data!$A:$A,$B12,Data!$C:$C,G$1))</f>
        <v>4.6789999999999994</v>
      </c>
      <c r="H12" s="31">
        <f>IF(SUMIFS(Data!$U:$U,Data!$A:$A,$B12,Data!$C:$C,H$1)=0,"",SUMIFS(Data!$U:$U,Data!$A:$A,$B12,Data!$C:$C,H$1))</f>
        <v>3.9196666666666666</v>
      </c>
      <c r="I12" s="31">
        <f>IF(SUMIFS(Data!$U:$U,Data!$A:$A,$B12,Data!$C:$C,I$1)=0,"",SUMIFS(Data!$U:$U,Data!$A:$A,$B12,Data!$C:$C,I$1))</f>
        <v>4.9736666666666665</v>
      </c>
      <c r="J12" s="31">
        <f>IF(SUMIFS(Data!$U:$U,Data!$A:$A,$B12,Data!$C:$C,J$1)=0,"",SUMIFS(Data!$U:$U,Data!$A:$A,$B12,Data!$C:$C,J$1))</f>
        <v>6.2263333333333337</v>
      </c>
      <c r="K12" s="31">
        <f>IF(SUMIFS(Data!$U:$U,Data!$A:$A,$B12,Data!$C:$C,K$1)=0,"",SUMIFS(Data!$U:$U,Data!$A:$A,$B12,Data!$C:$C,K$1))</f>
        <v>4.5625</v>
      </c>
      <c r="L12" s="31">
        <f>IF(SUMIFS(Data!$U:$U,Data!$A:$A,$B12,Data!$C:$C,L$1)=0,"",SUMIFS(Data!$U:$U,Data!$A:$A,$B12,Data!$C:$C,L$1))</f>
        <v>4.4664999999999999</v>
      </c>
      <c r="M12" s="31">
        <f>IF(SUMIFS(Data!$U:$U,Data!$A:$A,$B12,Data!$C:$C,M$1)=0,"",SUMIFS(Data!$U:$U,Data!$A:$A,$B12,Data!$C:$C,M$1))</f>
        <v>4.5625</v>
      </c>
      <c r="N12" s="31">
        <f>IF(SUMIFS(Data!$U:$U,Data!$A:$A,$B12,Data!$C:$C,N$1)=0,"",SUMIFS(Data!$U:$U,Data!$A:$A,$B12,Data!$C:$C,N$1))</f>
        <v>3.7930000000000001</v>
      </c>
      <c r="O12" s="31">
        <f>IF(SUMIFS(Data!$U:$U,Data!$A:$A,$B12,Data!$C:$C,O$1)=0,"",SUMIFS(Data!$U:$U,Data!$A:$A,$B12,Data!$C:$C,O$1))</f>
        <v>3.4963571428571427</v>
      </c>
      <c r="P12" s="31">
        <f>IF(SUMIFS(Data!$U:$U,Data!$A:$A,$B12,Data!$C:$C,P$1)=0,"",SUMIFS(Data!$U:$U,Data!$A:$A,$B12,Data!$C:$C,P$1))</f>
        <v>4.4891666666666667</v>
      </c>
      <c r="Q12" s="31">
        <f>IF(SUMIFS(Data!$U:$U,Data!$A:$A,$B12,Data!$C:$C,Q$1)=0,"",SUMIFS(Data!$U:$U,Data!$A:$A,$B12,Data!$C:$C,Q$1))</f>
        <v>3.6345238095238095</v>
      </c>
      <c r="R12" s="31">
        <f>VLOOKUP(B12,'#ligaSYR'!B:R,17,0)</f>
        <v>3</v>
      </c>
      <c r="S12" s="31">
        <f>SUM(C12:R12)</f>
        <v>68.487785714285721</v>
      </c>
      <c r="T12" s="31">
        <f>SUMIFS(Data!D:D,Data!A:A,B12)</f>
        <v>372.91</v>
      </c>
    </row>
    <row r="13" spans="1:22" ht="13" x14ac:dyDescent="0.3">
      <c r="A13" s="79">
        <v>12</v>
      </c>
      <c r="B13" s="30" t="s">
        <v>346</v>
      </c>
      <c r="C13" s="31">
        <f>IF(SUMIFS(Data!$U:$U,Data!$A:$A,$B13,Data!$C:$C,C$1)=0,"",SUMIFS(Data!$U:$U,Data!$A:$A,$B13,Data!$C:$C,C$1))</f>
        <v>4.0068333333333328</v>
      </c>
      <c r="D13" s="31">
        <f>IF(SUMIFS(Data!$U:$U,Data!$A:$A,$B13,Data!$C:$C,D$1)=0,"",SUMIFS(Data!$U:$U,Data!$A:$A,$B13,Data!$C:$C,D$1))</f>
        <v>5.9868333333333332</v>
      </c>
      <c r="E13" s="31">
        <f>IF(SUMIFS(Data!$U:$U,Data!$A:$A,$B13,Data!$C:$C,E$1)=0,"",SUMIFS(Data!$U:$U,Data!$A:$A,$B13,Data!$C:$C,E$1))</f>
        <v>4.4443333333333328</v>
      </c>
      <c r="F13" s="31">
        <f>IF(SUMIFS(Data!$U:$U,Data!$A:$A,$B13,Data!$C:$C,F$1)=0,"",SUMIFS(Data!$U:$U,Data!$A:$A,$B13,Data!$C:$C,F$1))</f>
        <v>4.2661666666666669</v>
      </c>
      <c r="G13" s="31">
        <f>IF(SUMIFS(Data!$U:$U,Data!$A:$A,$B13,Data!$C:$C,G$1)=0,"",SUMIFS(Data!$U:$U,Data!$A:$A,$B13,Data!$C:$C,G$1))</f>
        <v>7.200333333333333</v>
      </c>
      <c r="H13" s="31">
        <f>IF(SUMIFS(Data!$U:$U,Data!$A:$A,$B13,Data!$C:$C,H$1)=0,"",SUMIFS(Data!$U:$U,Data!$A:$A,$B13,Data!$C:$C,H$1))</f>
        <v>2.9422619047619047</v>
      </c>
      <c r="I13" s="31">
        <f>IF(SUMIFS(Data!$U:$U,Data!$A:$A,$B13,Data!$C:$C,I$1)=0,"",SUMIFS(Data!$U:$U,Data!$A:$A,$B13,Data!$C:$C,I$1))</f>
        <v>2.3132380952380953</v>
      </c>
      <c r="J13" s="31">
        <f>IF(SUMIFS(Data!$U:$U,Data!$A:$A,$B13,Data!$C:$C,J$1)=0,"",SUMIFS(Data!$U:$U,Data!$A:$A,$B13,Data!$C:$C,J$1))</f>
        <v>5.6556666666666668</v>
      </c>
      <c r="K13" s="31">
        <f>IF(SUMIFS(Data!$U:$U,Data!$A:$A,$B13,Data!$C:$C,K$1)=0,"",SUMIFS(Data!$U:$U,Data!$A:$A,$B13,Data!$C:$C,K$1))</f>
        <v>3.5089047619047622</v>
      </c>
      <c r="L13" s="31">
        <f>IF(SUMIFS(Data!$U:$U,Data!$A:$A,$B13,Data!$C:$C,L$1)=0,"",SUMIFS(Data!$U:$U,Data!$A:$A,$B13,Data!$C:$C,L$1))</f>
        <v>3.375</v>
      </c>
      <c r="M13" s="31">
        <f>IF(SUMIFS(Data!$U:$U,Data!$A:$A,$B13,Data!$C:$C,M$1)=0,"",SUMIFS(Data!$U:$U,Data!$A:$A,$B13,Data!$C:$C,M$1))</f>
        <v>6.0305</v>
      </c>
      <c r="N13" s="31">
        <f>IF(SUMIFS(Data!$U:$U,Data!$A:$A,$B13,Data!$C:$C,N$1)=0,"",SUMIFS(Data!$U:$U,Data!$A:$A,$B13,Data!$C:$C,N$1))</f>
        <v>3.5791666666666671</v>
      </c>
      <c r="O13" s="31">
        <f>IF(SUMIFS(Data!$U:$U,Data!$A:$A,$B13,Data!$C:$C,O$1)=0,"",SUMIFS(Data!$U:$U,Data!$A:$A,$B13,Data!$C:$C,O$1))</f>
        <v>2.6628333333333334</v>
      </c>
      <c r="P13" s="31" t="str">
        <f>IF(SUMIFS(Data!$U:$U,Data!$A:$A,$B13,Data!$C:$C,P$1)=0,"",SUMIFS(Data!$U:$U,Data!$A:$A,$B13,Data!$C:$C,P$1))</f>
        <v/>
      </c>
      <c r="Q13" s="31">
        <f>IF(SUMIFS(Data!$U:$U,Data!$A:$A,$B13,Data!$C:$C,Q$1)=0,"",SUMIFS(Data!$U:$U,Data!$A:$A,$B13,Data!$C:$C,Q$1))</f>
        <v>6.9206666666666674</v>
      </c>
      <c r="R13" s="31">
        <f>VLOOKUP(B13,'#ligaSYR'!B:R,17,0)</f>
        <v>4</v>
      </c>
      <c r="S13" s="31">
        <f>SUM(C13:R13)</f>
        <v>66.892738095238087</v>
      </c>
      <c r="T13" s="31">
        <f>SUMIFS(Data!D:D,Data!A:A,B13)</f>
        <v>711.7600000000001</v>
      </c>
    </row>
    <row r="14" spans="1:22" ht="13" x14ac:dyDescent="0.3">
      <c r="A14" s="79">
        <v>13</v>
      </c>
      <c r="B14" s="30" t="s">
        <v>366</v>
      </c>
      <c r="C14" s="31">
        <f>IF(SUMIFS(Data!$U:$U,Data!$A:$A,$B14,Data!$C:$C,C$1)=0,"",SUMIFS(Data!$U:$U,Data!$A:$A,$B14,Data!$C:$C,C$1))</f>
        <v>3.5255952380952378</v>
      </c>
      <c r="D14" s="31">
        <f>IF(SUMIFS(Data!$U:$U,Data!$A:$A,$B14,Data!$C:$C,D$1)=0,"",SUMIFS(Data!$U:$U,Data!$A:$A,$B14,Data!$C:$C,D$1))</f>
        <v>4.1676666666666664</v>
      </c>
      <c r="E14" s="31">
        <f>IF(SUMIFS(Data!$U:$U,Data!$A:$A,$B14,Data!$C:$C,E$1)=0,"",SUMIFS(Data!$U:$U,Data!$A:$A,$B14,Data!$C:$C,E$1))</f>
        <v>3.644047619047619</v>
      </c>
      <c r="F14" s="31">
        <f>IF(SUMIFS(Data!$U:$U,Data!$A:$A,$B14,Data!$C:$C,F$1)=0,"",SUMIFS(Data!$U:$U,Data!$A:$A,$B14,Data!$C:$C,F$1))</f>
        <v>4.3776666666666673</v>
      </c>
      <c r="G14" s="31">
        <f>IF(SUMIFS(Data!$U:$U,Data!$A:$A,$B14,Data!$C:$C,G$1)=0,"",SUMIFS(Data!$U:$U,Data!$A:$A,$B14,Data!$C:$C,G$1))</f>
        <v>3.375</v>
      </c>
      <c r="H14" s="31">
        <f>IF(SUMIFS(Data!$U:$U,Data!$A:$A,$B14,Data!$C:$C,H$1)=0,"",SUMIFS(Data!$U:$U,Data!$A:$A,$B14,Data!$C:$C,H$1))</f>
        <v>3.6890000000000001</v>
      </c>
      <c r="I14" s="31">
        <f>IF(SUMIFS(Data!$U:$U,Data!$A:$A,$B14,Data!$C:$C,I$1)=0,"",SUMIFS(Data!$U:$U,Data!$A:$A,$B14,Data!$C:$C,I$1))</f>
        <v>4.3321428571428573</v>
      </c>
      <c r="J14" s="31">
        <f>IF(SUMIFS(Data!$U:$U,Data!$A:$A,$B14,Data!$C:$C,J$1)=0,"",SUMIFS(Data!$U:$U,Data!$A:$A,$B14,Data!$C:$C,J$1))</f>
        <v>3.9410714285714286</v>
      </c>
      <c r="K14" s="31">
        <f>IF(SUMIFS(Data!$U:$U,Data!$A:$A,$B14,Data!$C:$C,K$1)=0,"",SUMIFS(Data!$U:$U,Data!$A:$A,$B14,Data!$C:$C,K$1))</f>
        <v>4.3053333333333335</v>
      </c>
      <c r="L14" s="31">
        <f>IF(SUMIFS(Data!$U:$U,Data!$A:$A,$B14,Data!$C:$C,L$1)=0,"",SUMIFS(Data!$U:$U,Data!$A:$A,$B14,Data!$C:$C,L$1))</f>
        <v>4.4870000000000001</v>
      </c>
      <c r="M14" s="31">
        <f>IF(SUMIFS(Data!$U:$U,Data!$A:$A,$B14,Data!$C:$C,M$1)=0,"",SUMIFS(Data!$U:$U,Data!$A:$A,$B14,Data!$C:$C,M$1))</f>
        <v>3.9089999999999998</v>
      </c>
      <c r="N14" s="31">
        <f>IF(SUMIFS(Data!$U:$U,Data!$A:$A,$B14,Data!$C:$C,N$1)=0,"",SUMIFS(Data!$U:$U,Data!$A:$A,$B14,Data!$C:$C,N$1))</f>
        <v>5.2408333333333337</v>
      </c>
      <c r="O14" s="31">
        <f>IF(SUMIFS(Data!$U:$U,Data!$A:$A,$B14,Data!$C:$C,O$1)=0,"",SUMIFS(Data!$U:$U,Data!$A:$A,$B14,Data!$C:$C,O$1))</f>
        <v>3.8467619047619048</v>
      </c>
      <c r="P14" s="31">
        <f>IF(SUMIFS(Data!$U:$U,Data!$A:$A,$B14,Data!$C:$C,P$1)=0,"",SUMIFS(Data!$U:$U,Data!$A:$A,$B14,Data!$C:$C,P$1))</f>
        <v>4.5803571428571423</v>
      </c>
      <c r="Q14" s="31">
        <f>IF(SUMIFS(Data!$U:$U,Data!$A:$A,$B14,Data!$C:$C,Q$1)=0,"",SUMIFS(Data!$U:$U,Data!$A:$A,$B14,Data!$C:$C,Q$1))</f>
        <v>3.9976190476190472</v>
      </c>
      <c r="R14" s="31">
        <f>VLOOKUP(B14,'#ligaSYR'!B:R,17,0)</f>
        <v>5</v>
      </c>
      <c r="S14" s="31">
        <f>SUM(C14:R14)</f>
        <v>66.419095238095252</v>
      </c>
      <c r="T14" s="31">
        <f>SUMIFS(Data!D:D,Data!A:A,B14)</f>
        <v>301.58</v>
      </c>
    </row>
    <row r="15" spans="1:22" ht="13" x14ac:dyDescent="0.3">
      <c r="A15" s="79">
        <v>14</v>
      </c>
      <c r="B15" s="30" t="s">
        <v>203</v>
      </c>
      <c r="C15" s="31">
        <f>IF(SUMIFS(Data!$U:$U,Data!$A:$A,$B15,Data!$C:$C,C$1)=0,"",SUMIFS(Data!$U:$U,Data!$A:$A,$B15,Data!$C:$C,C$1))</f>
        <v>3.1716666666666669</v>
      </c>
      <c r="D15" s="31">
        <f>IF(SUMIFS(Data!$U:$U,Data!$A:$A,$B15,Data!$C:$C,D$1)=0,"",SUMIFS(Data!$U:$U,Data!$A:$A,$B15,Data!$C:$C,D$1))</f>
        <v>3.9375</v>
      </c>
      <c r="E15" s="31">
        <f>IF(SUMIFS(Data!$U:$U,Data!$A:$A,$B15,Data!$C:$C,E$1)=0,"",SUMIFS(Data!$U:$U,Data!$A:$A,$B15,Data!$C:$C,E$1))</f>
        <v>4.3698333333333332</v>
      </c>
      <c r="F15" s="31">
        <f>IF(SUMIFS(Data!$U:$U,Data!$A:$A,$B15,Data!$C:$C,F$1)=0,"",SUMIFS(Data!$U:$U,Data!$A:$A,$B15,Data!$C:$C,F$1))</f>
        <v>3.424404761904762</v>
      </c>
      <c r="G15" s="31">
        <f>IF(SUMIFS(Data!$U:$U,Data!$A:$A,$B15,Data!$C:$C,G$1)=0,"",SUMIFS(Data!$U:$U,Data!$A:$A,$B15,Data!$C:$C,G$1))</f>
        <v>4.6230000000000002</v>
      </c>
      <c r="H15" s="31">
        <f>IF(SUMIFS(Data!$U:$U,Data!$A:$A,$B15,Data!$C:$C,H$1)=0,"",SUMIFS(Data!$U:$U,Data!$A:$A,$B15,Data!$C:$C,H$1))</f>
        <v>3.875</v>
      </c>
      <c r="I15" s="31">
        <f>IF(SUMIFS(Data!$U:$U,Data!$A:$A,$B15,Data!$C:$C,I$1)=0,"",SUMIFS(Data!$U:$U,Data!$A:$A,$B15,Data!$C:$C,I$1))</f>
        <v>3.2422619047619046</v>
      </c>
      <c r="J15" s="31">
        <f>IF(SUMIFS(Data!$U:$U,Data!$A:$A,$B15,Data!$C:$C,J$1)=0,"",SUMIFS(Data!$U:$U,Data!$A:$A,$B15,Data!$C:$C,J$1))</f>
        <v>3.25</v>
      </c>
      <c r="K15" s="31">
        <f>IF(SUMIFS(Data!$U:$U,Data!$A:$A,$B15,Data!$C:$C,K$1)=0,"",SUMIFS(Data!$U:$U,Data!$A:$A,$B15,Data!$C:$C,K$1))</f>
        <v>2.6055000000000001</v>
      </c>
      <c r="L15" s="31">
        <f>IF(SUMIFS(Data!$U:$U,Data!$A:$A,$B15,Data!$C:$C,L$1)=0,"",SUMIFS(Data!$U:$U,Data!$A:$A,$B15,Data!$C:$C,L$1))</f>
        <v>3.2068571428571429</v>
      </c>
      <c r="M15" s="31">
        <f>IF(SUMIFS(Data!$U:$U,Data!$A:$A,$B15,Data!$C:$C,M$1)=0,"",SUMIFS(Data!$U:$U,Data!$A:$A,$B15,Data!$C:$C,M$1))</f>
        <v>3.8595238095238096</v>
      </c>
      <c r="N15" s="31">
        <f>IF(SUMIFS(Data!$U:$U,Data!$A:$A,$B15,Data!$C:$C,N$1)=0,"",SUMIFS(Data!$U:$U,Data!$A:$A,$B15,Data!$C:$C,N$1))</f>
        <v>3.3517857142857141</v>
      </c>
      <c r="O15" s="31">
        <f>IF(SUMIFS(Data!$U:$U,Data!$A:$A,$B15,Data!$C:$C,O$1)=0,"",SUMIFS(Data!$U:$U,Data!$A:$A,$B15,Data!$C:$C,O$1))</f>
        <v>3.7208333333333332</v>
      </c>
      <c r="P15" s="31">
        <f>IF(SUMIFS(Data!$U:$U,Data!$A:$A,$B15,Data!$C:$C,P$1)=0,"",SUMIFS(Data!$U:$U,Data!$A:$A,$B15,Data!$C:$C,P$1))</f>
        <v>2.8166666666666664</v>
      </c>
      <c r="Q15" s="31">
        <f>IF(SUMIFS(Data!$U:$U,Data!$A:$A,$B15,Data!$C:$C,Q$1)=0,"",SUMIFS(Data!$U:$U,Data!$A:$A,$B15,Data!$C:$C,Q$1))</f>
        <v>4.5</v>
      </c>
      <c r="R15" s="31">
        <f>VLOOKUP(B15,'#ligaSYR'!B:R,17,0)</f>
        <v>5</v>
      </c>
      <c r="S15" s="31">
        <f>SUM(C15:R15)</f>
        <v>58.954833333333326</v>
      </c>
      <c r="T15" s="31">
        <f>SUMIFS(Data!D:D,Data!A:A,B15)</f>
        <v>191.81</v>
      </c>
    </row>
    <row r="16" spans="1:22" ht="13" x14ac:dyDescent="0.3">
      <c r="A16" s="79">
        <v>15</v>
      </c>
      <c r="B16" s="30" t="s">
        <v>353</v>
      </c>
      <c r="C16" s="31">
        <f>IF(SUMIFS(Data!$U:$U,Data!$A:$A,$B16,Data!$C:$C,C$1)=0,"",SUMIFS(Data!$U:$U,Data!$A:$A,$B16,Data!$C:$C,C$1))</f>
        <v>3.8250000000000002</v>
      </c>
      <c r="D16" s="31">
        <f>IF(SUMIFS(Data!$U:$U,Data!$A:$A,$B16,Data!$C:$C,D$1)=0,"",SUMIFS(Data!$U:$U,Data!$A:$A,$B16,Data!$C:$C,D$1))</f>
        <v>2.2571428571428571</v>
      </c>
      <c r="E16" s="31">
        <f>IF(SUMIFS(Data!$U:$U,Data!$A:$A,$B16,Data!$C:$C,E$1)=0,"",SUMIFS(Data!$U:$U,Data!$A:$A,$B16,Data!$C:$C,E$1))</f>
        <v>2.4125000000000001</v>
      </c>
      <c r="F16" s="31">
        <f>IF(SUMIFS(Data!$U:$U,Data!$A:$A,$B16,Data!$C:$C,F$1)=0,"",SUMIFS(Data!$U:$U,Data!$A:$A,$B16,Data!$C:$C,F$1))</f>
        <v>3.5750000000000002</v>
      </c>
      <c r="G16" s="31">
        <f>IF(SUMIFS(Data!$U:$U,Data!$A:$A,$B16,Data!$C:$C,G$1)=0,"",SUMIFS(Data!$U:$U,Data!$A:$A,$B16,Data!$C:$C,G$1))</f>
        <v>3.8624999999999998</v>
      </c>
      <c r="H16" s="31">
        <f>IF(SUMIFS(Data!$U:$U,Data!$A:$A,$B16,Data!$C:$C,H$1)=0,"",SUMIFS(Data!$U:$U,Data!$A:$A,$B16,Data!$C:$C,H$1))</f>
        <v>3.9249999999999998</v>
      </c>
      <c r="I16" s="31">
        <f>IF(SUMIFS(Data!$U:$U,Data!$A:$A,$B16,Data!$C:$C,I$1)=0,"",SUMIFS(Data!$U:$U,Data!$A:$A,$B16,Data!$C:$C,I$1))</f>
        <v>4.5831666666666671</v>
      </c>
      <c r="J16" s="31">
        <f>IF(SUMIFS(Data!$U:$U,Data!$A:$A,$B16,Data!$C:$C,J$1)=0,"",SUMIFS(Data!$U:$U,Data!$A:$A,$B16,Data!$C:$C,J$1))</f>
        <v>2.9249999999999998</v>
      </c>
      <c r="K16" s="31">
        <f>IF(SUMIFS(Data!$U:$U,Data!$A:$A,$B16,Data!$C:$C,K$1)=0,"",SUMIFS(Data!$U:$U,Data!$A:$A,$B16,Data!$C:$C,K$1))</f>
        <v>3.363666666666667</v>
      </c>
      <c r="L16" s="31">
        <f>IF(SUMIFS(Data!$U:$U,Data!$A:$A,$B16,Data!$C:$C,L$1)=0,"",SUMIFS(Data!$U:$U,Data!$A:$A,$B16,Data!$C:$C,L$1))</f>
        <v>3.0375000000000001</v>
      </c>
      <c r="M16" s="31">
        <f>IF(SUMIFS(Data!$U:$U,Data!$A:$A,$B16,Data!$C:$C,M$1)=0,"",SUMIFS(Data!$U:$U,Data!$A:$A,$B16,Data!$C:$C,M$1))</f>
        <v>3.9375</v>
      </c>
      <c r="N16" s="31">
        <f>IF(SUMIFS(Data!$U:$U,Data!$A:$A,$B16,Data!$C:$C,N$1)=0,"",SUMIFS(Data!$U:$U,Data!$A:$A,$B16,Data!$C:$C,N$1))</f>
        <v>4.0268333333333333</v>
      </c>
      <c r="O16" s="31">
        <f>IF(SUMIFS(Data!$U:$U,Data!$A:$A,$B16,Data!$C:$C,O$1)=0,"",SUMIFS(Data!$U:$U,Data!$A:$A,$B16,Data!$C:$C,O$1))</f>
        <v>3.5750000000000002</v>
      </c>
      <c r="P16" s="31">
        <f>IF(SUMIFS(Data!$U:$U,Data!$A:$A,$B16,Data!$C:$C,P$1)=0,"",SUMIFS(Data!$U:$U,Data!$A:$A,$B16,Data!$C:$C,P$1))</f>
        <v>2.875</v>
      </c>
      <c r="Q16" s="31">
        <f>IF(SUMIFS(Data!$U:$U,Data!$A:$A,$B16,Data!$C:$C,Q$1)=0,"",SUMIFS(Data!$U:$U,Data!$A:$A,$B16,Data!$C:$C,Q$1))</f>
        <v>4.1511666666666667</v>
      </c>
      <c r="R16" s="31">
        <f>VLOOKUP(B16,'#ligaSYR'!B:R,17,0)</f>
        <v>5</v>
      </c>
      <c r="S16" s="31">
        <f>SUM(C16:R16)</f>
        <v>57.331976190476198</v>
      </c>
      <c r="T16" s="31">
        <f>SUMIFS(Data!D:D,Data!A:A,B16)</f>
        <v>399.73999999999995</v>
      </c>
    </row>
    <row r="17" spans="1:20" ht="13" x14ac:dyDescent="0.3">
      <c r="A17" s="79">
        <v>16</v>
      </c>
      <c r="B17" s="30" t="s">
        <v>332</v>
      </c>
      <c r="C17" s="31">
        <f>IF(SUMIFS(Data!$U:$U,Data!$A:$A,$B17,Data!$C:$C,C$1)=0,"",SUMIFS(Data!$U:$U,Data!$A:$A,$B17,Data!$C:$C,C$1))</f>
        <v>2.7166666666666663</v>
      </c>
      <c r="D17" s="31">
        <f>IF(SUMIFS(Data!$U:$U,Data!$A:$A,$B17,Data!$C:$C,D$1)=0,"",SUMIFS(Data!$U:$U,Data!$A:$A,$B17,Data!$C:$C,D$1))</f>
        <v>3.788095238095238</v>
      </c>
      <c r="E17" s="31">
        <f>IF(SUMIFS(Data!$U:$U,Data!$A:$A,$B17,Data!$C:$C,E$1)=0,"",SUMIFS(Data!$U:$U,Data!$A:$A,$B17,Data!$C:$C,E$1))</f>
        <v>2.9958333333333331</v>
      </c>
      <c r="F17" s="31">
        <f>IF(SUMIFS(Data!$U:$U,Data!$A:$A,$B17,Data!$C:$C,F$1)=0,"",SUMIFS(Data!$U:$U,Data!$A:$A,$B17,Data!$C:$C,F$1))</f>
        <v>4.2598333333333338</v>
      </c>
      <c r="G17" s="31">
        <f>IF(SUMIFS(Data!$U:$U,Data!$A:$A,$B17,Data!$C:$C,G$1)=0,"",SUMIFS(Data!$U:$U,Data!$A:$A,$B17,Data!$C:$C,G$1))</f>
        <v>3.851</v>
      </c>
      <c r="H17" s="31">
        <f>IF(SUMIFS(Data!$U:$U,Data!$A:$A,$B17,Data!$C:$C,H$1)=0,"",SUMIFS(Data!$U:$U,Data!$A:$A,$B17,Data!$C:$C,H$1))</f>
        <v>3.7970238095238096</v>
      </c>
      <c r="I17" s="31">
        <f>IF(SUMIFS(Data!$U:$U,Data!$A:$A,$B17,Data!$C:$C,I$1)=0,"",SUMIFS(Data!$U:$U,Data!$A:$A,$B17,Data!$C:$C,I$1))</f>
        <v>3.612452380952381</v>
      </c>
      <c r="J17" s="31">
        <f>IF(SUMIFS(Data!$U:$U,Data!$A:$A,$B17,Data!$C:$C,J$1)=0,"",SUMIFS(Data!$U:$U,Data!$A:$A,$B17,Data!$C:$C,J$1))</f>
        <v>3.2688333333333333</v>
      </c>
      <c r="K17" s="31">
        <f>IF(SUMIFS(Data!$U:$U,Data!$A:$A,$B17,Data!$C:$C,K$1)=0,"",SUMIFS(Data!$U:$U,Data!$A:$A,$B17,Data!$C:$C,K$1))</f>
        <v>3.0175476190476189</v>
      </c>
      <c r="L17" s="31">
        <f>IF(SUMIFS(Data!$U:$U,Data!$A:$A,$B17,Data!$C:$C,L$1)=0,"",SUMIFS(Data!$U:$U,Data!$A:$A,$B17,Data!$C:$C,L$1))</f>
        <v>3.2458333333333331</v>
      </c>
      <c r="M17" s="31">
        <f>IF(SUMIFS(Data!$U:$U,Data!$A:$A,$B17,Data!$C:$C,M$1)=0,"",SUMIFS(Data!$U:$U,Data!$A:$A,$B17,Data!$C:$C,M$1))</f>
        <v>3.0642857142857141</v>
      </c>
      <c r="N17" s="31">
        <f>IF(SUMIFS(Data!$U:$U,Data!$A:$A,$B17,Data!$C:$C,N$1)=0,"",SUMIFS(Data!$U:$U,Data!$A:$A,$B17,Data!$C:$C,N$1))</f>
        <v>3.6707857142857141</v>
      </c>
      <c r="O17" s="31">
        <f>IF(SUMIFS(Data!$U:$U,Data!$A:$A,$B17,Data!$C:$C,O$1)=0,"",SUMIFS(Data!$U:$U,Data!$A:$A,$B17,Data!$C:$C,O$1))</f>
        <v>4.5333333333333332</v>
      </c>
      <c r="P17" s="31">
        <f>IF(SUMIFS(Data!$U:$U,Data!$A:$A,$B17,Data!$C:$C,P$1)=0,"",SUMIFS(Data!$U:$U,Data!$A:$A,$B17,Data!$C:$C,P$1))</f>
        <v>2.9958333333333331</v>
      </c>
      <c r="Q17" s="31">
        <f>IF(SUMIFS(Data!$U:$U,Data!$A:$A,$B17,Data!$C:$C,Q$1)=0,"",SUMIFS(Data!$U:$U,Data!$A:$A,$B17,Data!$C:$C,Q$1))</f>
        <v>3.2458333333333331</v>
      </c>
      <c r="R17" s="31">
        <f>VLOOKUP(B17,'#ligaSYR'!B:R,17,0)</f>
        <v>5</v>
      </c>
      <c r="S17" s="31">
        <f>SUM(C17:R17)</f>
        <v>57.063190476190471</v>
      </c>
      <c r="T17" s="31">
        <f>SUMIFS(Data!D:D,Data!A:A,B17)</f>
        <v>256.05</v>
      </c>
    </row>
    <row r="18" spans="1:20" ht="13" x14ac:dyDescent="0.3">
      <c r="A18" s="79">
        <v>17</v>
      </c>
      <c r="B18" s="30" t="s">
        <v>248</v>
      </c>
      <c r="C18" s="31">
        <f>IF(SUMIFS(Data!$U:$U,Data!$A:$A,$B18,Data!$C:$C,C$1)=0,"",SUMIFS(Data!$U:$U,Data!$A:$A,$B18,Data!$C:$C,C$1))</f>
        <v>3.4375</v>
      </c>
      <c r="D18" s="31">
        <f>IF(SUMIFS(Data!$U:$U,Data!$A:$A,$B18,Data!$C:$C,D$1)=0,"",SUMIFS(Data!$U:$U,Data!$A:$A,$B18,Data!$C:$C,D$1))</f>
        <v>3.3035714285714284</v>
      </c>
      <c r="E18" s="31">
        <f>IF(SUMIFS(Data!$U:$U,Data!$A:$A,$B18,Data!$C:$C,E$1)=0,"",SUMIFS(Data!$U:$U,Data!$A:$A,$B18,Data!$C:$C,E$1))</f>
        <v>3.9376666666666669</v>
      </c>
      <c r="F18" s="31">
        <f>IF(SUMIFS(Data!$U:$U,Data!$A:$A,$B18,Data!$C:$C,F$1)=0,"",SUMIFS(Data!$U:$U,Data!$A:$A,$B18,Data!$C:$C,F$1))</f>
        <v>3.3541666666666665</v>
      </c>
      <c r="G18" s="31">
        <f>IF(SUMIFS(Data!$U:$U,Data!$A:$A,$B18,Data!$C:$C,G$1)=0,"",SUMIFS(Data!$U:$U,Data!$A:$A,$B18,Data!$C:$C,G$1))</f>
        <v>3.4031666666666665</v>
      </c>
      <c r="H18" s="31">
        <f>IF(SUMIFS(Data!$U:$U,Data!$A:$A,$B18,Data!$C:$C,H$1)=0,"",SUMIFS(Data!$U:$U,Data!$A:$A,$B18,Data!$C:$C,H$1))</f>
        <v>3.0458333333333334</v>
      </c>
      <c r="I18" s="31">
        <f>IF(SUMIFS(Data!$U:$U,Data!$A:$A,$B18,Data!$C:$C,I$1)=0,"",SUMIFS(Data!$U:$U,Data!$A:$A,$B18,Data!$C:$C,I$1))</f>
        <v>2.9464285714285712</v>
      </c>
      <c r="J18" s="31">
        <f>IF(SUMIFS(Data!$U:$U,Data!$A:$A,$B18,Data!$C:$C,J$1)=0,"",SUMIFS(Data!$U:$U,Data!$A:$A,$B18,Data!$C:$C,J$1))</f>
        <v>2.6607142857142856</v>
      </c>
      <c r="K18" s="31">
        <f>IF(SUMIFS(Data!$U:$U,Data!$A:$A,$B18,Data!$C:$C,K$1)=0,"",SUMIFS(Data!$U:$U,Data!$A:$A,$B18,Data!$C:$C,K$1))</f>
        <v>3.4125000000000001</v>
      </c>
      <c r="L18" s="31">
        <f>IF(SUMIFS(Data!$U:$U,Data!$A:$A,$B18,Data!$C:$C,L$1)=0,"",SUMIFS(Data!$U:$U,Data!$A:$A,$B18,Data!$C:$C,L$1))</f>
        <v>2.1767857142857143</v>
      </c>
      <c r="M18" s="31">
        <f>IF(SUMIFS(Data!$U:$U,Data!$A:$A,$B18,Data!$C:$C,M$1)=0,"",SUMIFS(Data!$U:$U,Data!$A:$A,$B18,Data!$C:$C,M$1))</f>
        <v>3.706142857142857</v>
      </c>
      <c r="N18" s="31">
        <f>IF(SUMIFS(Data!$U:$U,Data!$A:$A,$B18,Data!$C:$C,N$1)=0,"",SUMIFS(Data!$U:$U,Data!$A:$A,$B18,Data!$C:$C,N$1))</f>
        <v>9.4193333333333342</v>
      </c>
      <c r="O18" s="31">
        <f>IF(SUMIFS(Data!$U:$U,Data!$A:$A,$B18,Data!$C:$C,O$1)=0,"",SUMIFS(Data!$U:$U,Data!$A:$A,$B18,Data!$C:$C,O$1))</f>
        <v>3.1098333333333334</v>
      </c>
      <c r="P18" s="31">
        <f>IF(SUMIFS(Data!$U:$U,Data!$A:$A,$B18,Data!$C:$C,P$1)=0,"",SUMIFS(Data!$U:$U,Data!$A:$A,$B18,Data!$C:$C,P$1))</f>
        <v>1.4285714285714286</v>
      </c>
      <c r="Q18" s="31">
        <f>IF(SUMIFS(Data!$U:$U,Data!$A:$A,$B18,Data!$C:$C,Q$1)=0,"",SUMIFS(Data!$U:$U,Data!$A:$A,$B18,Data!$C:$C,Q$1))</f>
        <v>1.7833333333333334</v>
      </c>
      <c r="R18" s="31">
        <f>VLOOKUP(B18,'#ligaSYR'!B:R,17,0)</f>
        <v>5</v>
      </c>
      <c r="S18" s="31">
        <f>SUM(C18:R18)</f>
        <v>56.125547619047623</v>
      </c>
      <c r="T18" s="31">
        <f>SUMIFS(Data!D:D,Data!A:A,B18)</f>
        <v>342.47</v>
      </c>
    </row>
    <row r="19" spans="1:20" ht="13" x14ac:dyDescent="0.3">
      <c r="A19" s="79">
        <v>18</v>
      </c>
      <c r="B19" s="30" t="s">
        <v>128</v>
      </c>
      <c r="C19" s="31">
        <f>IF(SUMIFS(Data!$U:$U,Data!$A:$A,$B19,Data!$C:$C,C$1)=0,"",SUMIFS(Data!$U:$U,Data!$A:$A,$B19,Data!$C:$C,C$1))</f>
        <v>3.5</v>
      </c>
      <c r="D19" s="31">
        <f>IF(SUMIFS(Data!$U:$U,Data!$A:$A,$B19,Data!$C:$C,D$1)=0,"",SUMIFS(Data!$U:$U,Data!$A:$A,$B19,Data!$C:$C,D$1))</f>
        <v>4.2346666666666666</v>
      </c>
      <c r="E19" s="31">
        <f>IF(SUMIFS(Data!$U:$U,Data!$A:$A,$B19,Data!$C:$C,E$1)=0,"",SUMIFS(Data!$U:$U,Data!$A:$A,$B19,Data!$C:$C,E$1))</f>
        <v>3.6196666666666668</v>
      </c>
      <c r="F19" s="31">
        <f>IF(SUMIFS(Data!$U:$U,Data!$A:$A,$B19,Data!$C:$C,F$1)=0,"",SUMIFS(Data!$U:$U,Data!$A:$A,$B19,Data!$C:$C,F$1))</f>
        <v>3.65</v>
      </c>
      <c r="G19" s="31">
        <f>IF(SUMIFS(Data!$U:$U,Data!$A:$A,$B19,Data!$C:$C,G$1)=0,"",SUMIFS(Data!$U:$U,Data!$A:$A,$B19,Data!$C:$C,G$1))</f>
        <v>3.617666666666667</v>
      </c>
      <c r="H19" s="31">
        <f>IF(SUMIFS(Data!$U:$U,Data!$A:$A,$B19,Data!$C:$C,H$1)=0,"",SUMIFS(Data!$U:$U,Data!$A:$A,$B19,Data!$C:$C,H$1))</f>
        <v>3.8250000000000002</v>
      </c>
      <c r="I19" s="31">
        <f>IF(SUMIFS(Data!$U:$U,Data!$A:$A,$B19,Data!$C:$C,I$1)=0,"",SUMIFS(Data!$U:$U,Data!$A:$A,$B19,Data!$C:$C,I$1))</f>
        <v>3.9403333333333332</v>
      </c>
      <c r="J19" s="31">
        <f>IF(SUMIFS(Data!$U:$U,Data!$A:$A,$B19,Data!$C:$C,J$1)=0,"",SUMIFS(Data!$U:$U,Data!$A:$A,$B19,Data!$C:$C,J$1))</f>
        <v>3.0482142857142858</v>
      </c>
      <c r="K19" s="31">
        <f>IF(SUMIFS(Data!$U:$U,Data!$A:$A,$B19,Data!$C:$C,K$1)=0,"",SUMIFS(Data!$U:$U,Data!$A:$A,$B19,Data!$C:$C,K$1))</f>
        <v>3.3012857142857142</v>
      </c>
      <c r="L19" s="31">
        <f>IF(SUMIFS(Data!$U:$U,Data!$A:$A,$B19,Data!$C:$C,L$1)=0,"",SUMIFS(Data!$U:$U,Data!$A:$A,$B19,Data!$C:$C,L$1))</f>
        <v>3.5979999999999999</v>
      </c>
      <c r="M19" s="31">
        <f>IF(SUMIFS(Data!$U:$U,Data!$A:$A,$B19,Data!$C:$C,M$1)=0,"",SUMIFS(Data!$U:$U,Data!$A:$A,$B19,Data!$C:$C,M$1))</f>
        <v>3.6680000000000001</v>
      </c>
      <c r="N19" s="31">
        <f>IF(SUMIFS(Data!$U:$U,Data!$A:$A,$B19,Data!$C:$C,N$1)=0,"",SUMIFS(Data!$U:$U,Data!$A:$A,$B19,Data!$C:$C,N$1))</f>
        <v>3.125</v>
      </c>
      <c r="O19" s="31">
        <f>IF(SUMIFS(Data!$U:$U,Data!$A:$A,$B19,Data!$C:$C,O$1)=0,"",SUMIFS(Data!$U:$U,Data!$A:$A,$B19,Data!$C:$C,O$1))</f>
        <v>1.6547619047619047</v>
      </c>
      <c r="P19" s="31">
        <f>IF(SUMIFS(Data!$U:$U,Data!$A:$A,$B19,Data!$C:$C,P$1)=0,"",SUMIFS(Data!$U:$U,Data!$A:$A,$B19,Data!$C:$C,P$1))</f>
        <v>4</v>
      </c>
      <c r="Q19" s="31">
        <f>IF(SUMIFS(Data!$U:$U,Data!$A:$A,$B19,Data!$C:$C,Q$1)=0,"",SUMIFS(Data!$U:$U,Data!$A:$A,$B19,Data!$C:$C,Q$1))</f>
        <v>1.7797619047619047</v>
      </c>
      <c r="R19" s="31">
        <f>VLOOKUP(B19,'#ligaSYR'!B:R,17,0)</f>
        <v>5</v>
      </c>
      <c r="S19" s="31">
        <f>SUM(C19:R19)</f>
        <v>55.562357142857138</v>
      </c>
      <c r="T19" s="31">
        <f>SUMIFS(Data!D:D,Data!A:A,B19)</f>
        <v>354.81</v>
      </c>
    </row>
    <row r="20" spans="1:20" ht="13" x14ac:dyDescent="0.3">
      <c r="A20" s="79">
        <v>19</v>
      </c>
      <c r="B20" s="30" t="s">
        <v>339</v>
      </c>
      <c r="C20" s="31">
        <f>IF(SUMIFS(Data!$U:$U,Data!$A:$A,$B20,Data!$C:$C,C$1)=0,"",SUMIFS(Data!$U:$U,Data!$A:$A,$B20,Data!$C:$C,C$1))</f>
        <v>2.7986904761904765</v>
      </c>
      <c r="D20" s="31">
        <f>IF(SUMIFS(Data!$U:$U,Data!$A:$A,$B20,Data!$C:$C,D$1)=0,"",SUMIFS(Data!$U:$U,Data!$A:$A,$B20,Data!$C:$C,D$1))</f>
        <v>3.8693333333333335</v>
      </c>
      <c r="E20" s="31">
        <f>IF(SUMIFS(Data!$U:$U,Data!$A:$A,$B20,Data!$C:$C,E$1)=0,"",SUMIFS(Data!$U:$U,Data!$A:$A,$B20,Data!$C:$C,E$1))</f>
        <v>2.026904761904762</v>
      </c>
      <c r="F20" s="31">
        <f>IF(SUMIFS(Data!$U:$U,Data!$A:$A,$B20,Data!$C:$C,F$1)=0,"",SUMIFS(Data!$U:$U,Data!$A:$A,$B20,Data!$C:$C,F$1))</f>
        <v>3.5783095238095237</v>
      </c>
      <c r="G20" s="31">
        <f>IF(SUMIFS(Data!$U:$U,Data!$A:$A,$B20,Data!$C:$C,G$1)=0,"",SUMIFS(Data!$U:$U,Data!$A:$A,$B20,Data!$C:$C,G$1))</f>
        <v>2.5220238095238097</v>
      </c>
      <c r="H20" s="31">
        <f>IF(SUMIFS(Data!$U:$U,Data!$A:$A,$B20,Data!$C:$C,H$1)=0,"",SUMIFS(Data!$U:$U,Data!$A:$A,$B20,Data!$C:$C,H$1))</f>
        <v>3.2095238095238097</v>
      </c>
      <c r="I20" s="31">
        <f>IF(SUMIFS(Data!$U:$U,Data!$A:$A,$B20,Data!$C:$C,I$1)=0,"",SUMIFS(Data!$U:$U,Data!$A:$A,$B20,Data!$C:$C,I$1))</f>
        <v>4.6040000000000001</v>
      </c>
      <c r="J20" s="31">
        <f>IF(SUMIFS(Data!$U:$U,Data!$A:$A,$B20,Data!$C:$C,J$1)=0,"",SUMIFS(Data!$U:$U,Data!$A:$A,$B20,Data!$C:$C,J$1))</f>
        <v>3.5099047619047616</v>
      </c>
      <c r="K20" s="31">
        <f>IF(SUMIFS(Data!$U:$U,Data!$A:$A,$B20,Data!$C:$C,K$1)=0,"",SUMIFS(Data!$U:$U,Data!$A:$A,$B20,Data!$C:$C,K$1))</f>
        <v>2.7833333333333332</v>
      </c>
      <c r="L20" s="31">
        <f>IF(SUMIFS(Data!$U:$U,Data!$A:$A,$B20,Data!$C:$C,L$1)=0,"",SUMIFS(Data!$U:$U,Data!$A:$A,$B20,Data!$C:$C,L$1))</f>
        <v>3.0737857142857141</v>
      </c>
      <c r="M20" s="31">
        <f>IF(SUMIFS(Data!$U:$U,Data!$A:$A,$B20,Data!$C:$C,M$1)=0,"",SUMIFS(Data!$U:$U,Data!$A:$A,$B20,Data!$C:$C,M$1))</f>
        <v>4</v>
      </c>
      <c r="N20" s="31">
        <f>IF(SUMIFS(Data!$U:$U,Data!$A:$A,$B20,Data!$C:$C,N$1)=0,"",SUMIFS(Data!$U:$U,Data!$A:$A,$B20,Data!$C:$C,N$1))</f>
        <v>3.363</v>
      </c>
      <c r="O20" s="31">
        <f>IF(SUMIFS(Data!$U:$U,Data!$A:$A,$B20,Data!$C:$C,O$1)=0,"",SUMIFS(Data!$U:$U,Data!$A:$A,$B20,Data!$C:$C,O$1))</f>
        <v>5.1583333333333332</v>
      </c>
      <c r="P20" s="31">
        <f>IF(SUMIFS(Data!$U:$U,Data!$A:$A,$B20,Data!$C:$C,P$1)=0,"",SUMIFS(Data!$U:$U,Data!$A:$A,$B20,Data!$C:$C,P$1))</f>
        <v>3.2196666666666665</v>
      </c>
      <c r="Q20" s="31">
        <f>IF(SUMIFS(Data!$U:$U,Data!$A:$A,$B20,Data!$C:$C,Q$1)=0,"",SUMIFS(Data!$U:$U,Data!$A:$A,$B20,Data!$C:$C,Q$1))</f>
        <v>2.3029761904761905</v>
      </c>
      <c r="R20" s="31">
        <f>VLOOKUP(B20,'#ligaSYR'!B:R,17,0)</f>
        <v>5</v>
      </c>
      <c r="S20" s="31">
        <f>SUM(C20:R20)</f>
        <v>55.019785714285703</v>
      </c>
      <c r="T20" s="31">
        <f>SUMIFS(Data!D:D,Data!A:A,B20)</f>
        <v>286.58999999999992</v>
      </c>
    </row>
    <row r="21" spans="1:20" ht="13" x14ac:dyDescent="0.3">
      <c r="A21" s="79">
        <v>20</v>
      </c>
      <c r="B21" s="30" t="s">
        <v>120</v>
      </c>
      <c r="C21" s="31">
        <f>IF(SUMIFS(Data!$U:$U,Data!$A:$A,$B21,Data!$C:$C,C$1)=0,"",SUMIFS(Data!$U:$U,Data!$A:$A,$B21,Data!$C:$C,C$1))</f>
        <v>3.5999999999999996</v>
      </c>
      <c r="D21" s="31">
        <f>IF(SUMIFS(Data!$U:$U,Data!$A:$A,$B21,Data!$C:$C,D$1)=0,"",SUMIFS(Data!$U:$U,Data!$A:$A,$B21,Data!$C:$C,D$1))</f>
        <v>3.0085952380952379</v>
      </c>
      <c r="E21" s="31">
        <f>IF(SUMIFS(Data!$U:$U,Data!$A:$A,$B21,Data!$C:$C,E$1)=0,"",SUMIFS(Data!$U:$U,Data!$A:$A,$B21,Data!$C:$C,E$1))</f>
        <v>3.1774999999999998</v>
      </c>
      <c r="F21" s="31">
        <f>IF(SUMIFS(Data!$U:$U,Data!$A:$A,$B21,Data!$C:$C,F$1)=0,"",SUMIFS(Data!$U:$U,Data!$A:$A,$B21,Data!$C:$C,F$1))</f>
        <v>3.2639523809523809</v>
      </c>
      <c r="G21" s="31">
        <f>IF(SUMIFS(Data!$U:$U,Data!$A:$A,$B21,Data!$C:$C,G$1)=0,"",SUMIFS(Data!$U:$U,Data!$A:$A,$B21,Data!$C:$C,G$1))</f>
        <v>3.2535714285714286</v>
      </c>
      <c r="H21" s="31">
        <f>IF(SUMIFS(Data!$U:$U,Data!$A:$A,$B21,Data!$C:$C,H$1)=0,"",SUMIFS(Data!$U:$U,Data!$A:$A,$B21,Data!$C:$C,H$1))</f>
        <v>3.2789999999999999</v>
      </c>
      <c r="I21" s="31">
        <f>IF(SUMIFS(Data!$U:$U,Data!$A:$A,$B21,Data!$C:$C,I$1)=0,"",SUMIFS(Data!$U:$U,Data!$A:$A,$B21,Data!$C:$C,I$1))</f>
        <v>4.1321428571428571</v>
      </c>
      <c r="J21" s="31">
        <f>IF(SUMIFS(Data!$U:$U,Data!$A:$A,$B21,Data!$C:$C,J$1)=0,"",SUMIFS(Data!$U:$U,Data!$A:$A,$B21,Data!$C:$C,J$1))</f>
        <v>3.5</v>
      </c>
      <c r="K21" s="31">
        <f>IF(SUMIFS(Data!$U:$U,Data!$A:$A,$B21,Data!$C:$C,K$1)=0,"",SUMIFS(Data!$U:$U,Data!$A:$A,$B21,Data!$C:$C,K$1))</f>
        <v>3.125</v>
      </c>
      <c r="L21" s="31">
        <f>IF(SUMIFS(Data!$U:$U,Data!$A:$A,$B21,Data!$C:$C,L$1)=0,"",SUMIFS(Data!$U:$U,Data!$A:$A,$B21,Data!$C:$C,L$1))</f>
        <v>3.875</v>
      </c>
      <c r="M21" s="31">
        <f>IF(SUMIFS(Data!$U:$U,Data!$A:$A,$B21,Data!$C:$C,M$1)=0,"",SUMIFS(Data!$U:$U,Data!$A:$A,$B21,Data!$C:$C,M$1))</f>
        <v>3.6053571428571427</v>
      </c>
      <c r="N21" s="31">
        <f>IF(SUMIFS(Data!$U:$U,Data!$A:$A,$B21,Data!$C:$C,N$1)=0,"",SUMIFS(Data!$U:$U,Data!$A:$A,$B21,Data!$C:$C,N$1))</f>
        <v>3.875</v>
      </c>
      <c r="O21" s="31">
        <f>IF(SUMIFS(Data!$U:$U,Data!$A:$A,$B21,Data!$C:$C,O$1)=0,"",SUMIFS(Data!$U:$U,Data!$A:$A,$B21,Data!$C:$C,O$1))</f>
        <v>2.4559523809523811</v>
      </c>
      <c r="P21" s="31">
        <f>IF(SUMIFS(Data!$U:$U,Data!$A:$A,$B21,Data!$C:$C,P$1)=0,"",SUMIFS(Data!$U:$U,Data!$A:$A,$B21,Data!$C:$C,P$1))</f>
        <v>2.8160714285714286</v>
      </c>
      <c r="Q21" s="31">
        <f>IF(SUMIFS(Data!$U:$U,Data!$A:$A,$B21,Data!$C:$C,Q$1)=0,"",SUMIFS(Data!$U:$U,Data!$A:$A,$B21,Data!$C:$C,Q$1))</f>
        <v>2.961904761904762</v>
      </c>
      <c r="R21" s="31">
        <f>VLOOKUP(B21,'#ligaSYR'!B:R,17,0)</f>
        <v>5</v>
      </c>
      <c r="S21" s="31">
        <f>SUM(C21:R21)</f>
        <v>54.929047619047616</v>
      </c>
      <c r="T21" s="31">
        <f>SUMIFS(Data!D:D,Data!A:A,B21)</f>
        <v>250.99</v>
      </c>
    </row>
    <row r="22" spans="1:20" ht="13" x14ac:dyDescent="0.3">
      <c r="A22" s="79">
        <v>21</v>
      </c>
      <c r="B22" s="30" t="s">
        <v>208</v>
      </c>
      <c r="C22" s="31">
        <f>IF(SUMIFS(Data!$U:$U,Data!$A:$A,$B22,Data!$C:$C,C$1)=0,"",SUMIFS(Data!$U:$U,Data!$A:$A,$B22,Data!$C:$C,C$1))</f>
        <v>3.1607142857142856</v>
      </c>
      <c r="D22" s="31">
        <f>IF(SUMIFS(Data!$U:$U,Data!$A:$A,$B22,Data!$C:$C,D$1)=0,"",SUMIFS(Data!$U:$U,Data!$A:$A,$B22,Data!$C:$C,D$1))</f>
        <v>3.0392857142857141</v>
      </c>
      <c r="E22" s="31">
        <f>IF(SUMIFS(Data!$U:$U,Data!$A:$A,$B22,Data!$C:$C,E$1)=0,"",SUMIFS(Data!$U:$U,Data!$A:$A,$B22,Data!$C:$C,E$1))</f>
        <v>3.030761904761905</v>
      </c>
      <c r="F22" s="31">
        <f>IF(SUMIFS(Data!$U:$U,Data!$A:$A,$B22,Data!$C:$C,F$1)=0,"",SUMIFS(Data!$U:$U,Data!$A:$A,$B22,Data!$C:$C,F$1))</f>
        <v>3.8174999999999999</v>
      </c>
      <c r="G22" s="31">
        <f>IF(SUMIFS(Data!$U:$U,Data!$A:$A,$B22,Data!$C:$C,G$1)=0,"",SUMIFS(Data!$U:$U,Data!$A:$A,$B22,Data!$C:$C,G$1))</f>
        <v>2.5779761904761904</v>
      </c>
      <c r="H22" s="31">
        <f>IF(SUMIFS(Data!$U:$U,Data!$A:$A,$B22,Data!$C:$C,H$1)=0,"",SUMIFS(Data!$U:$U,Data!$A:$A,$B22,Data!$C:$C,H$1))</f>
        <v>3.2810000000000001</v>
      </c>
      <c r="I22" s="31">
        <f>IF(SUMIFS(Data!$U:$U,Data!$A:$A,$B22,Data!$C:$C,I$1)=0,"",SUMIFS(Data!$U:$U,Data!$A:$A,$B22,Data!$C:$C,I$1))</f>
        <v>4.0633333333333335</v>
      </c>
      <c r="J22" s="31">
        <f>IF(SUMIFS(Data!$U:$U,Data!$A:$A,$B22,Data!$C:$C,J$1)=0,"",SUMIFS(Data!$U:$U,Data!$A:$A,$B22,Data!$C:$C,J$1))</f>
        <v>3.1696428571428572</v>
      </c>
      <c r="K22" s="31">
        <f>IF(SUMIFS(Data!$U:$U,Data!$A:$A,$B22,Data!$C:$C,K$1)=0,"",SUMIFS(Data!$U:$U,Data!$A:$A,$B22,Data!$C:$C,K$1))</f>
        <v>4.3186666666666671</v>
      </c>
      <c r="L22" s="31">
        <f>IF(SUMIFS(Data!$U:$U,Data!$A:$A,$B22,Data!$C:$C,L$1)=0,"",SUMIFS(Data!$U:$U,Data!$A:$A,$B22,Data!$C:$C,L$1))</f>
        <v>2.2426666666666666</v>
      </c>
      <c r="M22" s="31">
        <f>IF(SUMIFS(Data!$U:$U,Data!$A:$A,$B22,Data!$C:$C,M$1)=0,"",SUMIFS(Data!$U:$U,Data!$A:$A,$B22,Data!$C:$C,M$1))</f>
        <v>3.2827380952380953</v>
      </c>
      <c r="N22" s="31">
        <f>IF(SUMIFS(Data!$U:$U,Data!$A:$A,$B22,Data!$C:$C,N$1)=0,"",SUMIFS(Data!$U:$U,Data!$A:$A,$B22,Data!$C:$C,N$1))</f>
        <v>3.3503333333333334</v>
      </c>
      <c r="O22" s="31">
        <f>IF(SUMIFS(Data!$U:$U,Data!$A:$A,$B22,Data!$C:$C,O$1)=0,"",SUMIFS(Data!$U:$U,Data!$A:$A,$B22,Data!$C:$C,O$1))</f>
        <v>5.4708333333333332</v>
      </c>
      <c r="P22" s="31">
        <f>IF(SUMIFS(Data!$U:$U,Data!$A:$A,$B22,Data!$C:$C,P$1)=0,"",SUMIFS(Data!$U:$U,Data!$A:$A,$B22,Data!$C:$C,P$1))</f>
        <v>2.8573333333333335</v>
      </c>
      <c r="Q22" s="31">
        <f>IF(SUMIFS(Data!$U:$U,Data!$A:$A,$B22,Data!$C:$C,Q$1)=0,"",SUMIFS(Data!$U:$U,Data!$A:$A,$B22,Data!$C:$C,Q$1))</f>
        <v>3.1577380952380953</v>
      </c>
      <c r="R22" s="31">
        <f>VLOOKUP(B22,'#ligaSYR'!B:R,17,0)</f>
        <v>3</v>
      </c>
      <c r="S22" s="31">
        <f>SUM(C22:R22)</f>
        <v>53.820523809523806</v>
      </c>
      <c r="T22" s="31">
        <f>SUMIFS(Data!D:D,Data!A:A,B22)</f>
        <v>289.45999999999998</v>
      </c>
    </row>
    <row r="23" spans="1:20" ht="13" x14ac:dyDescent="0.3">
      <c r="A23" s="79">
        <v>22</v>
      </c>
      <c r="B23" s="30" t="s">
        <v>335</v>
      </c>
      <c r="C23" s="31">
        <f>IF(SUMIFS(Data!$U:$U,Data!$A:$A,$B23,Data!$C:$C,C$1)=0,"",SUMIFS(Data!$U:$U,Data!$A:$A,$B23,Data!$C:$C,C$1))</f>
        <v>2.6208333333333331</v>
      </c>
      <c r="D23" s="31">
        <f>IF(SUMIFS(Data!$U:$U,Data!$A:$A,$B23,Data!$C:$C,D$1)=0,"",SUMIFS(Data!$U:$U,Data!$A:$A,$B23,Data!$C:$C,D$1))</f>
        <v>2.3702380952380953</v>
      </c>
      <c r="E23" s="31">
        <f>IF(SUMIFS(Data!$U:$U,Data!$A:$A,$B23,Data!$C:$C,E$1)=0,"",SUMIFS(Data!$U:$U,Data!$A:$A,$B23,Data!$C:$C,E$1))</f>
        <v>2.3374999999999999</v>
      </c>
      <c r="F23" s="31">
        <f>IF(SUMIFS(Data!$U:$U,Data!$A:$A,$B23,Data!$C:$C,F$1)=0,"",SUMIFS(Data!$U:$U,Data!$A:$A,$B23,Data!$C:$C,F$1))</f>
        <v>4.0419999999999998</v>
      </c>
      <c r="G23" s="31">
        <f>IF(SUMIFS(Data!$U:$U,Data!$A:$A,$B23,Data!$C:$C,G$1)=0,"",SUMIFS(Data!$U:$U,Data!$A:$A,$B23,Data!$C:$C,G$1))</f>
        <v>2.5696904761904764</v>
      </c>
      <c r="H23" s="31">
        <f>IF(SUMIFS(Data!$U:$U,Data!$A:$A,$B23,Data!$C:$C,H$1)=0,"",SUMIFS(Data!$U:$U,Data!$A:$A,$B23,Data!$C:$C,H$1))</f>
        <v>3.1677142857142857</v>
      </c>
      <c r="I23" s="31">
        <f>IF(SUMIFS(Data!$U:$U,Data!$A:$A,$B23,Data!$C:$C,I$1)=0,"",SUMIFS(Data!$U:$U,Data!$A:$A,$B23,Data!$C:$C,I$1))</f>
        <v>4.3018333333333336</v>
      </c>
      <c r="J23" s="31">
        <f>IF(SUMIFS(Data!$U:$U,Data!$A:$A,$B23,Data!$C:$C,J$1)=0,"",SUMIFS(Data!$U:$U,Data!$A:$A,$B23,Data!$C:$C,J$1))</f>
        <v>3.65</v>
      </c>
      <c r="K23" s="31">
        <f>IF(SUMIFS(Data!$U:$U,Data!$A:$A,$B23,Data!$C:$C,K$1)=0,"",SUMIFS(Data!$U:$U,Data!$A:$A,$B23,Data!$C:$C,K$1))</f>
        <v>3.8003095238095237</v>
      </c>
      <c r="L23" s="31">
        <f>IF(SUMIFS(Data!$U:$U,Data!$A:$A,$B23,Data!$C:$C,L$1)=0,"",SUMIFS(Data!$U:$U,Data!$A:$A,$B23,Data!$C:$C,L$1))</f>
        <v>4.7125000000000004</v>
      </c>
      <c r="M23" s="31">
        <f>IF(SUMIFS(Data!$U:$U,Data!$A:$A,$B23,Data!$C:$C,M$1)=0,"",SUMIFS(Data!$U:$U,Data!$A:$A,$B23,Data!$C:$C,M$1))</f>
        <v>2.4476190476190474</v>
      </c>
      <c r="N23" s="31">
        <f>IF(SUMIFS(Data!$U:$U,Data!$A:$A,$B23,Data!$C:$C,N$1)=0,"",SUMIFS(Data!$U:$U,Data!$A:$A,$B23,Data!$C:$C,N$1))</f>
        <v>2.8291666666666666</v>
      </c>
      <c r="O23" s="31">
        <f>IF(SUMIFS(Data!$U:$U,Data!$A:$A,$B23,Data!$C:$C,O$1)=0,"",SUMIFS(Data!$U:$U,Data!$A:$A,$B23,Data!$C:$C,O$1))</f>
        <v>4.6160000000000005</v>
      </c>
      <c r="P23" s="31">
        <f>IF(SUMIFS(Data!$U:$U,Data!$A:$A,$B23,Data!$C:$C,P$1)=0,"",SUMIFS(Data!$U:$U,Data!$A:$A,$B23,Data!$C:$C,P$1))</f>
        <v>1.8821428571428571</v>
      </c>
      <c r="Q23" s="31">
        <f>IF(SUMIFS(Data!$U:$U,Data!$A:$A,$B23,Data!$C:$C,Q$1)=0,"",SUMIFS(Data!$U:$U,Data!$A:$A,$B23,Data!$C:$C,Q$1))</f>
        <v>3.1858571428571425</v>
      </c>
      <c r="R23" s="31">
        <f>VLOOKUP(B23,'#ligaSYR'!B:R,17,0)</f>
        <v>5</v>
      </c>
      <c r="S23" s="31">
        <f>SUM(C23:R23)</f>
        <v>53.533404761904769</v>
      </c>
      <c r="T23" s="31">
        <f>SUMIFS(Data!D:D,Data!A:A,B23)</f>
        <v>254.25</v>
      </c>
    </row>
    <row r="24" spans="1:20" ht="13" x14ac:dyDescent="0.3">
      <c r="A24" s="79">
        <v>23</v>
      </c>
      <c r="B24" s="30" t="s">
        <v>279</v>
      </c>
      <c r="C24" s="31">
        <f>IF(SUMIFS(Data!$U:$U,Data!$A:$A,$B24,Data!$C:$C,C$1)=0,"",SUMIFS(Data!$U:$U,Data!$A:$A,$B24,Data!$C:$C,C$1))</f>
        <v>2.668190476190476</v>
      </c>
      <c r="D24" s="31">
        <f>IF(SUMIFS(Data!$U:$U,Data!$A:$A,$B24,Data!$C:$C,D$1)=0,"",SUMIFS(Data!$U:$U,Data!$A:$A,$B24,Data!$C:$C,D$1))</f>
        <v>3.0463095238095241</v>
      </c>
      <c r="E24" s="31">
        <f>IF(SUMIFS(Data!$U:$U,Data!$A:$A,$B24,Data!$C:$C,E$1)=0,"",SUMIFS(Data!$U:$U,Data!$A:$A,$B24,Data!$C:$C,E$1))</f>
        <v>3.3934523809523807</v>
      </c>
      <c r="F24" s="31">
        <f>IF(SUMIFS(Data!$U:$U,Data!$A:$A,$B24,Data!$C:$C,F$1)=0,"",SUMIFS(Data!$U:$U,Data!$A:$A,$B24,Data!$C:$C,F$1))</f>
        <v>3.7736428571428573</v>
      </c>
      <c r="G24" s="31">
        <f>IF(SUMIFS(Data!$U:$U,Data!$A:$A,$B24,Data!$C:$C,G$1)=0,"",SUMIFS(Data!$U:$U,Data!$A:$A,$B24,Data!$C:$C,G$1))</f>
        <v>4.0999999999999996</v>
      </c>
      <c r="H24" s="31">
        <f>IF(SUMIFS(Data!$U:$U,Data!$A:$A,$B24,Data!$C:$C,H$1)=0,"",SUMIFS(Data!$U:$U,Data!$A:$A,$B24,Data!$C:$C,H$1))</f>
        <v>3.9440476190476188</v>
      </c>
      <c r="I24" s="31">
        <f>IF(SUMIFS(Data!$U:$U,Data!$A:$A,$B24,Data!$C:$C,I$1)=0,"",SUMIFS(Data!$U:$U,Data!$A:$A,$B24,Data!$C:$C,I$1))</f>
        <v>3.5455000000000001</v>
      </c>
      <c r="J24" s="31">
        <f>IF(SUMIFS(Data!$U:$U,Data!$A:$A,$B24,Data!$C:$C,J$1)=0,"",SUMIFS(Data!$U:$U,Data!$A:$A,$B24,Data!$C:$C,J$1))</f>
        <v>4.023309523809524</v>
      </c>
      <c r="K24" s="31">
        <f>IF(SUMIFS(Data!$U:$U,Data!$A:$A,$B24,Data!$C:$C,K$1)=0,"",SUMIFS(Data!$U:$U,Data!$A:$A,$B24,Data!$C:$C,K$1))</f>
        <v>4.6686666666666667</v>
      </c>
      <c r="L24" s="31">
        <f>IF(SUMIFS(Data!$U:$U,Data!$A:$A,$B24,Data!$C:$C,L$1)=0,"",SUMIFS(Data!$U:$U,Data!$A:$A,$B24,Data!$C:$C,L$1))</f>
        <v>4.0816666666666661</v>
      </c>
      <c r="M24" s="31">
        <f>IF(SUMIFS(Data!$U:$U,Data!$A:$A,$B24,Data!$C:$C,M$1)=0,"",SUMIFS(Data!$U:$U,Data!$A:$A,$B24,Data!$C:$C,M$1))</f>
        <v>2.8744047619047617</v>
      </c>
      <c r="N24" s="31">
        <f>IF(SUMIFS(Data!$U:$U,Data!$A:$A,$B24,Data!$C:$C,N$1)=0,"",SUMIFS(Data!$U:$U,Data!$A:$A,$B24,Data!$C:$C,N$1))</f>
        <v>4.4089285714285715</v>
      </c>
      <c r="O24" s="31" t="str">
        <f>IF(SUMIFS(Data!$U:$U,Data!$A:$A,$B24,Data!$C:$C,O$1)=0,"",SUMIFS(Data!$U:$U,Data!$A:$A,$B24,Data!$C:$C,O$1))</f>
        <v/>
      </c>
      <c r="P24" s="31">
        <f>IF(SUMIFS(Data!$U:$U,Data!$A:$A,$B24,Data!$C:$C,P$1)=0,"",SUMIFS(Data!$U:$U,Data!$A:$A,$B24,Data!$C:$C,P$1))</f>
        <v>3.1693333333333333</v>
      </c>
      <c r="Q24" s="31" t="str">
        <f>IF(SUMIFS(Data!$U:$U,Data!$A:$A,$B24,Data!$C:$C,Q$1)=0,"",SUMIFS(Data!$U:$U,Data!$A:$A,$B24,Data!$C:$C,Q$1))</f>
        <v/>
      </c>
      <c r="R24" s="31">
        <f>VLOOKUP(B24,'#ligaSYR'!B:R,17,0)</f>
        <v>4</v>
      </c>
      <c r="S24" s="31">
        <f>SUM(C24:R24)</f>
        <v>51.697452380952377</v>
      </c>
      <c r="T24" s="31">
        <f>SUMIFS(Data!D:D,Data!A:A,B24)</f>
        <v>243.34</v>
      </c>
    </row>
    <row r="25" spans="1:20" ht="13" x14ac:dyDescent="0.3">
      <c r="A25" s="79">
        <v>24</v>
      </c>
      <c r="B25" s="30" t="s">
        <v>375</v>
      </c>
      <c r="C25" s="31">
        <f>IF(SUMIFS(Data!$U:$U,Data!$A:$A,$B25,Data!$C:$C,C$1)=0,"",SUMIFS(Data!$U:$U,Data!$A:$A,$B25,Data!$C:$C,C$1))</f>
        <v>2.8267619047619048</v>
      </c>
      <c r="D25" s="31">
        <f>IF(SUMIFS(Data!$U:$U,Data!$A:$A,$B25,Data!$C:$C,D$1)=0,"",SUMIFS(Data!$U:$U,Data!$A:$A,$B25,Data!$C:$C,D$1))</f>
        <v>3.7374999999999998</v>
      </c>
      <c r="E25" s="31">
        <f>IF(SUMIFS(Data!$U:$U,Data!$A:$A,$B25,Data!$C:$C,E$1)=0,"",SUMIFS(Data!$U:$U,Data!$A:$A,$B25,Data!$C:$C,E$1))</f>
        <v>3.3704999999999998</v>
      </c>
      <c r="F25" s="31">
        <f>IF(SUMIFS(Data!$U:$U,Data!$A:$A,$B25,Data!$C:$C,F$1)=0,"",SUMIFS(Data!$U:$U,Data!$A:$A,$B25,Data!$C:$C,F$1))</f>
        <v>2.8047619047619046</v>
      </c>
      <c r="G25" s="31">
        <f>IF(SUMIFS(Data!$U:$U,Data!$A:$A,$B25,Data!$C:$C,G$1)=0,"",SUMIFS(Data!$U:$U,Data!$A:$A,$B25,Data!$C:$C,G$1))</f>
        <v>2.6035714285714286</v>
      </c>
      <c r="H25" s="31">
        <f>IF(SUMIFS(Data!$U:$U,Data!$A:$A,$B25,Data!$C:$C,H$1)=0,"",SUMIFS(Data!$U:$U,Data!$A:$A,$B25,Data!$C:$C,H$1))</f>
        <v>3.6920238095238096</v>
      </c>
      <c r="I25" s="31">
        <f>IF(SUMIFS(Data!$U:$U,Data!$A:$A,$B25,Data!$C:$C,I$1)=0,"",SUMIFS(Data!$U:$U,Data!$A:$A,$B25,Data!$C:$C,I$1))</f>
        <v>3.3676190476190477</v>
      </c>
      <c r="J25" s="31">
        <f>IF(SUMIFS(Data!$U:$U,Data!$A:$A,$B25,Data!$C:$C,J$1)=0,"",SUMIFS(Data!$U:$U,Data!$A:$A,$B25,Data!$C:$C,J$1))</f>
        <v>3.6172142857142853</v>
      </c>
      <c r="K25" s="31">
        <f>IF(SUMIFS(Data!$U:$U,Data!$A:$A,$B25,Data!$C:$C,K$1)=0,"",SUMIFS(Data!$U:$U,Data!$A:$A,$B25,Data!$C:$C,K$1))</f>
        <v>3.0505714285714287</v>
      </c>
      <c r="L25" s="31">
        <f>IF(SUMIFS(Data!$U:$U,Data!$A:$A,$B25,Data!$C:$C,L$1)=0,"",SUMIFS(Data!$U:$U,Data!$A:$A,$B25,Data!$C:$C,L$1))</f>
        <v>2.676190476190476</v>
      </c>
      <c r="M25" s="31">
        <f>IF(SUMIFS(Data!$U:$U,Data!$A:$A,$B25,Data!$C:$C,M$1)=0,"",SUMIFS(Data!$U:$U,Data!$A:$A,$B25,Data!$C:$C,M$1))</f>
        <v>3.8458333333333337</v>
      </c>
      <c r="N25" s="31">
        <f>IF(SUMIFS(Data!$U:$U,Data!$A:$A,$B25,Data!$C:$C,N$1)=0,"",SUMIFS(Data!$U:$U,Data!$A:$A,$B25,Data!$C:$C,N$1))</f>
        <v>2.7136904761904761</v>
      </c>
      <c r="O25" s="31">
        <f>IF(SUMIFS(Data!$U:$U,Data!$A:$A,$B25,Data!$C:$C,O$1)=0,"",SUMIFS(Data!$U:$U,Data!$A:$A,$B25,Data!$C:$C,O$1))</f>
        <v>2.3571428571428572</v>
      </c>
      <c r="P25" s="31">
        <f>IF(SUMIFS(Data!$U:$U,Data!$A:$A,$B25,Data!$C:$C,P$1)=0,"",SUMIFS(Data!$U:$U,Data!$A:$A,$B25,Data!$C:$C,P$1))</f>
        <v>2.1523333333333334</v>
      </c>
      <c r="Q25" s="31">
        <f>IF(SUMIFS(Data!$U:$U,Data!$A:$A,$B25,Data!$C:$C,Q$1)=0,"",SUMIFS(Data!$U:$U,Data!$A:$A,$B25,Data!$C:$C,Q$1))</f>
        <v>4.4831666666666665</v>
      </c>
      <c r="R25" s="31">
        <f>VLOOKUP(B25,'#ligaSYR'!B:R,17,0)</f>
        <v>4</v>
      </c>
      <c r="S25" s="31">
        <f>SUM(C25:R25)</f>
        <v>51.298880952380955</v>
      </c>
      <c r="T25" s="31">
        <f>SUMIFS(Data!D:D,Data!A:A,B25)</f>
        <v>277.39</v>
      </c>
    </row>
    <row r="26" spans="1:20" ht="13" x14ac:dyDescent="0.3">
      <c r="A26" s="79">
        <v>25</v>
      </c>
      <c r="B26" s="30" t="s">
        <v>252</v>
      </c>
      <c r="C26" s="31">
        <f>IF(SUMIFS(Data!$U:$U,Data!$A:$A,$B26,Data!$C:$C,C$1)=0,"",SUMIFS(Data!$U:$U,Data!$A:$A,$B26,Data!$C:$C,C$1))</f>
        <v>2.852380952380952</v>
      </c>
      <c r="D26" s="31">
        <f>IF(SUMIFS(Data!$U:$U,Data!$A:$A,$B26,Data!$C:$C,D$1)=0,"",SUMIFS(Data!$U:$U,Data!$A:$A,$B26,Data!$C:$C,D$1))</f>
        <v>3.0339285714285715</v>
      </c>
      <c r="E26" s="31">
        <f>IF(SUMIFS(Data!$U:$U,Data!$A:$A,$B26,Data!$C:$C,E$1)=0,"",SUMIFS(Data!$U:$U,Data!$A:$A,$B26,Data!$C:$C,E$1))</f>
        <v>3.9218333333333337</v>
      </c>
      <c r="F26" s="31">
        <f>IF(SUMIFS(Data!$U:$U,Data!$A:$A,$B26,Data!$C:$C,F$1)=0,"",SUMIFS(Data!$U:$U,Data!$A:$A,$B26,Data!$C:$C,F$1))</f>
        <v>4.2607142857142861</v>
      </c>
      <c r="G26" s="31">
        <f>IF(SUMIFS(Data!$U:$U,Data!$A:$A,$B26,Data!$C:$C,G$1)=0,"",SUMIFS(Data!$U:$U,Data!$A:$A,$B26,Data!$C:$C,G$1))</f>
        <v>3.2767619047619045</v>
      </c>
      <c r="H26" s="31">
        <f>IF(SUMIFS(Data!$U:$U,Data!$A:$A,$B26,Data!$C:$C,H$1)=0,"",SUMIFS(Data!$U:$U,Data!$A:$A,$B26,Data!$C:$C,H$1))</f>
        <v>2.4059523809523808</v>
      </c>
      <c r="I26" s="31">
        <f>IF(SUMIFS(Data!$U:$U,Data!$A:$A,$B26,Data!$C:$C,I$1)=0,"",SUMIFS(Data!$U:$U,Data!$A:$A,$B26,Data!$C:$C,I$1))</f>
        <v>3.625</v>
      </c>
      <c r="J26" s="31">
        <f>IF(SUMIFS(Data!$U:$U,Data!$A:$A,$B26,Data!$C:$C,J$1)=0,"",SUMIFS(Data!$U:$U,Data!$A:$A,$B26,Data!$C:$C,J$1))</f>
        <v>2.9327380952380953</v>
      </c>
      <c r="K26" s="31">
        <f>IF(SUMIFS(Data!$U:$U,Data!$A:$A,$B26,Data!$C:$C,K$1)=0,"",SUMIFS(Data!$U:$U,Data!$A:$A,$B26,Data!$C:$C,K$1))</f>
        <v>3.1623333333333332</v>
      </c>
      <c r="L26" s="31">
        <f>IF(SUMIFS(Data!$U:$U,Data!$A:$A,$B26,Data!$C:$C,L$1)=0,"",SUMIFS(Data!$U:$U,Data!$A:$A,$B26,Data!$C:$C,L$1))</f>
        <v>3.1985000000000001</v>
      </c>
      <c r="M26" s="31">
        <f>IF(SUMIFS(Data!$U:$U,Data!$A:$A,$B26,Data!$C:$C,M$1)=0,"",SUMIFS(Data!$U:$U,Data!$A:$A,$B26,Data!$C:$C,M$1))</f>
        <v>3.5476190476190474</v>
      </c>
      <c r="N26" s="31">
        <f>IF(SUMIFS(Data!$U:$U,Data!$A:$A,$B26,Data!$C:$C,N$1)=0,"",SUMIFS(Data!$U:$U,Data!$A:$A,$B26,Data!$C:$C,N$1))</f>
        <v>2.5703333333333331</v>
      </c>
      <c r="O26" s="31">
        <f>IF(SUMIFS(Data!$U:$U,Data!$A:$A,$B26,Data!$C:$C,O$1)=0,"",SUMIFS(Data!$U:$U,Data!$A:$A,$B26,Data!$C:$C,O$1))</f>
        <v>5.1583333333333332</v>
      </c>
      <c r="P26" s="31">
        <f>IF(SUMIFS(Data!$U:$U,Data!$A:$A,$B26,Data!$C:$C,P$1)=0,"",SUMIFS(Data!$U:$U,Data!$A:$A,$B26,Data!$C:$C,P$1))</f>
        <v>1.5688333333333333</v>
      </c>
      <c r="Q26" s="31">
        <f>IF(SUMIFS(Data!$U:$U,Data!$A:$A,$B26,Data!$C:$C,Q$1)=0,"",SUMIFS(Data!$U:$U,Data!$A:$A,$B26,Data!$C:$C,Q$1))</f>
        <v>1.4232142857142858</v>
      </c>
      <c r="R26" s="31">
        <f>VLOOKUP(B26,'#ligaSYR'!B:R,17,0)</f>
        <v>4</v>
      </c>
      <c r="S26" s="31">
        <f>SUM(C26:R26)</f>
        <v>50.93847619047618</v>
      </c>
      <c r="T26" s="31">
        <f>SUMIFS(Data!D:D,Data!A:A,B26)</f>
        <v>236.57</v>
      </c>
    </row>
    <row r="27" spans="1:20" ht="13" x14ac:dyDescent="0.3">
      <c r="A27" s="79">
        <v>26</v>
      </c>
      <c r="B27" s="30" t="s">
        <v>47</v>
      </c>
      <c r="C27" s="31">
        <f>IF(SUMIFS(Data!$U:$U,Data!$A:$A,$B27,Data!$C:$C,C$1)=0,"",SUMIFS(Data!$U:$U,Data!$A:$A,$B27,Data!$C:$C,C$1))</f>
        <v>3.7839285714285711</v>
      </c>
      <c r="D27" s="31">
        <f>IF(SUMIFS(Data!$U:$U,Data!$A:$A,$B27,Data!$C:$C,D$1)=0,"",SUMIFS(Data!$U:$U,Data!$A:$A,$B27,Data!$C:$C,D$1))</f>
        <v>4.25</v>
      </c>
      <c r="E27" s="31">
        <f>IF(SUMIFS(Data!$U:$U,Data!$A:$A,$B27,Data!$C:$C,E$1)=0,"",SUMIFS(Data!$U:$U,Data!$A:$A,$B27,Data!$C:$C,E$1))</f>
        <v>1.5</v>
      </c>
      <c r="F27" s="31" t="str">
        <f>IF(SUMIFS(Data!$U:$U,Data!$A:$A,$B27,Data!$C:$C,F$1)=0,"",SUMIFS(Data!$U:$U,Data!$A:$A,$B27,Data!$C:$C,F$1))</f>
        <v/>
      </c>
      <c r="G27" s="31">
        <f>IF(SUMIFS(Data!$U:$U,Data!$A:$A,$B27,Data!$C:$C,G$1)=0,"",SUMIFS(Data!$U:$U,Data!$A:$A,$B27,Data!$C:$C,G$1))</f>
        <v>2.611904761904762</v>
      </c>
      <c r="H27" s="31">
        <f>IF(SUMIFS(Data!$U:$U,Data!$A:$A,$B27,Data!$C:$C,H$1)=0,"",SUMIFS(Data!$U:$U,Data!$A:$A,$B27,Data!$C:$C,H$1))</f>
        <v>3.6875</v>
      </c>
      <c r="I27" s="31">
        <f>IF(SUMIFS(Data!$U:$U,Data!$A:$A,$B27,Data!$C:$C,I$1)=0,"",SUMIFS(Data!$U:$U,Data!$A:$A,$B27,Data!$C:$C,I$1))</f>
        <v>3.4059523809523808</v>
      </c>
      <c r="J27" s="31">
        <f>IF(SUMIFS(Data!$U:$U,Data!$A:$A,$B27,Data!$C:$C,J$1)=0,"",SUMIFS(Data!$U:$U,Data!$A:$A,$B27,Data!$C:$C,J$1))</f>
        <v>3.2755952380952378</v>
      </c>
      <c r="K27" s="31">
        <f>IF(SUMIFS(Data!$U:$U,Data!$A:$A,$B27,Data!$C:$C,K$1)=0,"",SUMIFS(Data!$U:$U,Data!$A:$A,$B27,Data!$C:$C,K$1))</f>
        <v>4.0625</v>
      </c>
      <c r="L27" s="31">
        <f>IF(SUMIFS(Data!$U:$U,Data!$A:$A,$B27,Data!$C:$C,L$1)=0,"",SUMIFS(Data!$U:$U,Data!$A:$A,$B27,Data!$C:$C,L$1))</f>
        <v>3.236904761904762</v>
      </c>
      <c r="M27" s="31">
        <f>IF(SUMIFS(Data!$U:$U,Data!$A:$A,$B27,Data!$C:$C,M$1)=0,"",SUMIFS(Data!$U:$U,Data!$A:$A,$B27,Data!$C:$C,M$1))</f>
        <v>3.7547619047619043</v>
      </c>
      <c r="N27" s="31">
        <f>IF(SUMIFS(Data!$U:$U,Data!$A:$A,$B27,Data!$C:$C,N$1)=0,"",SUMIFS(Data!$U:$U,Data!$A:$A,$B27,Data!$C:$C,N$1))</f>
        <v>3.4077380952380953</v>
      </c>
      <c r="O27" s="31">
        <f>IF(SUMIFS(Data!$U:$U,Data!$A:$A,$B27,Data!$C:$C,O$1)=0,"",SUMIFS(Data!$U:$U,Data!$A:$A,$B27,Data!$C:$C,O$1))</f>
        <v>3.4023809523809523</v>
      </c>
      <c r="P27" s="31">
        <f>IF(SUMIFS(Data!$U:$U,Data!$A:$A,$B27,Data!$C:$C,P$1)=0,"",SUMIFS(Data!$U:$U,Data!$A:$A,$B27,Data!$C:$C,P$1))</f>
        <v>2.5339285714285715</v>
      </c>
      <c r="Q27" s="31">
        <f>IF(SUMIFS(Data!$U:$U,Data!$A:$A,$B27,Data!$C:$C,Q$1)=0,"",SUMIFS(Data!$U:$U,Data!$A:$A,$B27,Data!$C:$C,Q$1))</f>
        <v>2.1016666666666666</v>
      </c>
      <c r="R27" s="31">
        <f>VLOOKUP(B27,'#ligaSYR'!B:R,17,0)</f>
        <v>4</v>
      </c>
      <c r="S27" s="31">
        <f>SUM(C27:R27)</f>
        <v>49.014761904761905</v>
      </c>
      <c r="T27" s="31">
        <f>SUMIFS(Data!D:D,Data!A:A,B27)</f>
        <v>178.07000000000002</v>
      </c>
    </row>
    <row r="28" spans="1:20" ht="13" x14ac:dyDescent="0.3">
      <c r="A28" s="79">
        <v>27</v>
      </c>
      <c r="B28" s="30" t="s">
        <v>356</v>
      </c>
      <c r="C28" s="31">
        <f>IF(SUMIFS(Data!$U:$U,Data!$A:$A,$B28,Data!$C:$C,C$1)=0,"",SUMIFS(Data!$U:$U,Data!$A:$A,$B28,Data!$C:$C,C$1))</f>
        <v>2.3154761904761907</v>
      </c>
      <c r="D28" s="31">
        <f>IF(SUMIFS(Data!$U:$U,Data!$A:$A,$B28,Data!$C:$C,D$1)=0,"",SUMIFS(Data!$U:$U,Data!$A:$A,$B28,Data!$C:$C,D$1))</f>
        <v>1.8607142857142858</v>
      </c>
      <c r="E28" s="31">
        <f>IF(SUMIFS(Data!$U:$U,Data!$A:$A,$B28,Data!$C:$C,E$1)=0,"",SUMIFS(Data!$U:$U,Data!$A:$A,$B28,Data!$C:$C,E$1))</f>
        <v>3.024142857142857</v>
      </c>
      <c r="F28" s="31">
        <f>IF(SUMIFS(Data!$U:$U,Data!$A:$A,$B28,Data!$C:$C,F$1)=0,"",SUMIFS(Data!$U:$U,Data!$A:$A,$B28,Data!$C:$C,F$1))</f>
        <v>2.8494047619047618</v>
      </c>
      <c r="G28" s="31">
        <f>IF(SUMIFS(Data!$U:$U,Data!$A:$A,$B28,Data!$C:$C,G$1)=0,"",SUMIFS(Data!$U:$U,Data!$A:$A,$B28,Data!$C:$C,G$1))</f>
        <v>3.5174761904761906</v>
      </c>
      <c r="H28" s="31">
        <f>IF(SUMIFS(Data!$U:$U,Data!$A:$A,$B28,Data!$C:$C,H$1)=0,"",SUMIFS(Data!$U:$U,Data!$A:$A,$B28,Data!$C:$C,H$1))</f>
        <v>2.7208333333333332</v>
      </c>
      <c r="I28" s="31">
        <f>IF(SUMIFS(Data!$U:$U,Data!$A:$A,$B28,Data!$C:$C,I$1)=0,"",SUMIFS(Data!$U:$U,Data!$A:$A,$B28,Data!$C:$C,I$1))</f>
        <v>2.5678571428571431</v>
      </c>
      <c r="J28" s="31">
        <f>IF(SUMIFS(Data!$U:$U,Data!$A:$A,$B28,Data!$C:$C,J$1)=0,"",SUMIFS(Data!$U:$U,Data!$A:$A,$B28,Data!$C:$C,J$1))</f>
        <v>3.7216666666666667</v>
      </c>
      <c r="K28" s="31">
        <f>IF(SUMIFS(Data!$U:$U,Data!$A:$A,$B28,Data!$C:$C,K$1)=0,"",SUMIFS(Data!$U:$U,Data!$A:$A,$B28,Data!$C:$C,K$1))</f>
        <v>3.3476666666666666</v>
      </c>
      <c r="L28" s="31">
        <f>IF(SUMIFS(Data!$U:$U,Data!$A:$A,$B28,Data!$C:$C,L$1)=0,"",SUMIFS(Data!$U:$U,Data!$A:$A,$B28,Data!$C:$C,L$1))</f>
        <v>2.4101190476190477</v>
      </c>
      <c r="M28" s="31">
        <f>IF(SUMIFS(Data!$U:$U,Data!$A:$A,$B28,Data!$C:$C,M$1)=0,"",SUMIFS(Data!$U:$U,Data!$A:$A,$B28,Data!$C:$C,M$1))</f>
        <v>3.3589285714285713</v>
      </c>
      <c r="N28" s="31">
        <f>IF(SUMIFS(Data!$U:$U,Data!$A:$A,$B28,Data!$C:$C,N$1)=0,"",SUMIFS(Data!$U:$U,Data!$A:$A,$B28,Data!$C:$C,N$1))</f>
        <v>3.1875</v>
      </c>
      <c r="O28" s="31">
        <f>IF(SUMIFS(Data!$U:$U,Data!$A:$A,$B28,Data!$C:$C,O$1)=0,"",SUMIFS(Data!$U:$U,Data!$A:$A,$B28,Data!$C:$C,O$1))</f>
        <v>3.5505</v>
      </c>
      <c r="P28" s="31">
        <f>IF(SUMIFS(Data!$U:$U,Data!$A:$A,$B28,Data!$C:$C,P$1)=0,"",SUMIFS(Data!$U:$U,Data!$A:$A,$B28,Data!$C:$C,P$1))</f>
        <v>2.8380952380952378</v>
      </c>
      <c r="Q28" s="31">
        <f>IF(SUMIFS(Data!$U:$U,Data!$A:$A,$B28,Data!$C:$C,Q$1)=0,"",SUMIFS(Data!$U:$U,Data!$A:$A,$B28,Data!$C:$C,Q$1))</f>
        <v>2.4261904761904765</v>
      </c>
      <c r="R28" s="31">
        <f>VLOOKUP(B28,'#ligaSYR'!B:R,17,0)</f>
        <v>5</v>
      </c>
      <c r="S28" s="31">
        <f>SUM(C28:R28)</f>
        <v>48.696571428571424</v>
      </c>
      <c r="T28" s="31">
        <f>SUMIFS(Data!D:D,Data!A:A,B28)</f>
        <v>190.87999999999997</v>
      </c>
    </row>
    <row r="29" spans="1:20" ht="13" x14ac:dyDescent="0.3">
      <c r="A29" s="79">
        <v>28</v>
      </c>
      <c r="B29" s="30" t="s">
        <v>137</v>
      </c>
      <c r="C29" s="31">
        <f>IF(SUMIFS(Data!$U:$U,Data!$A:$A,$B29,Data!$C:$C,C$1)=0,"",SUMIFS(Data!$U:$U,Data!$A:$A,$B29,Data!$C:$C,C$1))</f>
        <v>2.8494047619047618</v>
      </c>
      <c r="D29" s="31">
        <f>IF(SUMIFS(Data!$U:$U,Data!$A:$A,$B29,Data!$C:$C,D$1)=0,"",SUMIFS(Data!$U:$U,Data!$A:$A,$B29,Data!$C:$C,D$1))</f>
        <v>3.6723333333333334</v>
      </c>
      <c r="E29" s="31">
        <f>IF(SUMIFS(Data!$U:$U,Data!$A:$A,$B29,Data!$C:$C,E$1)=0,"",SUMIFS(Data!$U:$U,Data!$A:$A,$B29,Data!$C:$C,E$1))</f>
        <v>3.2164999999999999</v>
      </c>
      <c r="F29" s="31">
        <f>IF(SUMIFS(Data!$U:$U,Data!$A:$A,$B29,Data!$C:$C,F$1)=0,"",SUMIFS(Data!$U:$U,Data!$A:$A,$B29,Data!$C:$C,F$1))</f>
        <v>2.4195714285714285</v>
      </c>
      <c r="G29" s="31">
        <f>IF(SUMIFS(Data!$U:$U,Data!$A:$A,$B29,Data!$C:$C,G$1)=0,"",SUMIFS(Data!$U:$U,Data!$A:$A,$B29,Data!$C:$C,G$1))</f>
        <v>2.4624999999999999</v>
      </c>
      <c r="H29" s="31">
        <f>IF(SUMIFS(Data!$U:$U,Data!$A:$A,$B29,Data!$C:$C,H$1)=0,"",SUMIFS(Data!$U:$U,Data!$A:$A,$B29,Data!$C:$C,H$1))</f>
        <v>2.7285714285714286</v>
      </c>
      <c r="I29" s="31">
        <f>IF(SUMIFS(Data!$U:$U,Data!$A:$A,$B29,Data!$C:$C,I$1)=0,"",SUMIFS(Data!$U:$U,Data!$A:$A,$B29,Data!$C:$C,I$1))</f>
        <v>3.1672619047619048</v>
      </c>
      <c r="J29" s="31">
        <f>IF(SUMIFS(Data!$U:$U,Data!$A:$A,$B29,Data!$C:$C,J$1)=0,"",SUMIFS(Data!$U:$U,Data!$A:$A,$B29,Data!$C:$C,J$1))</f>
        <v>1.5</v>
      </c>
      <c r="K29" s="31">
        <f>IF(SUMIFS(Data!$U:$U,Data!$A:$A,$B29,Data!$C:$C,K$1)=0,"",SUMIFS(Data!$U:$U,Data!$A:$A,$B29,Data!$C:$C,K$1))</f>
        <v>2.703095238095238</v>
      </c>
      <c r="L29" s="31">
        <f>IF(SUMIFS(Data!$U:$U,Data!$A:$A,$B29,Data!$C:$C,L$1)=0,"",SUMIFS(Data!$U:$U,Data!$A:$A,$B29,Data!$C:$C,L$1))</f>
        <v>3.3056904761904762</v>
      </c>
      <c r="M29" s="31">
        <f>IF(SUMIFS(Data!$U:$U,Data!$A:$A,$B29,Data!$C:$C,M$1)=0,"",SUMIFS(Data!$U:$U,Data!$A:$A,$B29,Data!$C:$C,M$1))</f>
        <v>3.301190476190476</v>
      </c>
      <c r="N29" s="31">
        <f>IF(SUMIFS(Data!$U:$U,Data!$A:$A,$B29,Data!$C:$C,N$1)=0,"",SUMIFS(Data!$U:$U,Data!$A:$A,$B29,Data!$C:$C,N$1))</f>
        <v>2.4827380952380951</v>
      </c>
      <c r="O29" s="31">
        <f>IF(SUMIFS(Data!$U:$U,Data!$A:$A,$B29,Data!$C:$C,O$1)=0,"",SUMIFS(Data!$U:$U,Data!$A:$A,$B29,Data!$C:$C,O$1))</f>
        <v>2.9708333333333332</v>
      </c>
      <c r="P29" s="31">
        <f>IF(SUMIFS(Data!$U:$U,Data!$A:$A,$B29,Data!$C:$C,P$1)=0,"",SUMIFS(Data!$U:$U,Data!$A:$A,$B29,Data!$C:$C,P$1))</f>
        <v>2.6499285714285716</v>
      </c>
      <c r="Q29" s="31">
        <f>IF(SUMIFS(Data!$U:$U,Data!$A:$A,$B29,Data!$C:$C,Q$1)=0,"",SUMIFS(Data!$U:$U,Data!$A:$A,$B29,Data!$C:$C,Q$1))</f>
        <v>3.7843333333333335</v>
      </c>
      <c r="R29" s="31">
        <f>VLOOKUP(B29,'#ligaSYR'!B:R,17,0)</f>
        <v>5</v>
      </c>
      <c r="S29" s="31">
        <f>SUM(C29:R29)</f>
        <v>48.213952380952385</v>
      </c>
      <c r="T29" s="31">
        <f>SUMIFS(Data!D:D,Data!A:A,B29)</f>
        <v>188.03</v>
      </c>
    </row>
    <row r="30" spans="1:20" ht="13" x14ac:dyDescent="0.3">
      <c r="A30" s="79">
        <v>29</v>
      </c>
      <c r="B30" s="30" t="s">
        <v>247</v>
      </c>
      <c r="C30" s="31">
        <f>IF(SUMIFS(Data!$U:$U,Data!$A:$A,$B30,Data!$C:$C,C$1)=0,"",SUMIFS(Data!$U:$U,Data!$A:$A,$B30,Data!$C:$C,C$1))</f>
        <v>2.4386904761904762</v>
      </c>
      <c r="D30" s="31">
        <f>IF(SUMIFS(Data!$U:$U,Data!$A:$A,$B30,Data!$C:$C,D$1)=0,"",SUMIFS(Data!$U:$U,Data!$A:$A,$B30,Data!$C:$C,D$1))</f>
        <v>2.2053571428571428</v>
      </c>
      <c r="E30" s="31">
        <f>IF(SUMIFS(Data!$U:$U,Data!$A:$A,$B30,Data!$C:$C,E$1)=0,"",SUMIFS(Data!$U:$U,Data!$A:$A,$B30,Data!$C:$C,E$1))</f>
        <v>2.3988095238095237</v>
      </c>
      <c r="F30" s="31">
        <f>IF(SUMIFS(Data!$U:$U,Data!$A:$A,$B30,Data!$C:$C,F$1)=0,"",SUMIFS(Data!$U:$U,Data!$A:$A,$B30,Data!$C:$C,F$1))</f>
        <v>2.956547619047619</v>
      </c>
      <c r="G30" s="31">
        <f>IF(SUMIFS(Data!$U:$U,Data!$A:$A,$B30,Data!$C:$C,G$1)=0,"",SUMIFS(Data!$U:$U,Data!$A:$A,$B30,Data!$C:$C,G$1))</f>
        <v>3.6711666666666667</v>
      </c>
      <c r="H30" s="31">
        <f>IF(SUMIFS(Data!$U:$U,Data!$A:$A,$B30,Data!$C:$C,H$1)=0,"",SUMIFS(Data!$U:$U,Data!$A:$A,$B30,Data!$C:$C,H$1))</f>
        <v>1.6035714285714284</v>
      </c>
      <c r="I30" s="31">
        <f>IF(SUMIFS(Data!$U:$U,Data!$A:$A,$B30,Data!$C:$C,I$1)=0,"",SUMIFS(Data!$U:$U,Data!$A:$A,$B30,Data!$C:$C,I$1))</f>
        <v>3.3873333333333333</v>
      </c>
      <c r="J30" s="31">
        <f>IF(SUMIFS(Data!$U:$U,Data!$A:$A,$B30,Data!$C:$C,J$1)=0,"",SUMIFS(Data!$U:$U,Data!$A:$A,$B30,Data!$C:$C,J$1))</f>
        <v>3.5380000000000003</v>
      </c>
      <c r="K30" s="31">
        <f>IF(SUMIFS(Data!$U:$U,Data!$A:$A,$B30,Data!$C:$C,K$1)=0,"",SUMIFS(Data!$U:$U,Data!$A:$A,$B30,Data!$C:$C,K$1))</f>
        <v>3.0811666666666668</v>
      </c>
      <c r="L30" s="31">
        <f>IF(SUMIFS(Data!$U:$U,Data!$A:$A,$B30,Data!$C:$C,L$1)=0,"",SUMIFS(Data!$U:$U,Data!$A:$A,$B30,Data!$C:$C,L$1))</f>
        <v>5.1843333333333339</v>
      </c>
      <c r="M30" s="31">
        <f>IF(SUMIFS(Data!$U:$U,Data!$A:$A,$B30,Data!$C:$C,M$1)=0,"",SUMIFS(Data!$U:$U,Data!$A:$A,$B30,Data!$C:$C,M$1))</f>
        <v>2.9319523809523806</v>
      </c>
      <c r="N30" s="31">
        <f>IF(SUMIFS(Data!$U:$U,Data!$A:$A,$B30,Data!$C:$C,N$1)=0,"",SUMIFS(Data!$U:$U,Data!$A:$A,$B30,Data!$C:$C,N$1))</f>
        <v>2.325595238095238</v>
      </c>
      <c r="O30" s="31">
        <f>IF(SUMIFS(Data!$U:$U,Data!$A:$A,$B30,Data!$C:$C,O$1)=0,"",SUMIFS(Data!$U:$U,Data!$A:$A,$B30,Data!$C:$C,O$1))</f>
        <v>4.7013333333333334</v>
      </c>
      <c r="P30" s="31">
        <f>IF(SUMIFS(Data!$U:$U,Data!$A:$A,$B30,Data!$C:$C,P$1)=0,"",SUMIFS(Data!$U:$U,Data!$A:$A,$B30,Data!$C:$C,P$1))</f>
        <v>1.9900238095238094</v>
      </c>
      <c r="Q30" s="31">
        <f>IF(SUMIFS(Data!$U:$U,Data!$A:$A,$B30,Data!$C:$C,Q$1)=0,"",SUMIFS(Data!$U:$U,Data!$A:$A,$B30,Data!$C:$C,Q$1))</f>
        <v>2.7959999999999998</v>
      </c>
      <c r="R30" s="31">
        <f>VLOOKUP(B30,'#ligaSYR'!B:R,17,0)</f>
        <v>3</v>
      </c>
      <c r="S30" s="31">
        <f>SUM(C30:R30)</f>
        <v>48.209880952380956</v>
      </c>
      <c r="T30" s="31">
        <f>SUMIFS(Data!D:D,Data!A:A,B30)</f>
        <v>308.47999999999996</v>
      </c>
    </row>
    <row r="31" spans="1:20" ht="13" x14ac:dyDescent="0.3">
      <c r="A31" s="79">
        <v>30</v>
      </c>
      <c r="B31" s="30" t="s">
        <v>357</v>
      </c>
      <c r="C31" s="31">
        <f>IF(SUMIFS(Data!$U:$U,Data!$A:$A,$B31,Data!$C:$C,C$1)=0,"",SUMIFS(Data!$U:$U,Data!$A:$A,$B31,Data!$C:$C,C$1))</f>
        <v>2.8154761904761907</v>
      </c>
      <c r="D31" s="31">
        <f>IF(SUMIFS(Data!$U:$U,Data!$A:$A,$B31,Data!$C:$C,D$1)=0,"",SUMIFS(Data!$U:$U,Data!$A:$A,$B31,Data!$C:$C,D$1))</f>
        <v>3.5665238095238094</v>
      </c>
      <c r="E31" s="31">
        <f>IF(SUMIFS(Data!$U:$U,Data!$A:$A,$B31,Data!$C:$C,E$1)=0,"",SUMIFS(Data!$U:$U,Data!$A:$A,$B31,Data!$C:$C,E$1))</f>
        <v>3.0386666666666664</v>
      </c>
      <c r="F31" s="31">
        <f>IF(SUMIFS(Data!$U:$U,Data!$A:$A,$B31,Data!$C:$C,F$1)=0,"",SUMIFS(Data!$U:$U,Data!$A:$A,$B31,Data!$C:$C,F$1))</f>
        <v>2.4323095238095238</v>
      </c>
      <c r="G31" s="31">
        <f>IF(SUMIFS(Data!$U:$U,Data!$A:$A,$B31,Data!$C:$C,G$1)=0,"",SUMIFS(Data!$U:$U,Data!$A:$A,$B31,Data!$C:$C,G$1))</f>
        <v>3.7936666666666667</v>
      </c>
      <c r="H31" s="31">
        <f>IF(SUMIFS(Data!$U:$U,Data!$A:$A,$B31,Data!$C:$C,H$1)=0,"",SUMIFS(Data!$U:$U,Data!$A:$A,$B31,Data!$C:$C,H$1))</f>
        <v>2.1136904761904765</v>
      </c>
      <c r="I31" s="31">
        <f>IF(SUMIFS(Data!$U:$U,Data!$A:$A,$B31,Data!$C:$C,I$1)=0,"",SUMIFS(Data!$U:$U,Data!$A:$A,$B31,Data!$C:$C,I$1))</f>
        <v>3.6550000000000002</v>
      </c>
      <c r="J31" s="31">
        <f>IF(SUMIFS(Data!$U:$U,Data!$A:$A,$B31,Data!$C:$C,J$1)=0,"",SUMIFS(Data!$U:$U,Data!$A:$A,$B31,Data!$C:$C,J$1))</f>
        <v>3.9</v>
      </c>
      <c r="K31" s="31">
        <f>IF(SUMIFS(Data!$U:$U,Data!$A:$A,$B31,Data!$C:$C,K$1)=0,"",SUMIFS(Data!$U:$U,Data!$A:$A,$B31,Data!$C:$C,K$1))</f>
        <v>2.1726190476190474</v>
      </c>
      <c r="L31" s="31">
        <f>IF(SUMIFS(Data!$U:$U,Data!$A:$A,$B31,Data!$C:$C,L$1)=0,"",SUMIFS(Data!$U:$U,Data!$A:$A,$B31,Data!$C:$C,L$1))</f>
        <v>2.5892857142857144</v>
      </c>
      <c r="M31" s="31">
        <f>IF(SUMIFS(Data!$U:$U,Data!$A:$A,$B31,Data!$C:$C,M$1)=0,"",SUMIFS(Data!$U:$U,Data!$A:$A,$B31,Data!$C:$C,M$1))</f>
        <v>2.6791666666666667</v>
      </c>
      <c r="N31" s="31">
        <f>IF(SUMIFS(Data!$U:$U,Data!$A:$A,$B31,Data!$C:$C,N$1)=0,"",SUMIFS(Data!$U:$U,Data!$A:$A,$B31,Data!$C:$C,N$1))</f>
        <v>4.4303333333333335</v>
      </c>
      <c r="O31" s="31">
        <f>IF(SUMIFS(Data!$U:$U,Data!$A:$A,$B31,Data!$C:$C,O$1)=0,"",SUMIFS(Data!$U:$U,Data!$A:$A,$B31,Data!$C:$C,O$1))</f>
        <v>1.8571428571428572</v>
      </c>
      <c r="P31" s="31">
        <f>IF(SUMIFS(Data!$U:$U,Data!$A:$A,$B31,Data!$C:$C,P$1)=0,"",SUMIFS(Data!$U:$U,Data!$A:$A,$B31,Data!$C:$C,P$1))</f>
        <v>2.4710000000000001</v>
      </c>
      <c r="Q31" s="31">
        <f>IF(SUMIFS(Data!$U:$U,Data!$A:$A,$B31,Data!$C:$C,Q$1)=0,"",SUMIFS(Data!$U:$U,Data!$A:$A,$B31,Data!$C:$C,Q$1))</f>
        <v>1.9340952380952379</v>
      </c>
      <c r="R31" s="31">
        <f>VLOOKUP(B31,'#ligaSYR'!B:R,17,0)</f>
        <v>4</v>
      </c>
      <c r="S31" s="31">
        <f>SUM(C31:R31)</f>
        <v>47.448976190476188</v>
      </c>
      <c r="T31" s="31">
        <f>SUMIFS(Data!D:D,Data!A:A,B31)</f>
        <v>230.99</v>
      </c>
    </row>
    <row r="32" spans="1:20" ht="13" x14ac:dyDescent="0.3">
      <c r="A32" s="79">
        <v>31</v>
      </c>
      <c r="B32" s="30" t="s">
        <v>374</v>
      </c>
      <c r="C32" s="31">
        <f>IF(SUMIFS(Data!$U:$U,Data!$A:$A,$B32,Data!$C:$C,C$1)=0,"",SUMIFS(Data!$U:$U,Data!$A:$A,$B32,Data!$C:$C,C$1))</f>
        <v>2.0785714285714283</v>
      </c>
      <c r="D32" s="31">
        <f>IF(SUMIFS(Data!$U:$U,Data!$A:$A,$B32,Data!$C:$C,D$1)=0,"",SUMIFS(Data!$U:$U,Data!$A:$A,$B32,Data!$C:$C,D$1))</f>
        <v>4.711904761904762</v>
      </c>
      <c r="E32" s="31">
        <f>IF(SUMIFS(Data!$U:$U,Data!$A:$A,$B32,Data!$C:$C,E$1)=0,"",SUMIFS(Data!$U:$U,Data!$A:$A,$B32,Data!$C:$C,E$1))</f>
        <v>3.2087619047619049</v>
      </c>
      <c r="F32" s="31">
        <f>IF(SUMIFS(Data!$U:$U,Data!$A:$A,$B32,Data!$C:$C,F$1)=0,"",SUMIFS(Data!$U:$U,Data!$A:$A,$B32,Data!$C:$C,F$1))</f>
        <v>3.592166666666667</v>
      </c>
      <c r="G32" s="31">
        <f>IF(SUMIFS(Data!$U:$U,Data!$A:$A,$B32,Data!$C:$C,G$1)=0,"",SUMIFS(Data!$U:$U,Data!$A:$A,$B32,Data!$C:$C,G$1))</f>
        <v>3.0444999999999998</v>
      </c>
      <c r="H32" s="31">
        <f>IF(SUMIFS(Data!$U:$U,Data!$A:$A,$B32,Data!$C:$C,H$1)=0,"",SUMIFS(Data!$U:$U,Data!$A:$A,$B32,Data!$C:$C,H$1))</f>
        <v>3.2142857142857144</v>
      </c>
      <c r="I32" s="31">
        <f>IF(SUMIFS(Data!$U:$U,Data!$A:$A,$B32,Data!$C:$C,I$1)=0,"",SUMIFS(Data!$U:$U,Data!$A:$A,$B32,Data!$C:$C,I$1))</f>
        <v>5.0422619047619044</v>
      </c>
      <c r="J32" s="31">
        <f>IF(SUMIFS(Data!$U:$U,Data!$A:$A,$B32,Data!$C:$C,J$1)=0,"",SUMIFS(Data!$U:$U,Data!$A:$A,$B32,Data!$C:$C,J$1))</f>
        <v>3.5550000000000002</v>
      </c>
      <c r="K32" s="31">
        <f>IF(SUMIFS(Data!$U:$U,Data!$A:$A,$B32,Data!$C:$C,K$1)=0,"",SUMIFS(Data!$U:$U,Data!$A:$A,$B32,Data!$C:$C,K$1))</f>
        <v>4.2046666666666663</v>
      </c>
      <c r="L32" s="31" t="str">
        <f>IF(SUMIFS(Data!$U:$U,Data!$A:$A,$B32,Data!$C:$C,L$1)=0,"",SUMIFS(Data!$U:$U,Data!$A:$A,$B32,Data!$C:$C,L$1))</f>
        <v/>
      </c>
      <c r="M32" s="31">
        <f>IF(SUMIFS(Data!$U:$U,Data!$A:$A,$B32,Data!$C:$C,M$1)=0,"",SUMIFS(Data!$U:$U,Data!$A:$A,$B32,Data!$C:$C,M$1))</f>
        <v>10.485714285714286</v>
      </c>
      <c r="N32" s="31" t="str">
        <f>IF(SUMIFS(Data!$U:$U,Data!$A:$A,$B32,Data!$C:$C,N$1)=0,"",SUMIFS(Data!$U:$U,Data!$A:$A,$B32,Data!$C:$C,N$1))</f>
        <v/>
      </c>
      <c r="O32" s="31" t="str">
        <f>IF(SUMIFS(Data!$U:$U,Data!$A:$A,$B32,Data!$C:$C,O$1)=0,"",SUMIFS(Data!$U:$U,Data!$A:$A,$B32,Data!$C:$C,O$1))</f>
        <v/>
      </c>
      <c r="P32" s="31" t="str">
        <f>IF(SUMIFS(Data!$U:$U,Data!$A:$A,$B32,Data!$C:$C,P$1)=0,"",SUMIFS(Data!$U:$U,Data!$A:$A,$B32,Data!$C:$C,P$1))</f>
        <v/>
      </c>
      <c r="Q32" s="31" t="str">
        <f>IF(SUMIFS(Data!$U:$U,Data!$A:$A,$B32,Data!$C:$C,Q$1)=0,"",SUMIFS(Data!$U:$U,Data!$A:$A,$B32,Data!$C:$C,Q$1))</f>
        <v/>
      </c>
      <c r="R32" s="31">
        <f>VLOOKUP(B32,'#ligaSYR'!B:R,17,0)</f>
        <v>3</v>
      </c>
      <c r="S32" s="31">
        <f>SUM(C32:R32)</f>
        <v>46.137833333333333</v>
      </c>
      <c r="T32" s="31">
        <f>SUMIFS(Data!D:D,Data!A:A,B32)</f>
        <v>154.34</v>
      </c>
    </row>
    <row r="33" spans="1:20" ht="13" x14ac:dyDescent="0.3">
      <c r="A33" s="79">
        <v>32</v>
      </c>
      <c r="B33" s="30" t="s">
        <v>122</v>
      </c>
      <c r="C33" s="31">
        <f>IF(SUMIFS(Data!$U:$U,Data!$A:$A,$B33,Data!$C:$C,C$1)=0,"",SUMIFS(Data!$U:$U,Data!$A:$A,$B33,Data!$C:$C,C$1))</f>
        <v>2.6244047619047617</v>
      </c>
      <c r="D33" s="31">
        <f>IF(SUMIFS(Data!$U:$U,Data!$A:$A,$B33,Data!$C:$C,D$1)=0,"",SUMIFS(Data!$U:$U,Data!$A:$A,$B33,Data!$C:$C,D$1))</f>
        <v>2.5676666666666668</v>
      </c>
      <c r="E33" s="31">
        <f>IF(SUMIFS(Data!$U:$U,Data!$A:$A,$B33,Data!$C:$C,E$1)=0,"",SUMIFS(Data!$U:$U,Data!$A:$A,$B33,Data!$C:$C,E$1))</f>
        <v>3.5573333333333332</v>
      </c>
      <c r="F33" s="31">
        <f>IF(SUMIFS(Data!$U:$U,Data!$A:$A,$B33,Data!$C:$C,F$1)=0,"",SUMIFS(Data!$U:$U,Data!$A:$A,$B33,Data!$C:$C,F$1))</f>
        <v>2.1636904761904763</v>
      </c>
      <c r="G33" s="31">
        <f>IF(SUMIFS(Data!$U:$U,Data!$A:$A,$B33,Data!$C:$C,G$1)=0,"",SUMIFS(Data!$U:$U,Data!$A:$A,$B33,Data!$C:$C,G$1))</f>
        <v>2.8261904761904759</v>
      </c>
      <c r="H33" s="31">
        <f>IF(SUMIFS(Data!$U:$U,Data!$A:$A,$B33,Data!$C:$C,H$1)=0,"",SUMIFS(Data!$U:$U,Data!$A:$A,$B33,Data!$C:$C,H$1))</f>
        <v>3.2017619047619048</v>
      </c>
      <c r="I33" s="31">
        <f>IF(SUMIFS(Data!$U:$U,Data!$A:$A,$B33,Data!$C:$C,I$1)=0,"",SUMIFS(Data!$U:$U,Data!$A:$A,$B33,Data!$C:$C,I$1))</f>
        <v>2.174404761904762</v>
      </c>
      <c r="J33" s="31">
        <f>IF(SUMIFS(Data!$U:$U,Data!$A:$A,$B33,Data!$C:$C,J$1)=0,"",SUMIFS(Data!$U:$U,Data!$A:$A,$B33,Data!$C:$C,J$1))</f>
        <v>3.6695000000000002</v>
      </c>
      <c r="K33" s="31">
        <f>IF(SUMIFS(Data!$U:$U,Data!$A:$A,$B33,Data!$C:$C,K$1)=0,"",SUMIFS(Data!$U:$U,Data!$A:$A,$B33,Data!$C:$C,K$1))</f>
        <v>2.8016428571428569</v>
      </c>
      <c r="L33" s="31">
        <f>IF(SUMIFS(Data!$U:$U,Data!$A:$A,$B33,Data!$C:$C,L$1)=0,"",SUMIFS(Data!$U:$U,Data!$A:$A,$B33,Data!$C:$C,L$1))</f>
        <v>3.1609761904761906</v>
      </c>
      <c r="M33" s="31">
        <f>IF(SUMIFS(Data!$U:$U,Data!$A:$A,$B33,Data!$C:$C,M$1)=0,"",SUMIFS(Data!$U:$U,Data!$A:$A,$B33,Data!$C:$C,M$1))</f>
        <v>3.75</v>
      </c>
      <c r="N33" s="31">
        <f>IF(SUMIFS(Data!$U:$U,Data!$A:$A,$B33,Data!$C:$C,N$1)=0,"",SUMIFS(Data!$U:$U,Data!$A:$A,$B33,Data!$C:$C,N$1))</f>
        <v>2.9044285714285714</v>
      </c>
      <c r="O33" s="31">
        <f>IF(SUMIFS(Data!$U:$U,Data!$A:$A,$B33,Data!$C:$C,O$1)=0,"",SUMIFS(Data!$U:$U,Data!$A:$A,$B33,Data!$C:$C,O$1))</f>
        <v>1.3794761904761903</v>
      </c>
      <c r="P33" s="31">
        <f>IF(SUMIFS(Data!$U:$U,Data!$A:$A,$B33,Data!$C:$C,P$1)=0,"",SUMIFS(Data!$U:$U,Data!$A:$A,$B33,Data!$C:$C,P$1))</f>
        <v>2.6833333333333331</v>
      </c>
      <c r="Q33" s="31">
        <f>IF(SUMIFS(Data!$U:$U,Data!$A:$A,$B33,Data!$C:$C,Q$1)=0,"",SUMIFS(Data!$U:$U,Data!$A:$A,$B33,Data!$C:$C,Q$1))</f>
        <v>1.6260714285714286</v>
      </c>
      <c r="R33" s="31">
        <f>VLOOKUP(B33,'#ligaSYR'!B:R,17,0)</f>
        <v>4</v>
      </c>
      <c r="S33" s="31">
        <f>SUM(C33:R33)</f>
        <v>45.09088095238095</v>
      </c>
      <c r="T33" s="31">
        <f>SUMIFS(Data!D:D,Data!A:A,B33)</f>
        <v>212.65</v>
      </c>
    </row>
    <row r="34" spans="1:20" ht="13" x14ac:dyDescent="0.3">
      <c r="A34" s="79">
        <v>33</v>
      </c>
      <c r="B34" s="30" t="s">
        <v>59</v>
      </c>
      <c r="C34" s="31">
        <f>IF(SUMIFS(Data!$U:$U,Data!$A:$A,$B34,Data!$C:$C,C$1)=0,"",SUMIFS(Data!$U:$U,Data!$A:$A,$B34,Data!$C:$C,C$1))</f>
        <v>1.5</v>
      </c>
      <c r="D34" s="31">
        <f>IF(SUMIFS(Data!$U:$U,Data!$A:$A,$B34,Data!$C:$C,D$1)=0,"",SUMIFS(Data!$U:$U,Data!$A:$A,$B34,Data!$C:$C,D$1))</f>
        <v>1.7267857142857141</v>
      </c>
      <c r="E34" s="31">
        <f>IF(SUMIFS(Data!$U:$U,Data!$A:$A,$B34,Data!$C:$C,E$1)=0,"",SUMIFS(Data!$U:$U,Data!$A:$A,$B34,Data!$C:$C,E$1))</f>
        <v>2.1541666666666668</v>
      </c>
      <c r="F34" s="31">
        <f>IF(SUMIFS(Data!$U:$U,Data!$A:$A,$B34,Data!$C:$C,F$1)=0,"",SUMIFS(Data!$U:$U,Data!$A:$A,$B34,Data!$C:$C,F$1))</f>
        <v>3.3267857142857142</v>
      </c>
      <c r="G34" s="31">
        <f>IF(SUMIFS(Data!$U:$U,Data!$A:$A,$B34,Data!$C:$C,G$1)=0,"",SUMIFS(Data!$U:$U,Data!$A:$A,$B34,Data!$C:$C,G$1))</f>
        <v>2.8023809523809522</v>
      </c>
      <c r="H34" s="31">
        <f>IF(SUMIFS(Data!$U:$U,Data!$A:$A,$B34,Data!$C:$C,H$1)=0,"",SUMIFS(Data!$U:$U,Data!$A:$A,$B34,Data!$C:$C,H$1))</f>
        <v>4.0744047619047619</v>
      </c>
      <c r="I34" s="31">
        <f>IF(SUMIFS(Data!$U:$U,Data!$A:$A,$B34,Data!$C:$C,I$1)=0,"",SUMIFS(Data!$U:$U,Data!$A:$A,$B34,Data!$C:$C,I$1))</f>
        <v>2.6951666666666667</v>
      </c>
      <c r="J34" s="31">
        <f>IF(SUMIFS(Data!$U:$U,Data!$A:$A,$B34,Data!$C:$C,J$1)=0,"",SUMIFS(Data!$U:$U,Data!$A:$A,$B34,Data!$C:$C,J$1))</f>
        <v>3.3482142857142856</v>
      </c>
      <c r="K34" s="31">
        <f>IF(SUMIFS(Data!$U:$U,Data!$A:$A,$B34,Data!$C:$C,K$1)=0,"",SUMIFS(Data!$U:$U,Data!$A:$A,$B34,Data!$C:$C,K$1))</f>
        <v>1.9812619047619047</v>
      </c>
      <c r="L34" s="31">
        <f>IF(SUMIFS(Data!$U:$U,Data!$A:$A,$B34,Data!$C:$C,L$1)=0,"",SUMIFS(Data!$U:$U,Data!$A:$A,$B34,Data!$C:$C,L$1))</f>
        <v>2.4538809523809522</v>
      </c>
      <c r="M34" s="31">
        <f>IF(SUMIFS(Data!$U:$U,Data!$A:$A,$B34,Data!$C:$C,M$1)=0,"",SUMIFS(Data!$U:$U,Data!$A:$A,$B34,Data!$C:$C,M$1))</f>
        <v>4.3513333333333337</v>
      </c>
      <c r="N34" s="31">
        <f>IF(SUMIFS(Data!$U:$U,Data!$A:$A,$B34,Data!$C:$C,N$1)=0,"",SUMIFS(Data!$U:$U,Data!$A:$A,$B34,Data!$C:$C,N$1))</f>
        <v>3.8885952380952382</v>
      </c>
      <c r="O34" s="31">
        <f>IF(SUMIFS(Data!$U:$U,Data!$A:$A,$B34,Data!$C:$C,O$1)=0,"",SUMIFS(Data!$U:$U,Data!$A:$A,$B34,Data!$C:$C,O$1))</f>
        <v>2.3601190476190474</v>
      </c>
      <c r="P34" s="31" t="str">
        <f>IF(SUMIFS(Data!$U:$U,Data!$A:$A,$B34,Data!$C:$C,P$1)=0,"",SUMIFS(Data!$U:$U,Data!$A:$A,$B34,Data!$C:$C,P$1))</f>
        <v/>
      </c>
      <c r="Q34" s="31">
        <f>IF(SUMIFS(Data!$U:$U,Data!$A:$A,$B34,Data!$C:$C,Q$1)=0,"",SUMIFS(Data!$U:$U,Data!$A:$A,$B34,Data!$C:$C,Q$1))</f>
        <v>3.6874761904761906</v>
      </c>
      <c r="R34" s="31">
        <f>VLOOKUP(B34,'#ligaSYR'!B:R,17,0)</f>
        <v>4</v>
      </c>
      <c r="S34" s="31">
        <f>SUM(C34:R34)</f>
        <v>44.350571428571428</v>
      </c>
      <c r="T34" s="31">
        <f>SUMIFS(Data!D:D,Data!A:A,B34)</f>
        <v>162.49000000000004</v>
      </c>
    </row>
    <row r="35" spans="1:20" ht="13" x14ac:dyDescent="0.3">
      <c r="A35" s="79">
        <v>34</v>
      </c>
      <c r="B35" s="30" t="s">
        <v>133</v>
      </c>
      <c r="C35" s="31">
        <f>IF(SUMIFS(Data!$U:$U,Data!$A:$A,$B35,Data!$C:$C,C$1)=0,"",SUMIFS(Data!$U:$U,Data!$A:$A,$B35,Data!$C:$C,C$1))</f>
        <v>4.9482142857142861</v>
      </c>
      <c r="D35" s="31">
        <f>IF(SUMIFS(Data!$U:$U,Data!$A:$A,$B35,Data!$C:$C,D$1)=0,"",SUMIFS(Data!$U:$U,Data!$A:$A,$B35,Data!$C:$C,D$1))</f>
        <v>4.9000000000000004</v>
      </c>
      <c r="E35" s="31">
        <f>IF(SUMIFS(Data!$U:$U,Data!$A:$A,$B35,Data!$C:$C,E$1)=0,"",SUMIFS(Data!$U:$U,Data!$A:$A,$B35,Data!$C:$C,E$1))</f>
        <v>5.6116666666666672</v>
      </c>
      <c r="F35" s="31">
        <f>IF(SUMIFS(Data!$U:$U,Data!$A:$A,$B35,Data!$C:$C,F$1)=0,"",SUMIFS(Data!$U:$U,Data!$A:$A,$B35,Data!$C:$C,F$1))</f>
        <v>4.6820000000000004</v>
      </c>
      <c r="G35" s="31">
        <f>IF(SUMIFS(Data!$U:$U,Data!$A:$A,$B35,Data!$C:$C,G$1)=0,"",SUMIFS(Data!$U:$U,Data!$A:$A,$B35,Data!$C:$C,G$1))</f>
        <v>3.7464285714285714</v>
      </c>
      <c r="H35" s="31">
        <f>IF(SUMIFS(Data!$U:$U,Data!$A:$A,$B35,Data!$C:$C,H$1)=0,"",SUMIFS(Data!$U:$U,Data!$A:$A,$B35,Data!$C:$C,H$1))</f>
        <v>4.9000000000000004</v>
      </c>
      <c r="I35" s="31">
        <f>IF(SUMIFS(Data!$U:$U,Data!$A:$A,$B35,Data!$C:$C,I$1)=0,"",SUMIFS(Data!$U:$U,Data!$A:$A,$B35,Data!$C:$C,I$1))</f>
        <v>3.5893333333333333</v>
      </c>
      <c r="J35" s="31">
        <f>IF(SUMIFS(Data!$U:$U,Data!$A:$A,$B35,Data!$C:$C,J$1)=0,"",SUMIFS(Data!$U:$U,Data!$A:$A,$B35,Data!$C:$C,J$1))</f>
        <v>3.4160714285714282</v>
      </c>
      <c r="K35" s="31">
        <f>IF(SUMIFS(Data!$U:$U,Data!$A:$A,$B35,Data!$C:$C,K$1)=0,"",SUMIFS(Data!$U:$U,Data!$A:$A,$B35,Data!$C:$C,K$1))</f>
        <v>2.3708333333333331</v>
      </c>
      <c r="L35" s="31">
        <f>IF(SUMIFS(Data!$U:$U,Data!$A:$A,$B35,Data!$C:$C,L$1)=0,"",SUMIFS(Data!$U:$U,Data!$A:$A,$B35,Data!$C:$C,L$1))</f>
        <v>2.7392857142857143</v>
      </c>
      <c r="M35" s="31" t="str">
        <f>IF(SUMIFS(Data!$U:$U,Data!$A:$A,$B35,Data!$C:$C,M$1)=0,"",SUMIFS(Data!$U:$U,Data!$A:$A,$B35,Data!$C:$C,M$1))</f>
        <v/>
      </c>
      <c r="N35" s="31" t="str">
        <f>IF(SUMIFS(Data!$U:$U,Data!$A:$A,$B35,Data!$C:$C,N$1)=0,"",SUMIFS(Data!$U:$U,Data!$A:$A,$B35,Data!$C:$C,N$1))</f>
        <v/>
      </c>
      <c r="O35" s="31" t="str">
        <f>IF(SUMIFS(Data!$U:$U,Data!$A:$A,$B35,Data!$C:$C,O$1)=0,"",SUMIFS(Data!$U:$U,Data!$A:$A,$B35,Data!$C:$C,O$1))</f>
        <v/>
      </c>
      <c r="P35" s="31" t="str">
        <f>IF(SUMIFS(Data!$U:$U,Data!$A:$A,$B35,Data!$C:$C,P$1)=0,"",SUMIFS(Data!$U:$U,Data!$A:$A,$B35,Data!$C:$C,P$1))</f>
        <v/>
      </c>
      <c r="Q35" s="31" t="str">
        <f>IF(SUMIFS(Data!$U:$U,Data!$A:$A,$B35,Data!$C:$C,Q$1)=0,"",SUMIFS(Data!$U:$U,Data!$A:$A,$B35,Data!$C:$C,Q$1))</f>
        <v/>
      </c>
      <c r="R35" s="31">
        <f>VLOOKUP(B35,'#ligaSYR'!B:R,17,0)</f>
        <v>3</v>
      </c>
      <c r="S35" s="31">
        <f>SUM(C35:R35)</f>
        <v>43.903833333333331</v>
      </c>
      <c r="T35" s="31">
        <f>SUMIFS(Data!D:D,Data!A:A,B35)</f>
        <v>215.45</v>
      </c>
    </row>
    <row r="36" spans="1:20" ht="13" x14ac:dyDescent="0.3">
      <c r="A36" s="79">
        <v>35</v>
      </c>
      <c r="B36" s="30" t="s">
        <v>403</v>
      </c>
      <c r="C36" s="31" t="str">
        <f>IF(SUMIFS(Data!$U:$U,Data!$A:$A,$B36,Data!$C:$C,C$1)=0,"",SUMIFS(Data!$U:$U,Data!$A:$A,$B36,Data!$C:$C,C$1))</f>
        <v/>
      </c>
      <c r="D36" s="31" t="str">
        <f>IF(SUMIFS(Data!$U:$U,Data!$A:$A,$B36,Data!$C:$C,D$1)=0,"",SUMIFS(Data!$U:$U,Data!$A:$A,$B36,Data!$C:$C,D$1))</f>
        <v/>
      </c>
      <c r="E36" s="31" t="str">
        <f>IF(SUMIFS(Data!$U:$U,Data!$A:$A,$B36,Data!$C:$C,E$1)=0,"",SUMIFS(Data!$U:$U,Data!$A:$A,$B36,Data!$C:$C,E$1))</f>
        <v/>
      </c>
      <c r="F36" s="31">
        <f>IF(SUMIFS(Data!$U:$U,Data!$A:$A,$B36,Data!$C:$C,F$1)=0,"",SUMIFS(Data!$U:$U,Data!$A:$A,$B36,Data!$C:$C,F$1))</f>
        <v>3.3035000000000001</v>
      </c>
      <c r="G36" s="31">
        <f>IF(SUMIFS(Data!$U:$U,Data!$A:$A,$B36,Data!$C:$C,G$1)=0,"",SUMIFS(Data!$U:$U,Data!$A:$A,$B36,Data!$C:$C,G$1))</f>
        <v>5.3348333333333331</v>
      </c>
      <c r="H36" s="31">
        <f>IF(SUMIFS(Data!$U:$U,Data!$A:$A,$B36,Data!$C:$C,H$1)=0,"",SUMIFS(Data!$U:$U,Data!$A:$A,$B36,Data!$C:$C,H$1))</f>
        <v>3.6631666666666667</v>
      </c>
      <c r="I36" s="31">
        <f>IF(SUMIFS(Data!$U:$U,Data!$A:$A,$B36,Data!$C:$C,I$1)=0,"",SUMIFS(Data!$U:$U,Data!$A:$A,$B36,Data!$C:$C,I$1))</f>
        <v>5.2818333333333332</v>
      </c>
      <c r="J36" s="31">
        <f>IF(SUMIFS(Data!$U:$U,Data!$A:$A,$B36,Data!$C:$C,J$1)=0,"",SUMIFS(Data!$U:$U,Data!$A:$A,$B36,Data!$C:$C,J$1))</f>
        <v>3.2343333333333333</v>
      </c>
      <c r="K36" s="31">
        <f>IF(SUMIFS(Data!$U:$U,Data!$A:$A,$B36,Data!$C:$C,K$1)=0,"",SUMIFS(Data!$U:$U,Data!$A:$A,$B36,Data!$C:$C,K$1))</f>
        <v>2.8138095238095238</v>
      </c>
      <c r="L36" s="31">
        <f>IF(SUMIFS(Data!$U:$U,Data!$A:$A,$B36,Data!$C:$C,L$1)=0,"",SUMIFS(Data!$U:$U,Data!$A:$A,$B36,Data!$C:$C,L$1))</f>
        <v>3.4824999999999999</v>
      </c>
      <c r="M36" s="31">
        <f>IF(SUMIFS(Data!$U:$U,Data!$A:$A,$B36,Data!$C:$C,M$1)=0,"",SUMIFS(Data!$U:$U,Data!$A:$A,$B36,Data!$C:$C,M$1))</f>
        <v>2.9125000000000001</v>
      </c>
      <c r="N36" s="31">
        <f>IF(SUMIFS(Data!$U:$U,Data!$A:$A,$B36,Data!$C:$C,N$1)=0,"",SUMIFS(Data!$U:$U,Data!$A:$A,$B36,Data!$C:$C,N$1))</f>
        <v>2.1410714285714283</v>
      </c>
      <c r="O36" s="31">
        <f>IF(SUMIFS(Data!$U:$U,Data!$A:$A,$B36,Data!$C:$C,O$1)=0,"",SUMIFS(Data!$U:$U,Data!$A:$A,$B36,Data!$C:$C,O$1))</f>
        <v>3.0464523809523807</v>
      </c>
      <c r="P36" s="31">
        <f>IF(SUMIFS(Data!$U:$U,Data!$A:$A,$B36,Data!$C:$C,P$1)=0,"",SUMIFS(Data!$U:$U,Data!$A:$A,$B36,Data!$C:$C,P$1))</f>
        <v>3.4381666666666666</v>
      </c>
      <c r="Q36" s="31">
        <f>IF(SUMIFS(Data!$U:$U,Data!$A:$A,$B36,Data!$C:$C,Q$1)=0,"",SUMIFS(Data!$U:$U,Data!$A:$A,$B36,Data!$C:$C,Q$1))</f>
        <v>2.2261904761904763</v>
      </c>
      <c r="R36" s="31">
        <f>VLOOKUP(B36,'#ligaSYR'!B:R,17,0)</f>
        <v>3</v>
      </c>
      <c r="S36" s="31">
        <f>SUM(C36:R36)</f>
        <v>43.878357142857148</v>
      </c>
      <c r="T36" s="31">
        <f>SUMIFS(Data!D:D,Data!A:A,B36)</f>
        <v>295.23</v>
      </c>
    </row>
    <row r="37" spans="1:20" ht="13" x14ac:dyDescent="0.3">
      <c r="A37" s="79">
        <v>36</v>
      </c>
      <c r="B37" s="30" t="s">
        <v>333</v>
      </c>
      <c r="C37" s="31">
        <f>IF(SUMIFS(Data!$U:$U,Data!$A:$A,$B37,Data!$C:$C,C$1)=0,"",SUMIFS(Data!$U:$U,Data!$A:$A,$B37,Data!$C:$C,C$1))</f>
        <v>2.352380952380952</v>
      </c>
      <c r="D37" s="31">
        <f>IF(SUMIFS(Data!$U:$U,Data!$A:$A,$B37,Data!$C:$C,D$1)=0,"",SUMIFS(Data!$U:$U,Data!$A:$A,$B37,Data!$C:$C,D$1))</f>
        <v>3.5</v>
      </c>
      <c r="E37" s="31">
        <f>IF(SUMIFS(Data!$U:$U,Data!$A:$A,$B37,Data!$C:$C,E$1)=0,"",SUMIFS(Data!$U:$U,Data!$A:$A,$B37,Data!$C:$C,E$1))</f>
        <v>2.0154761904761904</v>
      </c>
      <c r="F37" s="31">
        <f>IF(SUMIFS(Data!$U:$U,Data!$A:$A,$B37,Data!$C:$C,F$1)=0,"",SUMIFS(Data!$U:$U,Data!$A:$A,$B37,Data!$C:$C,F$1))</f>
        <v>2.3619047619047615</v>
      </c>
      <c r="G37" s="31">
        <f>IF(SUMIFS(Data!$U:$U,Data!$A:$A,$B37,Data!$C:$C,G$1)=0,"",SUMIFS(Data!$U:$U,Data!$A:$A,$B37,Data!$C:$C,G$1))</f>
        <v>2.2374999999999998</v>
      </c>
      <c r="H37" s="31">
        <f>IF(SUMIFS(Data!$U:$U,Data!$A:$A,$B37,Data!$C:$C,H$1)=0,"",SUMIFS(Data!$U:$U,Data!$A:$A,$B37,Data!$C:$C,H$1))</f>
        <v>2.674404761904762</v>
      </c>
      <c r="I37" s="31">
        <f>IF(SUMIFS(Data!$U:$U,Data!$A:$A,$B37,Data!$C:$C,I$1)=0,"",SUMIFS(Data!$U:$U,Data!$A:$A,$B37,Data!$C:$C,I$1))</f>
        <v>3.6375000000000002</v>
      </c>
      <c r="J37" s="31">
        <f>IF(SUMIFS(Data!$U:$U,Data!$A:$A,$B37,Data!$C:$C,J$1)=0,"",SUMIFS(Data!$U:$U,Data!$A:$A,$B37,Data!$C:$C,J$1))</f>
        <v>3.65</v>
      </c>
      <c r="K37" s="31">
        <f>IF(SUMIFS(Data!$U:$U,Data!$A:$A,$B37,Data!$C:$C,K$1)=0,"",SUMIFS(Data!$U:$U,Data!$A:$A,$B37,Data!$C:$C,K$1))</f>
        <v>2.331547619047619</v>
      </c>
      <c r="L37" s="31">
        <f>IF(SUMIFS(Data!$U:$U,Data!$A:$A,$B37,Data!$C:$C,L$1)=0,"",SUMIFS(Data!$U:$U,Data!$A:$A,$B37,Data!$C:$C,L$1))</f>
        <v>1.8607142857142858</v>
      </c>
      <c r="M37" s="31">
        <f>IF(SUMIFS(Data!$U:$U,Data!$A:$A,$B37,Data!$C:$C,M$1)=0,"",SUMIFS(Data!$U:$U,Data!$A:$A,$B37,Data!$C:$C,M$1))</f>
        <v>3.0625</v>
      </c>
      <c r="N37" s="31">
        <f>IF(SUMIFS(Data!$U:$U,Data!$A:$A,$B37,Data!$C:$C,N$1)=0,"",SUMIFS(Data!$U:$U,Data!$A:$A,$B37,Data!$C:$C,N$1))</f>
        <v>2.7333333333333334</v>
      </c>
      <c r="O37" s="31">
        <f>IF(SUMIFS(Data!$U:$U,Data!$A:$A,$B37,Data!$C:$C,O$1)=0,"",SUMIFS(Data!$U:$U,Data!$A:$A,$B37,Data!$C:$C,O$1))</f>
        <v>2.1124999999999998</v>
      </c>
      <c r="P37" s="31">
        <f>IF(SUMIFS(Data!$U:$U,Data!$A:$A,$B37,Data!$C:$C,P$1)=0,"",SUMIFS(Data!$U:$U,Data!$A:$A,$B37,Data!$C:$C,P$1))</f>
        <v>1.6797619047619048</v>
      </c>
      <c r="Q37" s="31">
        <f>IF(SUMIFS(Data!$U:$U,Data!$A:$A,$B37,Data!$C:$C,Q$1)=0,"",SUMIFS(Data!$U:$U,Data!$A:$A,$B37,Data!$C:$C,Q$1))</f>
        <v>2.4726190476190477</v>
      </c>
      <c r="R37" s="31">
        <f>VLOOKUP(B37,'#ligaSYR'!B:R,17,0)</f>
        <v>5</v>
      </c>
      <c r="S37" s="31">
        <f>SUM(C37:R37)</f>
        <v>43.682142857142857</v>
      </c>
      <c r="T37" s="31">
        <f>SUMIFS(Data!D:D,Data!A:A,B37)</f>
        <v>217.53000000000003</v>
      </c>
    </row>
    <row r="38" spans="1:20" ht="13" x14ac:dyDescent="0.3">
      <c r="A38" s="79">
        <v>37</v>
      </c>
      <c r="B38" s="30" t="s">
        <v>368</v>
      </c>
      <c r="C38" s="31">
        <f>IF(SUMIFS(Data!$U:$U,Data!$A:$A,$B38,Data!$C:$C,C$1)=0,"",SUMIFS(Data!$U:$U,Data!$A:$A,$B38,Data!$C:$C,C$1))</f>
        <v>1.9785714285714286</v>
      </c>
      <c r="D38" s="31">
        <f>IF(SUMIFS(Data!$U:$U,Data!$A:$A,$B38,Data!$C:$C,D$1)=0,"",SUMIFS(Data!$U:$U,Data!$A:$A,$B38,Data!$C:$C,D$1))</f>
        <v>1.7547619047619047</v>
      </c>
      <c r="E38" s="31">
        <f>IF(SUMIFS(Data!$U:$U,Data!$A:$A,$B38,Data!$C:$C,E$1)=0,"",SUMIFS(Data!$U:$U,Data!$A:$A,$B38,Data!$C:$C,E$1))</f>
        <v>2.1875</v>
      </c>
      <c r="F38" s="31">
        <f>IF(SUMIFS(Data!$U:$U,Data!$A:$A,$B38,Data!$C:$C,F$1)=0,"",SUMIFS(Data!$U:$U,Data!$A:$A,$B38,Data!$C:$C,F$1))</f>
        <v>2.1898809523809524</v>
      </c>
      <c r="G38" s="31">
        <f>IF(SUMIFS(Data!$U:$U,Data!$A:$A,$B38,Data!$C:$C,G$1)=0,"",SUMIFS(Data!$U:$U,Data!$A:$A,$B38,Data!$C:$C,G$1))</f>
        <v>3.1190476190476191</v>
      </c>
      <c r="H38" s="31">
        <f>IF(SUMIFS(Data!$U:$U,Data!$A:$A,$B38,Data!$C:$C,H$1)=0,"",SUMIFS(Data!$U:$U,Data!$A:$A,$B38,Data!$C:$C,H$1))</f>
        <v>2.6220238095238093</v>
      </c>
      <c r="I38" s="31" t="str">
        <f>IF(SUMIFS(Data!$U:$U,Data!$A:$A,$B38,Data!$C:$C,I$1)=0,"",SUMIFS(Data!$U:$U,Data!$A:$A,$B38,Data!$C:$C,I$1))</f>
        <v/>
      </c>
      <c r="J38" s="31">
        <f>IF(SUMIFS(Data!$U:$U,Data!$A:$A,$B38,Data!$C:$C,J$1)=0,"",SUMIFS(Data!$U:$U,Data!$A:$A,$B38,Data!$C:$C,J$1))</f>
        <v>2.9898809523809522</v>
      </c>
      <c r="K38" s="31">
        <f>IF(SUMIFS(Data!$U:$U,Data!$A:$A,$B38,Data!$C:$C,K$1)=0,"",SUMIFS(Data!$U:$U,Data!$A:$A,$B38,Data!$C:$C,K$1))</f>
        <v>2.6410714285714283</v>
      </c>
      <c r="L38" s="31">
        <f>IF(SUMIFS(Data!$U:$U,Data!$A:$A,$B38,Data!$C:$C,L$1)=0,"",SUMIFS(Data!$U:$U,Data!$A:$A,$B38,Data!$C:$C,L$1))</f>
        <v>3.875</v>
      </c>
      <c r="M38" s="31">
        <f>IF(SUMIFS(Data!$U:$U,Data!$A:$A,$B38,Data!$C:$C,M$1)=0,"",SUMIFS(Data!$U:$U,Data!$A:$A,$B38,Data!$C:$C,M$1))</f>
        <v>3.3601190476190474</v>
      </c>
      <c r="N38" s="31">
        <f>IF(SUMIFS(Data!$U:$U,Data!$A:$A,$B38,Data!$C:$C,N$1)=0,"",SUMIFS(Data!$U:$U,Data!$A:$A,$B38,Data!$C:$C,N$1))</f>
        <v>2.7386904761904765</v>
      </c>
      <c r="O38" s="31">
        <f>IF(SUMIFS(Data!$U:$U,Data!$A:$A,$B38,Data!$C:$C,O$1)=0,"",SUMIFS(Data!$U:$U,Data!$A:$A,$B38,Data!$C:$C,O$1))</f>
        <v>2.8047619047619046</v>
      </c>
      <c r="P38" s="31">
        <f>IF(SUMIFS(Data!$U:$U,Data!$A:$A,$B38,Data!$C:$C,P$1)=0,"",SUMIFS(Data!$U:$U,Data!$A:$A,$B38,Data!$C:$C,P$1))</f>
        <v>2.4910714285714284</v>
      </c>
      <c r="Q38" s="31">
        <f>IF(SUMIFS(Data!$U:$U,Data!$A:$A,$B38,Data!$C:$C,Q$1)=0,"",SUMIFS(Data!$U:$U,Data!$A:$A,$B38,Data!$C:$C,Q$1))</f>
        <v>3.3303571428571428</v>
      </c>
      <c r="R38" s="31">
        <f>VLOOKUP(B38,'#ligaSYR'!B:R,17,0)</f>
        <v>5</v>
      </c>
      <c r="S38" s="31">
        <f>SUM(C38:R38)</f>
        <v>43.082738095238106</v>
      </c>
      <c r="T38" s="31">
        <f>SUMIFS(Data!D:D,Data!A:A,B38)</f>
        <v>122.88999999999999</v>
      </c>
    </row>
    <row r="39" spans="1:20" ht="13" x14ac:dyDescent="0.3">
      <c r="A39" s="79">
        <v>38</v>
      </c>
      <c r="B39" s="30" t="s">
        <v>48</v>
      </c>
      <c r="C39" s="31">
        <f>IF(SUMIFS(Data!$U:$U,Data!$A:$A,$B39,Data!$C:$C,C$1)=0,"",SUMIFS(Data!$U:$U,Data!$A:$A,$B39,Data!$C:$C,C$1))</f>
        <v>2.7994523809523808</v>
      </c>
      <c r="D39" s="31">
        <f>IF(SUMIFS(Data!$U:$U,Data!$A:$A,$B39,Data!$C:$C,D$1)=0,"",SUMIFS(Data!$U:$U,Data!$A:$A,$B39,Data!$C:$C,D$1))</f>
        <v>2.0969047619047618</v>
      </c>
      <c r="E39" s="31">
        <f>IF(SUMIFS(Data!$U:$U,Data!$A:$A,$B39,Data!$C:$C,E$1)=0,"",SUMIFS(Data!$U:$U,Data!$A:$A,$B39,Data!$C:$C,E$1))</f>
        <v>2.1990714285714286</v>
      </c>
      <c r="F39" s="31">
        <f>IF(SUMIFS(Data!$U:$U,Data!$A:$A,$B39,Data!$C:$C,F$1)=0,"",SUMIFS(Data!$U:$U,Data!$A:$A,$B39,Data!$C:$C,F$1))</f>
        <v>3.3841428571428573</v>
      </c>
      <c r="G39" s="31">
        <f>IF(SUMIFS(Data!$U:$U,Data!$A:$A,$B39,Data!$C:$C,G$1)=0,"",SUMIFS(Data!$U:$U,Data!$A:$A,$B39,Data!$C:$C,G$1))</f>
        <v>2.1398809523809521</v>
      </c>
      <c r="H39" s="31">
        <f>IF(SUMIFS(Data!$U:$U,Data!$A:$A,$B39,Data!$C:$C,H$1)=0,"",SUMIFS(Data!$U:$U,Data!$A:$A,$B39,Data!$C:$C,H$1))</f>
        <v>3.231095238095238</v>
      </c>
      <c r="I39" s="31">
        <f>IF(SUMIFS(Data!$U:$U,Data!$A:$A,$B39,Data!$C:$C,I$1)=0,"",SUMIFS(Data!$U:$U,Data!$A:$A,$B39,Data!$C:$C,I$1))</f>
        <v>2.2765714285714287</v>
      </c>
      <c r="J39" s="31">
        <f>IF(SUMIFS(Data!$U:$U,Data!$A:$A,$B39,Data!$C:$C,J$1)=0,"",SUMIFS(Data!$U:$U,Data!$A:$A,$B39,Data!$C:$C,J$1))</f>
        <v>2.526928571428571</v>
      </c>
      <c r="K39" s="31">
        <f>IF(SUMIFS(Data!$U:$U,Data!$A:$A,$B39,Data!$C:$C,K$1)=0,"",SUMIFS(Data!$U:$U,Data!$A:$A,$B39,Data!$C:$C,K$1))</f>
        <v>2.925238095238095</v>
      </c>
      <c r="L39" s="31">
        <f>IF(SUMIFS(Data!$U:$U,Data!$A:$A,$B39,Data!$C:$C,L$1)=0,"",SUMIFS(Data!$U:$U,Data!$A:$A,$B39,Data!$C:$C,L$1))</f>
        <v>2.679904761904762</v>
      </c>
      <c r="M39" s="31">
        <f>IF(SUMIFS(Data!$U:$U,Data!$A:$A,$B39,Data!$C:$C,M$1)=0,"",SUMIFS(Data!$U:$U,Data!$A:$A,$B39,Data!$C:$C,M$1))</f>
        <v>2.6297619047619047</v>
      </c>
      <c r="N39" s="31">
        <f>IF(SUMIFS(Data!$U:$U,Data!$A:$A,$B39,Data!$C:$C,N$1)=0,"",SUMIFS(Data!$U:$U,Data!$A:$A,$B39,Data!$C:$C,N$1))</f>
        <v>2.1526904761904762</v>
      </c>
      <c r="O39" s="31">
        <f>IF(SUMIFS(Data!$U:$U,Data!$A:$A,$B39,Data!$C:$C,O$1)=0,"",SUMIFS(Data!$U:$U,Data!$A:$A,$B39,Data!$C:$C,O$1))</f>
        <v>2.7760000000000002</v>
      </c>
      <c r="P39" s="31">
        <f>IF(SUMIFS(Data!$U:$U,Data!$A:$A,$B39,Data!$C:$C,P$1)=0,"",SUMIFS(Data!$U:$U,Data!$A:$A,$B39,Data!$C:$C,P$1))</f>
        <v>1.2027142857142858</v>
      </c>
      <c r="Q39" s="31">
        <f>IF(SUMIFS(Data!$U:$U,Data!$A:$A,$B39,Data!$C:$C,Q$1)=0,"",SUMIFS(Data!$U:$U,Data!$A:$A,$B39,Data!$C:$C,Q$1))</f>
        <v>3.020833333333333</v>
      </c>
      <c r="R39" s="31">
        <f>VLOOKUP(B39,'#ligaSYR'!B:R,17,0)</f>
        <v>5</v>
      </c>
      <c r="S39" s="31">
        <f>SUM(C39:R39)</f>
        <v>43.041190476190472</v>
      </c>
      <c r="T39" s="31">
        <f>SUMIFS(Data!D:D,Data!A:A,B39)</f>
        <v>164.88000000000002</v>
      </c>
    </row>
    <row r="40" spans="1:20" ht="13" x14ac:dyDescent="0.3">
      <c r="A40" s="79">
        <v>39</v>
      </c>
      <c r="B40" s="30" t="s">
        <v>275</v>
      </c>
      <c r="C40" s="31">
        <f>IF(SUMIFS(Data!$U:$U,Data!$A:$A,$B40,Data!$C:$C,C$1)=0,"",SUMIFS(Data!$U:$U,Data!$A:$A,$B40,Data!$C:$C,C$1))</f>
        <v>2.458333333333333</v>
      </c>
      <c r="D40" s="31">
        <f>IF(SUMIFS(Data!$U:$U,Data!$A:$A,$B40,Data!$C:$C,D$1)=0,"",SUMIFS(Data!$U:$U,Data!$A:$A,$B40,Data!$C:$C,D$1))</f>
        <v>2.0964285714285715</v>
      </c>
      <c r="E40" s="31">
        <f>IF(SUMIFS(Data!$U:$U,Data!$A:$A,$B40,Data!$C:$C,E$1)=0,"",SUMIFS(Data!$U:$U,Data!$A:$A,$B40,Data!$C:$C,E$1))</f>
        <v>3.3202619047619049</v>
      </c>
      <c r="F40" s="31">
        <f>IF(SUMIFS(Data!$U:$U,Data!$A:$A,$B40,Data!$C:$C,F$1)=0,"",SUMIFS(Data!$U:$U,Data!$A:$A,$B40,Data!$C:$C,F$1))</f>
        <v>2.9982142857142859</v>
      </c>
      <c r="G40" s="31">
        <f>IF(SUMIFS(Data!$U:$U,Data!$A:$A,$B40,Data!$C:$C,G$1)=0,"",SUMIFS(Data!$U:$U,Data!$A:$A,$B40,Data!$C:$C,G$1))</f>
        <v>3.1985000000000001</v>
      </c>
      <c r="H40" s="31">
        <f>IF(SUMIFS(Data!$U:$U,Data!$A:$A,$B40,Data!$C:$C,H$1)=0,"",SUMIFS(Data!$U:$U,Data!$A:$A,$B40,Data!$C:$C,H$1))</f>
        <v>4.0683333333333334</v>
      </c>
      <c r="I40" s="31">
        <f>IF(SUMIFS(Data!$U:$U,Data!$A:$A,$B40,Data!$C:$C,I$1)=0,"",SUMIFS(Data!$U:$U,Data!$A:$A,$B40,Data!$C:$C,I$1))</f>
        <v>3.375</v>
      </c>
      <c r="J40" s="31">
        <f>IF(SUMIFS(Data!$U:$U,Data!$A:$A,$B40,Data!$C:$C,J$1)=0,"",SUMIFS(Data!$U:$U,Data!$A:$A,$B40,Data!$C:$C,J$1))</f>
        <v>3.4139523809523808</v>
      </c>
      <c r="K40" s="31" t="str">
        <f>IF(SUMIFS(Data!$U:$U,Data!$A:$A,$B40,Data!$C:$C,K$1)=0,"",SUMIFS(Data!$U:$U,Data!$A:$A,$B40,Data!$C:$C,K$1))</f>
        <v/>
      </c>
      <c r="L40" s="31">
        <f>IF(SUMIFS(Data!$U:$U,Data!$A:$A,$B40,Data!$C:$C,L$1)=0,"",SUMIFS(Data!$U:$U,Data!$A:$A,$B40,Data!$C:$C,L$1))</f>
        <v>1.5297619047619047</v>
      </c>
      <c r="M40" s="31">
        <f>IF(SUMIFS(Data!$U:$U,Data!$A:$A,$B40,Data!$C:$C,M$1)=0,"",SUMIFS(Data!$U:$U,Data!$A:$A,$B40,Data!$C:$C,M$1))</f>
        <v>4.1583333333333332</v>
      </c>
      <c r="N40" s="31">
        <f>IF(SUMIFS(Data!$U:$U,Data!$A:$A,$B40,Data!$C:$C,N$1)=0,"",SUMIFS(Data!$U:$U,Data!$A:$A,$B40,Data!$C:$C,N$1))</f>
        <v>3.125</v>
      </c>
      <c r="O40" s="31" t="str">
        <f>IF(SUMIFS(Data!$U:$U,Data!$A:$A,$B40,Data!$C:$C,O$1)=0,"",SUMIFS(Data!$U:$U,Data!$A:$A,$B40,Data!$C:$C,O$1))</f>
        <v/>
      </c>
      <c r="P40" s="31">
        <f>IF(SUMIFS(Data!$U:$U,Data!$A:$A,$B40,Data!$C:$C,P$1)=0,"",SUMIFS(Data!$U:$U,Data!$A:$A,$B40,Data!$C:$C,P$1))</f>
        <v>1.2869047619047618</v>
      </c>
      <c r="Q40" s="31">
        <f>IF(SUMIFS(Data!$U:$U,Data!$A:$A,$B40,Data!$C:$C,Q$1)=0,"",SUMIFS(Data!$U:$U,Data!$A:$A,$B40,Data!$C:$C,Q$1))</f>
        <v>3.3968333333333334</v>
      </c>
      <c r="R40" s="31">
        <f>VLOOKUP(B40,'#ligaSYR'!B:R,17,0)</f>
        <v>4</v>
      </c>
      <c r="S40" s="31">
        <f>SUM(C40:R40)</f>
        <v>42.425857142857147</v>
      </c>
      <c r="T40" s="31">
        <f>SUMIFS(Data!D:D,Data!A:A,B40)</f>
        <v>233.87</v>
      </c>
    </row>
    <row r="41" spans="1:20" ht="13" x14ac:dyDescent="0.3">
      <c r="A41" s="79">
        <v>40</v>
      </c>
      <c r="B41" s="30" t="s">
        <v>359</v>
      </c>
      <c r="C41" s="31">
        <f>IF(SUMIFS(Data!$U:$U,Data!$A:$A,$B41,Data!$C:$C,C$1)=0,"",SUMIFS(Data!$U:$U,Data!$A:$A,$B41,Data!$C:$C,C$1))</f>
        <v>2.4119047619047618</v>
      </c>
      <c r="D41" s="31">
        <f>IF(SUMIFS(Data!$U:$U,Data!$A:$A,$B41,Data!$C:$C,D$1)=0,"",SUMIFS(Data!$U:$U,Data!$A:$A,$B41,Data!$C:$C,D$1))</f>
        <v>1.9285714285714286</v>
      </c>
      <c r="E41" s="31">
        <f>IF(SUMIFS(Data!$U:$U,Data!$A:$A,$B41,Data!$C:$C,E$1)=0,"",SUMIFS(Data!$U:$U,Data!$A:$A,$B41,Data!$C:$C,E$1))</f>
        <v>2.1130952380952381</v>
      </c>
      <c r="F41" s="31">
        <f>IF(SUMIFS(Data!$U:$U,Data!$A:$A,$B41,Data!$C:$C,F$1)=0,"",SUMIFS(Data!$U:$U,Data!$A:$A,$B41,Data!$C:$C,F$1))</f>
        <v>2.4702380952380949</v>
      </c>
      <c r="G41" s="31">
        <f>IF(SUMIFS(Data!$U:$U,Data!$A:$A,$B41,Data!$C:$C,G$1)=0,"",SUMIFS(Data!$U:$U,Data!$A:$A,$B41,Data!$C:$C,G$1))</f>
        <v>2.1726190476190474</v>
      </c>
      <c r="H41" s="31">
        <f>IF(SUMIFS(Data!$U:$U,Data!$A:$A,$B41,Data!$C:$C,H$1)=0,"",SUMIFS(Data!$U:$U,Data!$A:$A,$B41,Data!$C:$C,H$1))</f>
        <v>2.9053571428571425</v>
      </c>
      <c r="I41" s="31">
        <f>IF(SUMIFS(Data!$U:$U,Data!$A:$A,$B41,Data!$C:$C,I$1)=0,"",SUMIFS(Data!$U:$U,Data!$A:$A,$B41,Data!$C:$C,I$1))</f>
        <v>2.3345238095238097</v>
      </c>
      <c r="J41" s="31">
        <f>IF(SUMIFS(Data!$U:$U,Data!$A:$A,$B41,Data!$C:$C,J$1)=0,"",SUMIFS(Data!$U:$U,Data!$A:$A,$B41,Data!$C:$C,J$1))</f>
        <v>3.5873333333333335</v>
      </c>
      <c r="K41" s="31">
        <f>IF(SUMIFS(Data!$U:$U,Data!$A:$A,$B41,Data!$C:$C,K$1)=0,"",SUMIFS(Data!$U:$U,Data!$A:$A,$B41,Data!$C:$C,K$1))</f>
        <v>2.8857142857142857</v>
      </c>
      <c r="L41" s="31">
        <f>IF(SUMIFS(Data!$U:$U,Data!$A:$A,$B41,Data!$C:$C,L$1)=0,"",SUMIFS(Data!$U:$U,Data!$A:$A,$B41,Data!$C:$C,L$1))</f>
        <v>4.484</v>
      </c>
      <c r="M41" s="31">
        <f>IF(SUMIFS(Data!$U:$U,Data!$A:$A,$B41,Data!$C:$C,M$1)=0,"",SUMIFS(Data!$U:$U,Data!$A:$A,$B41,Data!$C:$C,M$1))</f>
        <v>1.5</v>
      </c>
      <c r="N41" s="31">
        <f>IF(SUMIFS(Data!$U:$U,Data!$A:$A,$B41,Data!$C:$C,N$1)=0,"",SUMIFS(Data!$U:$U,Data!$A:$A,$B41,Data!$C:$C,N$1))</f>
        <v>1.842857142857143</v>
      </c>
      <c r="O41" s="31">
        <f>IF(SUMIFS(Data!$U:$U,Data!$A:$A,$B41,Data!$C:$C,O$1)=0,"",SUMIFS(Data!$U:$U,Data!$A:$A,$B41,Data!$C:$C,O$1))</f>
        <v>3.069142857142857</v>
      </c>
      <c r="P41" s="31">
        <f>IF(SUMIFS(Data!$U:$U,Data!$A:$A,$B41,Data!$C:$C,P$1)=0,"",SUMIFS(Data!$U:$U,Data!$A:$A,$B41,Data!$C:$C,P$1))</f>
        <v>1.8666666666666667</v>
      </c>
      <c r="Q41" s="31">
        <f>IF(SUMIFS(Data!$U:$U,Data!$A:$A,$B41,Data!$C:$C,Q$1)=0,"",SUMIFS(Data!$U:$U,Data!$A:$A,$B41,Data!$C:$C,Q$1))</f>
        <v>3.3246666666666664</v>
      </c>
      <c r="R41" s="31">
        <f>VLOOKUP(B41,'#ligaSYR'!B:R,17,0)</f>
        <v>3</v>
      </c>
      <c r="S41" s="31">
        <f>SUM(C41:R41)</f>
        <v>41.896690476190471</v>
      </c>
      <c r="T41" s="31">
        <f>SUMIFS(Data!D:D,Data!A:A,B41)</f>
        <v>246.10999999999996</v>
      </c>
    </row>
    <row r="42" spans="1:20" ht="13" x14ac:dyDescent="0.3">
      <c r="A42" s="79">
        <v>41</v>
      </c>
      <c r="B42" s="30" t="s">
        <v>288</v>
      </c>
      <c r="C42" s="31">
        <f>IF(SUMIFS(Data!$U:$U,Data!$A:$A,$B42,Data!$C:$C,C$1)=0,"",SUMIFS(Data!$U:$U,Data!$A:$A,$B42,Data!$C:$C,C$1))</f>
        <v>3.1785714285714284</v>
      </c>
      <c r="D42" s="31">
        <f>IF(SUMIFS(Data!$U:$U,Data!$A:$A,$B42,Data!$C:$C,D$1)=0,"",SUMIFS(Data!$U:$U,Data!$A:$A,$B42,Data!$C:$C,D$1))</f>
        <v>2.5660714285714286</v>
      </c>
      <c r="E42" s="31">
        <f>IF(SUMIFS(Data!$U:$U,Data!$A:$A,$B42,Data!$C:$C,E$1)=0,"",SUMIFS(Data!$U:$U,Data!$A:$A,$B42,Data!$C:$C,E$1))</f>
        <v>2.1482142857142859</v>
      </c>
      <c r="F42" s="31">
        <f>IF(SUMIFS(Data!$U:$U,Data!$A:$A,$B42,Data!$C:$C,F$1)=0,"",SUMIFS(Data!$U:$U,Data!$A:$A,$B42,Data!$C:$C,F$1))</f>
        <v>2.2166666666666668</v>
      </c>
      <c r="G42" s="31">
        <f>IF(SUMIFS(Data!$U:$U,Data!$A:$A,$B42,Data!$C:$C,G$1)=0,"",SUMIFS(Data!$U:$U,Data!$A:$A,$B42,Data!$C:$C,G$1))</f>
        <v>2.0868809523809526</v>
      </c>
      <c r="H42" s="31">
        <f>IF(SUMIFS(Data!$U:$U,Data!$A:$A,$B42,Data!$C:$C,H$1)=0,"",SUMIFS(Data!$U:$U,Data!$A:$A,$B42,Data!$C:$C,H$1))</f>
        <v>2.0708333333333333</v>
      </c>
      <c r="I42" s="31">
        <f>IF(SUMIFS(Data!$U:$U,Data!$A:$A,$B42,Data!$C:$C,I$1)=0,"",SUMIFS(Data!$U:$U,Data!$A:$A,$B42,Data!$C:$C,I$1))</f>
        <v>2.4202380952380951</v>
      </c>
      <c r="J42" s="31">
        <f>IF(SUMIFS(Data!$U:$U,Data!$A:$A,$B42,Data!$C:$C,J$1)=0,"",SUMIFS(Data!$U:$U,Data!$A:$A,$B42,Data!$C:$C,J$1))</f>
        <v>2.4571428571428569</v>
      </c>
      <c r="K42" s="31">
        <f>IF(SUMIFS(Data!$U:$U,Data!$A:$A,$B42,Data!$C:$C,K$1)=0,"",SUMIFS(Data!$U:$U,Data!$A:$A,$B42,Data!$C:$C,K$1))</f>
        <v>3.1848571428571426</v>
      </c>
      <c r="L42" s="31">
        <f>IF(SUMIFS(Data!$U:$U,Data!$A:$A,$B42,Data!$C:$C,L$1)=0,"",SUMIFS(Data!$U:$U,Data!$A:$A,$B42,Data!$C:$C,L$1))</f>
        <v>2.2327380952380951</v>
      </c>
      <c r="M42" s="31">
        <f>IF(SUMIFS(Data!$U:$U,Data!$A:$A,$B42,Data!$C:$C,M$1)=0,"",SUMIFS(Data!$U:$U,Data!$A:$A,$B42,Data!$C:$C,M$1))</f>
        <v>3.1678571428571427</v>
      </c>
      <c r="N42" s="31">
        <f>IF(SUMIFS(Data!$U:$U,Data!$A:$A,$B42,Data!$C:$C,N$1)=0,"",SUMIFS(Data!$U:$U,Data!$A:$A,$B42,Data!$C:$C,N$1))</f>
        <v>3.038095238095238</v>
      </c>
      <c r="O42" s="31">
        <f>IF(SUMIFS(Data!$U:$U,Data!$A:$A,$B42,Data!$C:$C,O$1)=0,"",SUMIFS(Data!$U:$U,Data!$A:$A,$B42,Data!$C:$C,O$1))</f>
        <v>1.8577380952380951</v>
      </c>
      <c r="P42" s="31">
        <f>IF(SUMIFS(Data!$U:$U,Data!$A:$A,$B42,Data!$C:$C,P$1)=0,"",SUMIFS(Data!$U:$U,Data!$A:$A,$B42,Data!$C:$C,P$1))</f>
        <v>1.5</v>
      </c>
      <c r="Q42" s="31">
        <f>IF(SUMIFS(Data!$U:$U,Data!$A:$A,$B42,Data!$C:$C,Q$1)=0,"",SUMIFS(Data!$U:$U,Data!$A:$A,$B42,Data!$C:$C,Q$1))</f>
        <v>2.7244999999999999</v>
      </c>
      <c r="R42" s="31">
        <f>VLOOKUP(B42,'#ligaSYR'!B:R,17,0)</f>
        <v>5</v>
      </c>
      <c r="S42" s="31">
        <f>SUM(C42:R42)</f>
        <v>41.850404761904763</v>
      </c>
      <c r="T42" s="31">
        <f>SUMIFS(Data!D:D,Data!A:A,B42)</f>
        <v>138.38</v>
      </c>
    </row>
    <row r="43" spans="1:20" ht="13" x14ac:dyDescent="0.3">
      <c r="A43" s="79">
        <v>42</v>
      </c>
      <c r="B43" s="30" t="s">
        <v>114</v>
      </c>
      <c r="C43" s="31">
        <f>IF(SUMIFS(Data!$U:$U,Data!$A:$A,$B43,Data!$C:$C,C$1)=0,"",SUMIFS(Data!$U:$U,Data!$A:$A,$B43,Data!$C:$C,C$1))</f>
        <v>2.8440476190476192</v>
      </c>
      <c r="D43" s="31">
        <f>IF(SUMIFS(Data!$U:$U,Data!$A:$A,$B43,Data!$C:$C,D$1)=0,"",SUMIFS(Data!$U:$U,Data!$A:$A,$B43,Data!$C:$C,D$1))</f>
        <v>2.6773809523809522</v>
      </c>
      <c r="E43" s="31">
        <f>IF(SUMIFS(Data!$U:$U,Data!$A:$A,$B43,Data!$C:$C,E$1)=0,"",SUMIFS(Data!$U:$U,Data!$A:$A,$B43,Data!$C:$C,E$1))</f>
        <v>2.1196428571428569</v>
      </c>
      <c r="F43" s="31">
        <f>IF(SUMIFS(Data!$U:$U,Data!$A:$A,$B43,Data!$C:$C,F$1)=0,"",SUMIFS(Data!$U:$U,Data!$A:$A,$B43,Data!$C:$C,F$1))</f>
        <v>2.8815476190476188</v>
      </c>
      <c r="G43" s="31">
        <f>IF(SUMIFS(Data!$U:$U,Data!$A:$A,$B43,Data!$C:$C,G$1)=0,"",SUMIFS(Data!$U:$U,Data!$A:$A,$B43,Data!$C:$C,G$1))</f>
        <v>2.7398809523809522</v>
      </c>
      <c r="H43" s="31">
        <f>IF(SUMIFS(Data!$U:$U,Data!$A:$A,$B43,Data!$C:$C,H$1)=0,"",SUMIFS(Data!$U:$U,Data!$A:$A,$B43,Data!$C:$C,H$1))</f>
        <v>1.9214285714285715</v>
      </c>
      <c r="I43" s="31">
        <f>IF(SUMIFS(Data!$U:$U,Data!$A:$A,$B43,Data!$C:$C,I$1)=0,"",SUMIFS(Data!$U:$U,Data!$A:$A,$B43,Data!$C:$C,I$1))</f>
        <v>1.9874999999999998</v>
      </c>
      <c r="J43" s="31">
        <f>IF(SUMIFS(Data!$U:$U,Data!$A:$A,$B43,Data!$C:$C,J$1)=0,"",SUMIFS(Data!$U:$U,Data!$A:$A,$B43,Data!$C:$C,J$1))</f>
        <v>2.1310952380952379</v>
      </c>
      <c r="K43" s="31">
        <f>IF(SUMIFS(Data!$U:$U,Data!$A:$A,$B43,Data!$C:$C,K$1)=0,"",SUMIFS(Data!$U:$U,Data!$A:$A,$B43,Data!$C:$C,K$1))</f>
        <v>2.9280714285714287</v>
      </c>
      <c r="L43" s="31">
        <f>IF(SUMIFS(Data!$U:$U,Data!$A:$A,$B43,Data!$C:$C,L$1)=0,"",SUMIFS(Data!$U:$U,Data!$A:$A,$B43,Data!$C:$C,L$1))</f>
        <v>2.5398809523809525</v>
      </c>
      <c r="M43" s="31">
        <f>IF(SUMIFS(Data!$U:$U,Data!$A:$A,$B43,Data!$C:$C,M$1)=0,"",SUMIFS(Data!$U:$U,Data!$A:$A,$B43,Data!$C:$C,M$1))</f>
        <v>3.0428571428571427</v>
      </c>
      <c r="N43" s="31">
        <f>IF(SUMIFS(Data!$U:$U,Data!$A:$A,$B43,Data!$C:$C,N$1)=0,"",SUMIFS(Data!$U:$U,Data!$A:$A,$B43,Data!$C:$C,N$1))</f>
        <v>2.6565476190476192</v>
      </c>
      <c r="O43" s="31">
        <f>IF(SUMIFS(Data!$U:$U,Data!$A:$A,$B43,Data!$C:$C,O$1)=0,"",SUMIFS(Data!$U:$U,Data!$A:$A,$B43,Data!$C:$C,O$1))</f>
        <v>3.1965476190476187</v>
      </c>
      <c r="P43" s="31">
        <f>IF(SUMIFS(Data!$U:$U,Data!$A:$A,$B43,Data!$C:$C,P$1)=0,"",SUMIFS(Data!$U:$U,Data!$A:$A,$B43,Data!$C:$C,P$1))</f>
        <v>2.0720476190476189</v>
      </c>
      <c r="Q43" s="31">
        <f>IF(SUMIFS(Data!$U:$U,Data!$A:$A,$B43,Data!$C:$C,Q$1)=0,"",SUMIFS(Data!$U:$U,Data!$A:$A,$B43,Data!$C:$C,Q$1))</f>
        <v>2.0499999999999998</v>
      </c>
      <c r="R43" s="31">
        <f>VLOOKUP(B43,'#ligaSYR'!B:R,17,0)</f>
        <v>4</v>
      </c>
      <c r="S43" s="31">
        <f>SUM(C43:R43)</f>
        <v>41.788476190476182</v>
      </c>
      <c r="T43" s="31">
        <f>SUMIFS(Data!D:D,Data!A:A,B43)</f>
        <v>163.83000000000001</v>
      </c>
    </row>
    <row r="44" spans="1:20" ht="13" x14ac:dyDescent="0.3">
      <c r="A44" s="79">
        <v>43</v>
      </c>
      <c r="B44" s="30" t="s">
        <v>41</v>
      </c>
      <c r="C44" s="31">
        <f>IF(SUMIFS(Data!$U:$U,Data!$A:$A,$B44,Data!$C:$C,C$1)=0,"",SUMIFS(Data!$U:$U,Data!$A:$A,$B44,Data!$C:$C,C$1))</f>
        <v>2.3985714285714286</v>
      </c>
      <c r="D44" s="31">
        <f>IF(SUMIFS(Data!$U:$U,Data!$A:$A,$B44,Data!$C:$C,D$1)=0,"",SUMIFS(Data!$U:$U,Data!$A:$A,$B44,Data!$C:$C,D$1))</f>
        <v>2.3738095238095238</v>
      </c>
      <c r="E44" s="31">
        <f>IF(SUMIFS(Data!$U:$U,Data!$A:$A,$B44,Data!$C:$C,E$1)=0,"",SUMIFS(Data!$U:$U,Data!$A:$A,$B44,Data!$C:$C,E$1))</f>
        <v>2.1667380952380952</v>
      </c>
      <c r="F44" s="31">
        <f>IF(SUMIFS(Data!$U:$U,Data!$A:$A,$B44,Data!$C:$C,F$1)=0,"",SUMIFS(Data!$U:$U,Data!$A:$A,$B44,Data!$C:$C,F$1))</f>
        <v>1.5904761904761904</v>
      </c>
      <c r="G44" s="31">
        <f>IF(SUMIFS(Data!$U:$U,Data!$A:$A,$B44,Data!$C:$C,G$1)=0,"",SUMIFS(Data!$U:$U,Data!$A:$A,$B44,Data!$C:$C,G$1))</f>
        <v>1.5089285714285714</v>
      </c>
      <c r="H44" s="31">
        <f>IF(SUMIFS(Data!$U:$U,Data!$A:$A,$B44,Data!$C:$C,H$1)=0,"",SUMIFS(Data!$U:$U,Data!$A:$A,$B44,Data!$C:$C,H$1))</f>
        <v>1.5</v>
      </c>
      <c r="I44" s="31">
        <f>IF(SUMIFS(Data!$U:$U,Data!$A:$A,$B44,Data!$C:$C,I$1)=0,"",SUMIFS(Data!$U:$U,Data!$A:$A,$B44,Data!$C:$C,I$1))</f>
        <v>3.0279285714285713</v>
      </c>
      <c r="J44" s="31">
        <f>IF(SUMIFS(Data!$U:$U,Data!$A:$A,$B44,Data!$C:$C,J$1)=0,"",SUMIFS(Data!$U:$U,Data!$A:$A,$B44,Data!$C:$C,J$1))</f>
        <v>2.2089285714285714</v>
      </c>
      <c r="K44" s="31">
        <f>IF(SUMIFS(Data!$U:$U,Data!$A:$A,$B44,Data!$C:$C,K$1)=0,"",SUMIFS(Data!$U:$U,Data!$A:$A,$B44,Data!$C:$C,K$1))</f>
        <v>2.7684523809523807</v>
      </c>
      <c r="L44" s="31">
        <f>IF(SUMIFS(Data!$U:$U,Data!$A:$A,$B44,Data!$C:$C,L$1)=0,"",SUMIFS(Data!$U:$U,Data!$A:$A,$B44,Data!$C:$C,L$1))</f>
        <v>2.2404761904761905</v>
      </c>
      <c r="M44" s="31">
        <f>IF(SUMIFS(Data!$U:$U,Data!$A:$A,$B44,Data!$C:$C,M$1)=0,"",SUMIFS(Data!$U:$U,Data!$A:$A,$B44,Data!$C:$C,M$1))</f>
        <v>3.2351190476190474</v>
      </c>
      <c r="N44" s="31">
        <f>IF(SUMIFS(Data!$U:$U,Data!$A:$A,$B44,Data!$C:$C,N$1)=0,"",SUMIFS(Data!$U:$U,Data!$A:$A,$B44,Data!$C:$C,N$1))</f>
        <v>3.0726190476190478</v>
      </c>
      <c r="O44" s="31">
        <f>IF(SUMIFS(Data!$U:$U,Data!$A:$A,$B44,Data!$C:$C,O$1)=0,"",SUMIFS(Data!$U:$U,Data!$A:$A,$B44,Data!$C:$C,O$1))</f>
        <v>3.3690476190476191</v>
      </c>
      <c r="P44" s="31">
        <f>IF(SUMIFS(Data!$U:$U,Data!$A:$A,$B44,Data!$C:$C,P$1)=0,"",SUMIFS(Data!$U:$U,Data!$A:$A,$B44,Data!$C:$C,P$1))</f>
        <v>2.236904761904762</v>
      </c>
      <c r="Q44" s="31">
        <f>IF(SUMIFS(Data!$U:$U,Data!$A:$A,$B44,Data!$C:$C,Q$1)=0,"",SUMIFS(Data!$U:$U,Data!$A:$A,$B44,Data!$C:$C,Q$1))</f>
        <v>2.9750000000000001</v>
      </c>
      <c r="R44" s="31">
        <f>VLOOKUP(B44,'#ligaSYR'!B:R,17,0)</f>
        <v>5</v>
      </c>
      <c r="S44" s="31">
        <f>SUM(C44:R44)</f>
        <v>41.673000000000002</v>
      </c>
      <c r="T44" s="31">
        <f>SUMIFS(Data!D:D,Data!A:A,B44)</f>
        <v>146.99</v>
      </c>
    </row>
    <row r="45" spans="1:20" ht="13" x14ac:dyDescent="0.3">
      <c r="A45" s="79">
        <v>44</v>
      </c>
      <c r="B45" s="30" t="s">
        <v>336</v>
      </c>
      <c r="C45" s="31">
        <f>IF(SUMIFS(Data!$U:$U,Data!$A:$A,$B45,Data!$C:$C,C$1)=0,"",SUMIFS(Data!$U:$U,Data!$A:$A,$B45,Data!$C:$C,C$1))</f>
        <v>3.2625000000000002</v>
      </c>
      <c r="D45" s="31">
        <f>IF(SUMIFS(Data!$U:$U,Data!$A:$A,$B45,Data!$C:$C,D$1)=0,"",SUMIFS(Data!$U:$U,Data!$A:$A,$B45,Data!$C:$C,D$1))</f>
        <v>2.0625</v>
      </c>
      <c r="E45" s="31">
        <f>IF(SUMIFS(Data!$U:$U,Data!$A:$A,$B45,Data!$C:$C,E$1)=0,"",SUMIFS(Data!$U:$U,Data!$A:$A,$B45,Data!$C:$C,E$1))</f>
        <v>2.0375000000000001</v>
      </c>
      <c r="F45" s="31">
        <f>IF(SUMIFS(Data!$U:$U,Data!$A:$A,$B45,Data!$C:$C,F$1)=0,"",SUMIFS(Data!$U:$U,Data!$A:$A,$B45,Data!$C:$C,F$1))</f>
        <v>3.2625000000000002</v>
      </c>
      <c r="G45" s="31">
        <f>IF(SUMIFS(Data!$U:$U,Data!$A:$A,$B45,Data!$C:$C,G$1)=0,"",SUMIFS(Data!$U:$U,Data!$A:$A,$B45,Data!$C:$C,G$1))</f>
        <v>2.4249999999999998</v>
      </c>
      <c r="H45" s="31">
        <f>IF(SUMIFS(Data!$U:$U,Data!$A:$A,$B45,Data!$C:$C,H$1)=0,"",SUMIFS(Data!$U:$U,Data!$A:$A,$B45,Data!$C:$C,H$1))</f>
        <v>2.2250000000000001</v>
      </c>
      <c r="I45" s="31">
        <f>IF(SUMIFS(Data!$U:$U,Data!$A:$A,$B45,Data!$C:$C,I$1)=0,"",SUMIFS(Data!$U:$U,Data!$A:$A,$B45,Data!$C:$C,I$1))</f>
        <v>3.1</v>
      </c>
      <c r="J45" s="31">
        <f>IF(SUMIFS(Data!$U:$U,Data!$A:$A,$B45,Data!$C:$C,J$1)=0,"",SUMIFS(Data!$U:$U,Data!$A:$A,$B45,Data!$C:$C,J$1))</f>
        <v>2.5499999999999998</v>
      </c>
      <c r="K45" s="31">
        <f>IF(SUMIFS(Data!$U:$U,Data!$A:$A,$B45,Data!$C:$C,K$1)=0,"",SUMIFS(Data!$U:$U,Data!$A:$A,$B45,Data!$C:$C,K$1))</f>
        <v>1.85</v>
      </c>
      <c r="L45" s="31">
        <f>IF(SUMIFS(Data!$U:$U,Data!$A:$A,$B45,Data!$C:$C,L$1)=0,"",SUMIFS(Data!$U:$U,Data!$A:$A,$B45,Data!$C:$C,L$1))</f>
        <v>3.2</v>
      </c>
      <c r="M45" s="31">
        <f>IF(SUMIFS(Data!$U:$U,Data!$A:$A,$B45,Data!$C:$C,M$1)=0,"",SUMIFS(Data!$U:$U,Data!$A:$A,$B45,Data!$C:$C,M$1))</f>
        <v>2.65</v>
      </c>
      <c r="N45" s="31">
        <f>IF(SUMIFS(Data!$U:$U,Data!$A:$A,$B45,Data!$C:$C,N$1)=0,"",SUMIFS(Data!$U:$U,Data!$A:$A,$B45,Data!$C:$C,N$1))</f>
        <v>2.3624999999999998</v>
      </c>
      <c r="O45" s="31">
        <f>IF(SUMIFS(Data!$U:$U,Data!$A:$A,$B45,Data!$C:$C,O$1)=0,"",SUMIFS(Data!$U:$U,Data!$A:$A,$B45,Data!$C:$C,O$1))</f>
        <v>3.125</v>
      </c>
      <c r="P45" s="31" t="str">
        <f>IF(SUMIFS(Data!$U:$U,Data!$A:$A,$B45,Data!$C:$C,P$1)=0,"",SUMIFS(Data!$U:$U,Data!$A:$A,$B45,Data!$C:$C,P$1))</f>
        <v/>
      </c>
      <c r="Q45" s="31">
        <f>IF(SUMIFS(Data!$U:$U,Data!$A:$A,$B45,Data!$C:$C,Q$1)=0,"",SUMIFS(Data!$U:$U,Data!$A:$A,$B45,Data!$C:$C,Q$1))</f>
        <v>2.2625000000000002</v>
      </c>
      <c r="R45" s="31">
        <f>VLOOKUP(B45,'#ligaSYR'!B:R,17,0)</f>
        <v>5</v>
      </c>
      <c r="S45" s="31">
        <f>SUM(C45:R45)</f>
        <v>41.375</v>
      </c>
      <c r="T45" s="31">
        <f>SUMIFS(Data!D:D,Data!A:A,B45)</f>
        <v>354.73999999999995</v>
      </c>
    </row>
    <row r="46" spans="1:20" ht="13" x14ac:dyDescent="0.3">
      <c r="A46" s="79">
        <v>45</v>
      </c>
      <c r="B46" s="30" t="s">
        <v>204</v>
      </c>
      <c r="C46" s="31">
        <f>IF(SUMIFS(Data!$U:$U,Data!$A:$A,$B46,Data!$C:$C,C$1)=0,"",SUMIFS(Data!$U:$U,Data!$A:$A,$B46,Data!$C:$C,C$1))</f>
        <v>1.6863095238095238</v>
      </c>
      <c r="D46" s="31">
        <f>IF(SUMIFS(Data!$U:$U,Data!$A:$A,$B46,Data!$C:$C,D$1)=0,"",SUMIFS(Data!$U:$U,Data!$A:$A,$B46,Data!$C:$C,D$1))</f>
        <v>1.926190476190476</v>
      </c>
      <c r="E46" s="31">
        <f>IF(SUMIFS(Data!$U:$U,Data!$A:$A,$B46,Data!$C:$C,E$1)=0,"",SUMIFS(Data!$U:$U,Data!$A:$A,$B46,Data!$C:$C,E$1))</f>
        <v>2.4273809523809522</v>
      </c>
      <c r="F46" s="31">
        <f>IF(SUMIFS(Data!$U:$U,Data!$A:$A,$B46,Data!$C:$C,F$1)=0,"",SUMIFS(Data!$U:$U,Data!$A:$A,$B46,Data!$C:$C,F$1))</f>
        <v>2.1065476190476189</v>
      </c>
      <c r="G46" s="31">
        <f>IF(SUMIFS(Data!$U:$U,Data!$A:$A,$B46,Data!$C:$C,G$1)=0,"",SUMIFS(Data!$U:$U,Data!$A:$A,$B46,Data!$C:$C,G$1))</f>
        <v>1.0904761904761904</v>
      </c>
      <c r="H46" s="31">
        <f>IF(SUMIFS(Data!$U:$U,Data!$A:$A,$B46,Data!$C:$C,H$1)=0,"",SUMIFS(Data!$U:$U,Data!$A:$A,$B46,Data!$C:$C,H$1))</f>
        <v>2.4738095238095239</v>
      </c>
      <c r="I46" s="31">
        <f>IF(SUMIFS(Data!$U:$U,Data!$A:$A,$B46,Data!$C:$C,I$1)=0,"",SUMIFS(Data!$U:$U,Data!$A:$A,$B46,Data!$C:$C,I$1))</f>
        <v>2.2392857142857139</v>
      </c>
      <c r="J46" s="31">
        <f>IF(SUMIFS(Data!$U:$U,Data!$A:$A,$B46,Data!$C:$C,J$1)=0,"",SUMIFS(Data!$U:$U,Data!$A:$A,$B46,Data!$C:$C,J$1))</f>
        <v>3.2398809523809522</v>
      </c>
      <c r="K46" s="31">
        <f>IF(SUMIFS(Data!$U:$U,Data!$A:$A,$B46,Data!$C:$C,K$1)=0,"",SUMIFS(Data!$U:$U,Data!$A:$A,$B46,Data!$C:$C,K$1))</f>
        <v>1.9553571428571428</v>
      </c>
      <c r="L46" s="31">
        <f>IF(SUMIFS(Data!$U:$U,Data!$A:$A,$B46,Data!$C:$C,L$1)=0,"",SUMIFS(Data!$U:$U,Data!$A:$A,$B46,Data!$C:$C,L$1))</f>
        <v>2.3053571428571429</v>
      </c>
      <c r="M46" s="31">
        <f>IF(SUMIFS(Data!$U:$U,Data!$A:$A,$B46,Data!$C:$C,M$1)=0,"",SUMIFS(Data!$U:$U,Data!$A:$A,$B46,Data!$C:$C,M$1))</f>
        <v>4.1500000000000004</v>
      </c>
      <c r="N46" s="31">
        <f>IF(SUMIFS(Data!$U:$U,Data!$A:$A,$B46,Data!$C:$C,N$1)=0,"",SUMIFS(Data!$U:$U,Data!$A:$A,$B46,Data!$C:$C,N$1))</f>
        <v>2.1583333333333332</v>
      </c>
      <c r="O46" s="31">
        <f>IF(SUMIFS(Data!$U:$U,Data!$A:$A,$B46,Data!$C:$C,O$1)=0,"",SUMIFS(Data!$U:$U,Data!$A:$A,$B46,Data!$C:$C,O$1))</f>
        <v>2.6077380952380951</v>
      </c>
      <c r="P46" s="31">
        <f>IF(SUMIFS(Data!$U:$U,Data!$A:$A,$B46,Data!$C:$C,P$1)=0,"",SUMIFS(Data!$U:$U,Data!$A:$A,$B46,Data!$C:$C,P$1))</f>
        <v>1.6053571428571427</v>
      </c>
      <c r="Q46" s="31">
        <f>IF(SUMIFS(Data!$U:$U,Data!$A:$A,$B46,Data!$C:$C,Q$1)=0,"",SUMIFS(Data!$U:$U,Data!$A:$A,$B46,Data!$C:$C,Q$1))</f>
        <v>2.5226190476190475</v>
      </c>
      <c r="R46" s="31">
        <f>VLOOKUP(B46,'#ligaSYR'!B:R,17,0)</f>
        <v>5</v>
      </c>
      <c r="S46" s="31">
        <f>SUM(C46:R46)</f>
        <v>39.49464285714285</v>
      </c>
      <c r="T46" s="31">
        <f>SUMIFS(Data!D:D,Data!A:A,B46)</f>
        <v>149.85999999999999</v>
      </c>
    </row>
    <row r="47" spans="1:20" ht="13" x14ac:dyDescent="0.3">
      <c r="A47" s="79">
        <v>46</v>
      </c>
      <c r="B47" s="30" t="s">
        <v>125</v>
      </c>
      <c r="C47" s="31" t="str">
        <f>IF(SUMIFS(Data!$U:$U,Data!$A:$A,$B47,Data!$C:$C,C$1)=0,"",SUMIFS(Data!$U:$U,Data!$A:$A,$B47,Data!$C:$C,C$1))</f>
        <v/>
      </c>
      <c r="D47" s="31" t="str">
        <f>IF(SUMIFS(Data!$U:$U,Data!$A:$A,$B47,Data!$C:$C,D$1)=0,"",SUMIFS(Data!$U:$U,Data!$A:$A,$B47,Data!$C:$C,D$1))</f>
        <v/>
      </c>
      <c r="E47" s="31" t="str">
        <f>IF(SUMIFS(Data!$U:$U,Data!$A:$A,$B47,Data!$C:$C,E$1)=0,"",SUMIFS(Data!$U:$U,Data!$A:$A,$B47,Data!$C:$C,E$1))</f>
        <v/>
      </c>
      <c r="F47" s="31">
        <f>IF(SUMIFS(Data!$U:$U,Data!$A:$A,$B47,Data!$C:$C,F$1)=0,"",SUMIFS(Data!$U:$U,Data!$A:$A,$B47,Data!$C:$C,F$1))</f>
        <v>3.7958333333333334</v>
      </c>
      <c r="G47" s="31">
        <f>IF(SUMIFS(Data!$U:$U,Data!$A:$A,$B47,Data!$C:$C,G$1)=0,"",SUMIFS(Data!$U:$U,Data!$A:$A,$B47,Data!$C:$C,G$1))</f>
        <v>3.6791666666666667</v>
      </c>
      <c r="H47" s="31">
        <f>IF(SUMIFS(Data!$U:$U,Data!$A:$A,$B47,Data!$C:$C,H$1)=0,"",SUMIFS(Data!$U:$U,Data!$A:$A,$B47,Data!$C:$C,H$1))</f>
        <v>2.9558571428571425</v>
      </c>
      <c r="I47" s="31">
        <f>IF(SUMIFS(Data!$U:$U,Data!$A:$A,$B47,Data!$C:$C,I$1)=0,"",SUMIFS(Data!$U:$U,Data!$A:$A,$B47,Data!$C:$C,I$1))</f>
        <v>2.3235476190476194</v>
      </c>
      <c r="J47" s="31">
        <f>IF(SUMIFS(Data!$U:$U,Data!$A:$A,$B47,Data!$C:$C,J$1)=0,"",SUMIFS(Data!$U:$U,Data!$A:$A,$B47,Data!$C:$C,J$1))</f>
        <v>3.6708333333333334</v>
      </c>
      <c r="K47" s="31">
        <f>IF(SUMIFS(Data!$U:$U,Data!$A:$A,$B47,Data!$C:$C,K$1)=0,"",SUMIFS(Data!$U:$U,Data!$A:$A,$B47,Data!$C:$C,K$1))</f>
        <v>2.3273809523809526</v>
      </c>
      <c r="L47" s="31">
        <f>IF(SUMIFS(Data!$U:$U,Data!$A:$A,$B47,Data!$C:$C,L$1)=0,"",SUMIFS(Data!$U:$U,Data!$A:$A,$B47,Data!$C:$C,L$1))</f>
        <v>2.3297619047619049</v>
      </c>
      <c r="M47" s="31">
        <f>IF(SUMIFS(Data!$U:$U,Data!$A:$A,$B47,Data!$C:$C,M$1)=0,"",SUMIFS(Data!$U:$U,Data!$A:$A,$B47,Data!$C:$C,M$1))</f>
        <v>3.1404761904761904</v>
      </c>
      <c r="N47" s="31">
        <f>IF(SUMIFS(Data!$U:$U,Data!$A:$A,$B47,Data!$C:$C,N$1)=0,"",SUMIFS(Data!$U:$U,Data!$A:$A,$B47,Data!$C:$C,N$1))</f>
        <v>2.9982142857142859</v>
      </c>
      <c r="O47" s="31">
        <f>IF(SUMIFS(Data!$U:$U,Data!$A:$A,$B47,Data!$C:$C,O$1)=0,"",SUMIFS(Data!$U:$U,Data!$A:$A,$B47,Data!$C:$C,O$1))</f>
        <v>2.1916666666666664</v>
      </c>
      <c r="P47" s="31">
        <f>IF(SUMIFS(Data!$U:$U,Data!$A:$A,$B47,Data!$C:$C,P$1)=0,"",SUMIFS(Data!$U:$U,Data!$A:$A,$B47,Data!$C:$C,P$1))</f>
        <v>2.270833333333333</v>
      </c>
      <c r="Q47" s="31">
        <f>IF(SUMIFS(Data!$U:$U,Data!$A:$A,$B47,Data!$C:$C,Q$1)=0,"",SUMIFS(Data!$U:$U,Data!$A:$A,$B47,Data!$C:$C,Q$1))</f>
        <v>3.5005952380952383</v>
      </c>
      <c r="R47" s="31">
        <f>VLOOKUP(B47,'#ligaSYR'!B:R,17,0)</f>
        <v>4</v>
      </c>
      <c r="S47" s="31">
        <f>SUM(C47:R47)</f>
        <v>39.18416666666667</v>
      </c>
      <c r="T47" s="31">
        <f>SUMIFS(Data!D:D,Data!A:A,B47)</f>
        <v>128.36000000000001</v>
      </c>
    </row>
    <row r="48" spans="1:20" ht="13" x14ac:dyDescent="0.3">
      <c r="A48" s="79">
        <v>47</v>
      </c>
      <c r="B48" s="30" t="s">
        <v>343</v>
      </c>
      <c r="C48" s="31">
        <f>IF(SUMIFS(Data!$U:$U,Data!$A:$A,$B48,Data!$C:$C,C$1)=0,"",SUMIFS(Data!$U:$U,Data!$A:$A,$B48,Data!$C:$C,C$1))</f>
        <v>2.7357142857142858</v>
      </c>
      <c r="D48" s="31">
        <f>IF(SUMIFS(Data!$U:$U,Data!$A:$A,$B48,Data!$C:$C,D$1)=0,"",SUMIFS(Data!$U:$U,Data!$A:$A,$B48,Data!$C:$C,D$1))</f>
        <v>4.125</v>
      </c>
      <c r="E48" s="31">
        <f>IF(SUMIFS(Data!$U:$U,Data!$A:$A,$B48,Data!$C:$C,E$1)=0,"",SUMIFS(Data!$U:$U,Data!$A:$A,$B48,Data!$C:$C,E$1))</f>
        <v>4.0566666666666666</v>
      </c>
      <c r="F48" s="31">
        <f>IF(SUMIFS(Data!$U:$U,Data!$A:$A,$B48,Data!$C:$C,F$1)=0,"",SUMIFS(Data!$U:$U,Data!$A:$A,$B48,Data!$C:$C,F$1))</f>
        <v>4.1875</v>
      </c>
      <c r="G48" s="31">
        <f>IF(SUMIFS(Data!$U:$U,Data!$A:$A,$B48,Data!$C:$C,G$1)=0,"",SUMIFS(Data!$U:$U,Data!$A:$A,$B48,Data!$C:$C,G$1))</f>
        <v>3.7876904761904759</v>
      </c>
      <c r="H48" s="31">
        <f>IF(SUMIFS(Data!$U:$U,Data!$A:$A,$B48,Data!$C:$C,H$1)=0,"",SUMIFS(Data!$U:$U,Data!$A:$A,$B48,Data!$C:$C,H$1))</f>
        <v>3.4708333333333332</v>
      </c>
      <c r="I48" s="31">
        <f>IF(SUMIFS(Data!$U:$U,Data!$A:$A,$B48,Data!$C:$C,I$1)=0,"",SUMIFS(Data!$U:$U,Data!$A:$A,$B48,Data!$C:$C,I$1))</f>
        <v>4.4948333333333332</v>
      </c>
      <c r="J48" s="31">
        <f>IF(SUMIFS(Data!$U:$U,Data!$A:$A,$B48,Data!$C:$C,J$1)=0,"",SUMIFS(Data!$U:$U,Data!$A:$A,$B48,Data!$C:$C,J$1))</f>
        <v>3.7202380952380953</v>
      </c>
      <c r="K48" s="31">
        <f>IF(SUMIFS(Data!$U:$U,Data!$A:$A,$B48,Data!$C:$C,K$1)=0,"",SUMIFS(Data!$U:$U,Data!$A:$A,$B48,Data!$C:$C,K$1))</f>
        <v>3.4723809523809521</v>
      </c>
      <c r="L48" s="31" t="str">
        <f>IF(SUMIFS(Data!$U:$U,Data!$A:$A,$B48,Data!$C:$C,L$1)=0,"",SUMIFS(Data!$U:$U,Data!$A:$A,$B48,Data!$C:$C,L$1))</f>
        <v/>
      </c>
      <c r="M48" s="31" t="str">
        <f>IF(SUMIFS(Data!$U:$U,Data!$A:$A,$B48,Data!$C:$C,M$1)=0,"",SUMIFS(Data!$U:$U,Data!$A:$A,$B48,Data!$C:$C,M$1))</f>
        <v/>
      </c>
      <c r="N48" s="31" t="str">
        <f>IF(SUMIFS(Data!$U:$U,Data!$A:$A,$B48,Data!$C:$C,N$1)=0,"",SUMIFS(Data!$U:$U,Data!$A:$A,$B48,Data!$C:$C,N$1))</f>
        <v/>
      </c>
      <c r="O48" s="31" t="str">
        <f>IF(SUMIFS(Data!$U:$U,Data!$A:$A,$B48,Data!$C:$C,O$1)=0,"",SUMIFS(Data!$U:$U,Data!$A:$A,$B48,Data!$C:$C,O$1))</f>
        <v/>
      </c>
      <c r="P48" s="31" t="str">
        <f>IF(SUMIFS(Data!$U:$U,Data!$A:$A,$B48,Data!$C:$C,P$1)=0,"",SUMIFS(Data!$U:$U,Data!$A:$A,$B48,Data!$C:$C,P$1))</f>
        <v/>
      </c>
      <c r="Q48" s="31" t="str">
        <f>IF(SUMIFS(Data!$U:$U,Data!$A:$A,$B48,Data!$C:$C,Q$1)=0,"",SUMIFS(Data!$U:$U,Data!$A:$A,$B48,Data!$C:$C,Q$1))</f>
        <v/>
      </c>
      <c r="R48" s="31">
        <f>VLOOKUP(B48,'#ligaSYR'!B:R,17,0)</f>
        <v>2</v>
      </c>
      <c r="S48" s="31">
        <f>SUM(C48:R48)</f>
        <v>36.05085714285714</v>
      </c>
      <c r="T48" s="31">
        <f>SUMIFS(Data!D:D,Data!A:A,B48)</f>
        <v>150.22</v>
      </c>
    </row>
    <row r="49" spans="1:20" ht="13" x14ac:dyDescent="0.3">
      <c r="A49" s="79">
        <v>48</v>
      </c>
      <c r="B49" s="30" t="s">
        <v>369</v>
      </c>
      <c r="C49" s="31">
        <f>IF(SUMIFS(Data!$U:$U,Data!$A:$A,$B49,Data!$C:$C,C$1)=0,"",SUMIFS(Data!$U:$U,Data!$A:$A,$B49,Data!$C:$C,C$1))</f>
        <v>2.2831666666666663</v>
      </c>
      <c r="D49" s="31">
        <f>IF(SUMIFS(Data!$U:$U,Data!$A:$A,$B49,Data!$C:$C,D$1)=0,"",SUMIFS(Data!$U:$U,Data!$A:$A,$B49,Data!$C:$C,D$1))</f>
        <v>3.5476904761904762</v>
      </c>
      <c r="E49" s="31">
        <f>IF(SUMIFS(Data!$U:$U,Data!$A:$A,$B49,Data!$C:$C,E$1)=0,"",SUMIFS(Data!$U:$U,Data!$A:$A,$B49,Data!$C:$C,E$1))</f>
        <v>3.2090952380952378</v>
      </c>
      <c r="F49" s="31">
        <f>IF(SUMIFS(Data!$U:$U,Data!$A:$A,$B49,Data!$C:$C,F$1)=0,"",SUMIFS(Data!$U:$U,Data!$A:$A,$B49,Data!$C:$C,F$1))</f>
        <v>1.5</v>
      </c>
      <c r="G49" s="31" t="str">
        <f>IF(SUMIFS(Data!$U:$U,Data!$A:$A,$B49,Data!$C:$C,G$1)=0,"",SUMIFS(Data!$U:$U,Data!$A:$A,$B49,Data!$C:$C,G$1))</f>
        <v/>
      </c>
      <c r="H49" s="31">
        <f>IF(SUMIFS(Data!$U:$U,Data!$A:$A,$B49,Data!$C:$C,H$1)=0,"",SUMIFS(Data!$U:$U,Data!$A:$A,$B49,Data!$C:$C,H$1))</f>
        <v>3.0826666666666664</v>
      </c>
      <c r="I49" s="31">
        <f>IF(SUMIFS(Data!$U:$U,Data!$A:$A,$B49,Data!$C:$C,I$1)=0,"",SUMIFS(Data!$U:$U,Data!$A:$A,$B49,Data!$C:$C,I$1))</f>
        <v>2.7184523809523808</v>
      </c>
      <c r="J49" s="31">
        <f>IF(SUMIFS(Data!$U:$U,Data!$A:$A,$B49,Data!$C:$C,J$1)=0,"",SUMIFS(Data!$U:$U,Data!$A:$A,$B49,Data!$C:$C,J$1))</f>
        <v>2.9739761904761908</v>
      </c>
      <c r="K49" s="31">
        <f>IF(SUMIFS(Data!$U:$U,Data!$A:$A,$B49,Data!$C:$C,K$1)=0,"",SUMIFS(Data!$U:$U,Data!$A:$A,$B49,Data!$C:$C,K$1))</f>
        <v>1.950595238095238</v>
      </c>
      <c r="L49" s="31">
        <f>IF(SUMIFS(Data!$U:$U,Data!$A:$A,$B49,Data!$C:$C,L$1)=0,"",SUMIFS(Data!$U:$U,Data!$A:$A,$B49,Data!$C:$C,L$1))</f>
        <v>3.8716666666666666</v>
      </c>
      <c r="M49" s="31">
        <f>IF(SUMIFS(Data!$U:$U,Data!$A:$A,$B49,Data!$C:$C,M$1)=0,"",SUMIFS(Data!$U:$U,Data!$A:$A,$B49,Data!$C:$C,M$1))</f>
        <v>1.4255952380952381</v>
      </c>
      <c r="N49" s="31">
        <f>IF(SUMIFS(Data!$U:$U,Data!$A:$A,$B49,Data!$C:$C,N$1)=0,"",SUMIFS(Data!$U:$U,Data!$A:$A,$B49,Data!$C:$C,N$1))</f>
        <v>3.8166666666666669</v>
      </c>
      <c r="O49" s="31" t="str">
        <f>IF(SUMIFS(Data!$U:$U,Data!$A:$A,$B49,Data!$C:$C,O$1)=0,"",SUMIFS(Data!$U:$U,Data!$A:$A,$B49,Data!$C:$C,O$1))</f>
        <v/>
      </c>
      <c r="P49" s="31" t="str">
        <f>IF(SUMIFS(Data!$U:$U,Data!$A:$A,$B49,Data!$C:$C,P$1)=0,"",SUMIFS(Data!$U:$U,Data!$A:$A,$B49,Data!$C:$C,P$1))</f>
        <v/>
      </c>
      <c r="Q49" s="31">
        <f>IF(SUMIFS(Data!$U:$U,Data!$A:$A,$B49,Data!$C:$C,Q$1)=0,"",SUMIFS(Data!$U:$U,Data!$A:$A,$B49,Data!$C:$C,Q$1))</f>
        <v>3.625</v>
      </c>
      <c r="R49" s="31">
        <f>VLOOKUP(B49,'#ligaSYR'!B:R,17,0)</f>
        <v>0</v>
      </c>
      <c r="S49" s="31">
        <f>SUM(C49:R49)</f>
        <v>34.004571428571424</v>
      </c>
      <c r="T49" s="31">
        <f>SUMIFS(Data!D:D,Data!A:A,B49)</f>
        <v>201.25</v>
      </c>
    </row>
    <row r="50" spans="1:20" ht="13" x14ac:dyDescent="0.3">
      <c r="A50" s="79">
        <v>49</v>
      </c>
      <c r="B50" s="30" t="s">
        <v>300</v>
      </c>
      <c r="C50" s="31">
        <f>IF(SUMIFS(Data!$U:$U,Data!$A:$A,$B50,Data!$C:$C,C$1)=0,"",SUMIFS(Data!$U:$U,Data!$A:$A,$B50,Data!$C:$C,C$1))</f>
        <v>3.6375000000000002</v>
      </c>
      <c r="D50" s="31" t="str">
        <f>IF(SUMIFS(Data!$U:$U,Data!$A:$A,$B50,Data!$C:$C,D$1)=0,"",SUMIFS(Data!$U:$U,Data!$A:$A,$B50,Data!$C:$C,D$1))</f>
        <v/>
      </c>
      <c r="E50" s="31">
        <f>IF(SUMIFS(Data!$U:$U,Data!$A:$A,$B50,Data!$C:$C,E$1)=0,"",SUMIFS(Data!$U:$U,Data!$A:$A,$B50,Data!$C:$C,E$1))</f>
        <v>2.3136904761904762</v>
      </c>
      <c r="F50" s="31">
        <f>IF(SUMIFS(Data!$U:$U,Data!$A:$A,$B50,Data!$C:$C,F$1)=0,"",SUMIFS(Data!$U:$U,Data!$A:$A,$B50,Data!$C:$C,F$1))</f>
        <v>3.5750000000000002</v>
      </c>
      <c r="G50" s="31">
        <f>IF(SUMIFS(Data!$U:$U,Data!$A:$A,$B50,Data!$C:$C,G$1)=0,"",SUMIFS(Data!$U:$U,Data!$A:$A,$B50,Data!$C:$C,G$1))</f>
        <v>1.5</v>
      </c>
      <c r="H50" s="31" t="str">
        <f>IF(SUMIFS(Data!$U:$U,Data!$A:$A,$B50,Data!$C:$C,H$1)=0,"",SUMIFS(Data!$U:$U,Data!$A:$A,$B50,Data!$C:$C,H$1))</f>
        <v/>
      </c>
      <c r="I50" s="31" t="str">
        <f>IF(SUMIFS(Data!$U:$U,Data!$A:$A,$B50,Data!$C:$C,I$1)=0,"",SUMIFS(Data!$U:$U,Data!$A:$A,$B50,Data!$C:$C,I$1))</f>
        <v/>
      </c>
      <c r="J50" s="31">
        <f>IF(SUMIFS(Data!$U:$U,Data!$A:$A,$B50,Data!$C:$C,J$1)=0,"",SUMIFS(Data!$U:$U,Data!$A:$A,$B50,Data!$C:$C,J$1))</f>
        <v>2.4500000000000002</v>
      </c>
      <c r="K50" s="31">
        <f>IF(SUMIFS(Data!$U:$U,Data!$A:$A,$B50,Data!$C:$C,K$1)=0,"",SUMIFS(Data!$U:$U,Data!$A:$A,$B50,Data!$C:$C,K$1))</f>
        <v>2.4141428571428571</v>
      </c>
      <c r="L50" s="31">
        <f>IF(SUMIFS(Data!$U:$U,Data!$A:$A,$B50,Data!$C:$C,L$1)=0,"",SUMIFS(Data!$U:$U,Data!$A:$A,$B50,Data!$C:$C,L$1))</f>
        <v>1.8369047619047618</v>
      </c>
      <c r="M50" s="31">
        <f>IF(SUMIFS(Data!$U:$U,Data!$A:$A,$B50,Data!$C:$C,M$1)=0,"",SUMIFS(Data!$U:$U,Data!$A:$A,$B50,Data!$C:$C,M$1))</f>
        <v>3.0059523809523809</v>
      </c>
      <c r="N50" s="31">
        <f>IF(SUMIFS(Data!$U:$U,Data!$A:$A,$B50,Data!$C:$C,N$1)=0,"",SUMIFS(Data!$U:$U,Data!$A:$A,$B50,Data!$C:$C,N$1))</f>
        <v>1.6071428571428572</v>
      </c>
      <c r="O50" s="31">
        <f>IF(SUMIFS(Data!$U:$U,Data!$A:$A,$B50,Data!$C:$C,O$1)=0,"",SUMIFS(Data!$U:$U,Data!$A:$A,$B50,Data!$C:$C,O$1))</f>
        <v>3.4124999999999996</v>
      </c>
      <c r="P50" s="31">
        <f>IF(SUMIFS(Data!$U:$U,Data!$A:$A,$B50,Data!$C:$C,P$1)=0,"",SUMIFS(Data!$U:$U,Data!$A:$A,$B50,Data!$C:$C,P$1))</f>
        <v>3.4547619047619045</v>
      </c>
      <c r="Q50" s="31">
        <f>IF(SUMIFS(Data!$U:$U,Data!$A:$A,$B50,Data!$C:$C,Q$1)=0,"",SUMIFS(Data!$U:$U,Data!$A:$A,$B50,Data!$C:$C,Q$1))</f>
        <v>2.3583333333333334</v>
      </c>
      <c r="R50" s="31">
        <f>VLOOKUP(B50,'#ligaSYR'!B:R,17,0)</f>
        <v>2</v>
      </c>
      <c r="S50" s="31">
        <f>SUM(C50:R50)</f>
        <v>33.565928571428572</v>
      </c>
      <c r="T50" s="31">
        <f>SUMIFS(Data!D:D,Data!A:A,B50)</f>
        <v>148.53000000000003</v>
      </c>
    </row>
    <row r="51" spans="1:20" ht="13" x14ac:dyDescent="0.3">
      <c r="A51" s="79">
        <v>50</v>
      </c>
      <c r="B51" s="30" t="s">
        <v>430</v>
      </c>
      <c r="C51" s="31" t="str">
        <f>IF(SUMIFS(Data!$U:$U,Data!$A:$A,$B51,Data!$C:$C,C$1)=0,"",SUMIFS(Data!$U:$U,Data!$A:$A,$B51,Data!$C:$C,C$1))</f>
        <v/>
      </c>
      <c r="D51" s="31" t="str">
        <f>IF(SUMIFS(Data!$U:$U,Data!$A:$A,$B51,Data!$C:$C,D$1)=0,"",SUMIFS(Data!$U:$U,Data!$A:$A,$B51,Data!$C:$C,D$1))</f>
        <v/>
      </c>
      <c r="E51" s="31" t="str">
        <f>IF(SUMIFS(Data!$U:$U,Data!$A:$A,$B51,Data!$C:$C,E$1)=0,"",SUMIFS(Data!$U:$U,Data!$A:$A,$B51,Data!$C:$C,E$1))</f>
        <v/>
      </c>
      <c r="F51" s="31" t="str">
        <f>IF(SUMIFS(Data!$U:$U,Data!$A:$A,$B51,Data!$C:$C,F$1)=0,"",SUMIFS(Data!$U:$U,Data!$A:$A,$B51,Data!$C:$C,F$1))</f>
        <v/>
      </c>
      <c r="G51" s="31">
        <f>IF(SUMIFS(Data!$U:$U,Data!$A:$A,$B51,Data!$C:$C,G$1)=0,"",SUMIFS(Data!$U:$U,Data!$A:$A,$B51,Data!$C:$C,G$1))</f>
        <v>2.2261904761904763</v>
      </c>
      <c r="H51" s="31">
        <f>IF(SUMIFS(Data!$U:$U,Data!$A:$A,$B51,Data!$C:$C,H$1)=0,"",SUMIFS(Data!$U:$U,Data!$A:$A,$B51,Data!$C:$C,H$1))</f>
        <v>2.0892857142857144</v>
      </c>
      <c r="I51" s="31">
        <f>IF(SUMIFS(Data!$U:$U,Data!$A:$A,$B51,Data!$C:$C,I$1)=0,"",SUMIFS(Data!$U:$U,Data!$A:$A,$B51,Data!$C:$C,I$1))</f>
        <v>2.4910714285714288</v>
      </c>
      <c r="J51" s="31">
        <f>IF(SUMIFS(Data!$U:$U,Data!$A:$A,$B51,Data!$C:$C,J$1)=0,"",SUMIFS(Data!$U:$U,Data!$A:$A,$B51,Data!$C:$C,J$1))</f>
        <v>2.333333333333333</v>
      </c>
      <c r="K51" s="31">
        <f>IF(SUMIFS(Data!$U:$U,Data!$A:$A,$B51,Data!$C:$C,K$1)=0,"",SUMIFS(Data!$U:$U,Data!$A:$A,$B51,Data!$C:$C,K$1))</f>
        <v>2.5757142857142861</v>
      </c>
      <c r="L51" s="31">
        <f>IF(SUMIFS(Data!$U:$U,Data!$A:$A,$B51,Data!$C:$C,L$1)=0,"",SUMIFS(Data!$U:$U,Data!$A:$A,$B51,Data!$C:$C,L$1))</f>
        <v>3.1537619047619048</v>
      </c>
      <c r="M51" s="31">
        <f>IF(SUMIFS(Data!$U:$U,Data!$A:$A,$B51,Data!$C:$C,M$1)=0,"",SUMIFS(Data!$U:$U,Data!$A:$A,$B51,Data!$C:$C,M$1))</f>
        <v>3.2019761904761905</v>
      </c>
      <c r="N51" s="31">
        <f>IF(SUMIFS(Data!$U:$U,Data!$A:$A,$B51,Data!$C:$C,N$1)=0,"",SUMIFS(Data!$U:$U,Data!$A:$A,$B51,Data!$C:$C,N$1))</f>
        <v>2.3022857142857145</v>
      </c>
      <c r="O51" s="31">
        <f>IF(SUMIFS(Data!$U:$U,Data!$A:$A,$B51,Data!$C:$C,O$1)=0,"",SUMIFS(Data!$U:$U,Data!$A:$A,$B51,Data!$C:$C,O$1))</f>
        <v>3.5178571428571428</v>
      </c>
      <c r="P51" s="31">
        <f>IF(SUMIFS(Data!$U:$U,Data!$A:$A,$B51,Data!$C:$C,P$1)=0,"",SUMIFS(Data!$U:$U,Data!$A:$A,$B51,Data!$C:$C,P$1))</f>
        <v>2.0576428571428576</v>
      </c>
      <c r="Q51" s="31">
        <f>IF(SUMIFS(Data!$U:$U,Data!$A:$A,$B51,Data!$C:$C,Q$1)=0,"",SUMIFS(Data!$U:$U,Data!$A:$A,$B51,Data!$C:$C,Q$1))</f>
        <v>2.8284523809523807</v>
      </c>
      <c r="R51" s="31">
        <f>VLOOKUP(B51,'#ligaSYR'!B:R,17,0)</f>
        <v>3</v>
      </c>
      <c r="S51" s="31">
        <f>SUM(C51:R51)</f>
        <v>31.777571428571431</v>
      </c>
      <c r="T51" s="31">
        <f>SUMIFS(Data!D:D,Data!A:A,B51)</f>
        <v>144.12</v>
      </c>
    </row>
    <row r="52" spans="1:20" ht="13" x14ac:dyDescent="0.3">
      <c r="A52" s="79">
        <v>51</v>
      </c>
      <c r="B52" s="30" t="s">
        <v>448</v>
      </c>
      <c r="C52" s="31" t="str">
        <f>IF(SUMIFS(Data!$U:$U,Data!$A:$A,$B52,Data!$C:$C,C$1)=0,"",SUMIFS(Data!$U:$U,Data!$A:$A,$B52,Data!$C:$C,C$1))</f>
        <v/>
      </c>
      <c r="D52" s="31" t="str">
        <f>IF(SUMIFS(Data!$U:$U,Data!$A:$A,$B52,Data!$C:$C,D$1)=0,"",SUMIFS(Data!$U:$U,Data!$A:$A,$B52,Data!$C:$C,D$1))</f>
        <v/>
      </c>
      <c r="E52" s="31" t="str">
        <f>IF(SUMIFS(Data!$U:$U,Data!$A:$A,$B52,Data!$C:$C,E$1)=0,"",SUMIFS(Data!$U:$U,Data!$A:$A,$B52,Data!$C:$C,E$1))</f>
        <v/>
      </c>
      <c r="F52" s="31" t="str">
        <f>IF(SUMIFS(Data!$U:$U,Data!$A:$A,$B52,Data!$C:$C,F$1)=0,"",SUMIFS(Data!$U:$U,Data!$A:$A,$B52,Data!$C:$C,F$1))</f>
        <v/>
      </c>
      <c r="G52" s="31" t="str">
        <f>IF(SUMIFS(Data!$U:$U,Data!$A:$A,$B52,Data!$C:$C,G$1)=0,"",SUMIFS(Data!$U:$U,Data!$A:$A,$B52,Data!$C:$C,G$1))</f>
        <v/>
      </c>
      <c r="H52" s="31">
        <f>IF(SUMIFS(Data!$U:$U,Data!$A:$A,$B52,Data!$C:$C,H$1)=0,"",SUMIFS(Data!$U:$U,Data!$A:$A,$B52,Data!$C:$C,H$1))</f>
        <v>2.1124999999999998</v>
      </c>
      <c r="I52" s="31">
        <f>IF(SUMIFS(Data!$U:$U,Data!$A:$A,$B52,Data!$C:$C,I$1)=0,"",SUMIFS(Data!$U:$U,Data!$A:$A,$B52,Data!$C:$C,I$1))</f>
        <v>1.0109999999999999</v>
      </c>
      <c r="J52" s="31">
        <f>IF(SUMIFS(Data!$U:$U,Data!$A:$A,$B52,Data!$C:$C,J$1)=0,"",SUMIFS(Data!$U:$U,Data!$A:$A,$B52,Data!$C:$C,J$1))</f>
        <v>3.875</v>
      </c>
      <c r="K52" s="31">
        <f>IF(SUMIFS(Data!$U:$U,Data!$A:$A,$B52,Data!$C:$C,K$1)=0,"",SUMIFS(Data!$U:$U,Data!$A:$A,$B52,Data!$C:$C,K$1))</f>
        <v>3.4624999999999999</v>
      </c>
      <c r="L52" s="31">
        <f>IF(SUMIFS(Data!$U:$U,Data!$A:$A,$B52,Data!$C:$C,L$1)=0,"",SUMIFS(Data!$U:$U,Data!$A:$A,$B52,Data!$C:$C,L$1))</f>
        <v>2.169</v>
      </c>
      <c r="M52" s="31">
        <f>IF(SUMIFS(Data!$U:$U,Data!$A:$A,$B52,Data!$C:$C,M$1)=0,"",SUMIFS(Data!$U:$U,Data!$A:$A,$B52,Data!$C:$C,M$1))</f>
        <v>3.0625</v>
      </c>
      <c r="N52" s="31">
        <f>IF(SUMIFS(Data!$U:$U,Data!$A:$A,$B52,Data!$C:$C,N$1)=0,"",SUMIFS(Data!$U:$U,Data!$A:$A,$B52,Data!$C:$C,N$1))</f>
        <v>2.1375000000000002</v>
      </c>
      <c r="O52" s="31">
        <f>IF(SUMIFS(Data!$U:$U,Data!$A:$A,$B52,Data!$C:$C,O$1)=0,"",SUMIFS(Data!$U:$U,Data!$A:$A,$B52,Data!$C:$C,O$1))</f>
        <v>3.4</v>
      </c>
      <c r="P52" s="31">
        <f>IF(SUMIFS(Data!$U:$U,Data!$A:$A,$B52,Data!$C:$C,P$1)=0,"",SUMIFS(Data!$U:$U,Data!$A:$A,$B52,Data!$C:$C,P$1))</f>
        <v>3.2124999999999999</v>
      </c>
      <c r="Q52" s="31">
        <f>IF(SUMIFS(Data!$U:$U,Data!$A:$A,$B52,Data!$C:$C,Q$1)=0,"",SUMIFS(Data!$U:$U,Data!$A:$A,$B52,Data!$C:$C,Q$1))</f>
        <v>2.9390238095238099</v>
      </c>
      <c r="R52" s="31">
        <f>VLOOKUP(B52,'#ligaSYR'!B:R,17,0)</f>
        <v>3</v>
      </c>
      <c r="S52" s="31">
        <f>SUM(C52:R52)</f>
        <v>30.381523809523809</v>
      </c>
      <c r="T52" s="31">
        <f>SUMIFS(Data!D:D,Data!A:A,B52)</f>
        <v>247.43999999999997</v>
      </c>
    </row>
    <row r="53" spans="1:20" ht="13" x14ac:dyDescent="0.3">
      <c r="A53" s="79">
        <v>52</v>
      </c>
      <c r="B53" s="30" t="s">
        <v>296</v>
      </c>
      <c r="C53" s="31">
        <f>IF(SUMIFS(Data!$U:$U,Data!$A:$A,$B53,Data!$C:$C,C$1)=0,"",SUMIFS(Data!$U:$U,Data!$A:$A,$B53,Data!$C:$C,C$1))</f>
        <v>1.3264047619047621</v>
      </c>
      <c r="D53" s="31">
        <f>IF(SUMIFS(Data!$U:$U,Data!$A:$A,$B53,Data!$C:$C,D$1)=0,"",SUMIFS(Data!$U:$U,Data!$A:$A,$B53,Data!$C:$C,D$1))</f>
        <v>0.85288095238095241</v>
      </c>
      <c r="E53" s="31">
        <f>IF(SUMIFS(Data!$U:$U,Data!$A:$A,$B53,Data!$C:$C,E$1)=0,"",SUMIFS(Data!$U:$U,Data!$A:$A,$B53,Data!$C:$C,E$1))</f>
        <v>2.1508809523809522</v>
      </c>
      <c r="F53" s="31">
        <f>IF(SUMIFS(Data!$U:$U,Data!$A:$A,$B53,Data!$C:$C,F$1)=0,"",SUMIFS(Data!$U:$U,Data!$A:$A,$B53,Data!$C:$C,F$1))</f>
        <v>3.5616666666666665</v>
      </c>
      <c r="G53" s="31">
        <f>IF(SUMIFS(Data!$U:$U,Data!$A:$A,$B53,Data!$C:$C,G$1)=0,"",SUMIFS(Data!$U:$U,Data!$A:$A,$B53,Data!$C:$C,G$1))</f>
        <v>2.0576904761904764</v>
      </c>
      <c r="H53" s="31">
        <f>IF(SUMIFS(Data!$U:$U,Data!$A:$A,$B53,Data!$C:$C,H$1)=0,"",SUMIFS(Data!$U:$U,Data!$A:$A,$B53,Data!$C:$C,H$1))</f>
        <v>1.881547619047619</v>
      </c>
      <c r="I53" s="31">
        <f>IF(SUMIFS(Data!$U:$U,Data!$A:$A,$B53,Data!$C:$C,I$1)=0,"",SUMIFS(Data!$U:$U,Data!$A:$A,$B53,Data!$C:$C,I$1))</f>
        <v>1.7851904761904762</v>
      </c>
      <c r="J53" s="31">
        <f>IF(SUMIFS(Data!$U:$U,Data!$A:$A,$B53,Data!$C:$C,J$1)=0,"",SUMIFS(Data!$U:$U,Data!$A:$A,$B53,Data!$C:$C,J$1))</f>
        <v>2.2911904761904758</v>
      </c>
      <c r="K53" s="31">
        <f>IF(SUMIFS(Data!$U:$U,Data!$A:$A,$B53,Data!$C:$C,K$1)=0,"",SUMIFS(Data!$U:$U,Data!$A:$A,$B53,Data!$C:$C,K$1))</f>
        <v>2.1083333333333334</v>
      </c>
      <c r="L53" s="31">
        <f>IF(SUMIFS(Data!$U:$U,Data!$A:$A,$B53,Data!$C:$C,L$1)=0,"",SUMIFS(Data!$U:$U,Data!$A:$A,$B53,Data!$C:$C,L$1))</f>
        <v>2.5404047619047616</v>
      </c>
      <c r="M53" s="31">
        <f>IF(SUMIFS(Data!$U:$U,Data!$A:$A,$B53,Data!$C:$C,M$1)=0,"",SUMIFS(Data!$U:$U,Data!$A:$A,$B53,Data!$C:$C,M$1))</f>
        <v>1.3323809523809522</v>
      </c>
      <c r="N53" s="31">
        <f>IF(SUMIFS(Data!$U:$U,Data!$A:$A,$B53,Data!$C:$C,N$1)=0,"",SUMIFS(Data!$U:$U,Data!$A:$A,$B53,Data!$C:$C,N$1))</f>
        <v>2.8117380952380953</v>
      </c>
      <c r="O53" s="31">
        <f>IF(SUMIFS(Data!$U:$U,Data!$A:$A,$B53,Data!$C:$C,O$1)=0,"",SUMIFS(Data!$U:$U,Data!$A:$A,$B53,Data!$C:$C,O$1))</f>
        <v>1.268642857142857</v>
      </c>
      <c r="P53" s="31">
        <f>IF(SUMIFS(Data!$U:$U,Data!$A:$A,$B53,Data!$C:$C,P$1)=0,"",SUMIFS(Data!$U:$U,Data!$A:$A,$B53,Data!$C:$C,P$1))</f>
        <v>1.6083809523809525</v>
      </c>
      <c r="Q53" s="31">
        <f>IF(SUMIFS(Data!$U:$U,Data!$A:$A,$B53,Data!$C:$C,Q$1)=0,"",SUMIFS(Data!$U:$U,Data!$A:$A,$B53,Data!$C:$C,Q$1))</f>
        <v>1.544142857142857</v>
      </c>
      <c r="R53" s="31">
        <f>VLOOKUP(B53,'#ligaSYR'!B:R,17,0)</f>
        <v>1</v>
      </c>
      <c r="S53" s="31">
        <f>SUM(C53:R53)</f>
        <v>30.121476190476187</v>
      </c>
      <c r="T53" s="31">
        <f>SUMIFS(Data!D:D,Data!A:A,B53)</f>
        <v>146.29999999999998</v>
      </c>
    </row>
    <row r="54" spans="1:20" ht="13" x14ac:dyDescent="0.3">
      <c r="A54" s="79">
        <v>53</v>
      </c>
      <c r="B54" s="30" t="s">
        <v>284</v>
      </c>
      <c r="C54" s="31">
        <f>IF(SUMIFS(Data!$U:$U,Data!$A:$A,$B54,Data!$C:$C,C$1)=0,"",SUMIFS(Data!$U:$U,Data!$A:$A,$B54,Data!$C:$C,C$1))</f>
        <v>3.7183333333333333</v>
      </c>
      <c r="D54" s="31">
        <f>IF(SUMIFS(Data!$U:$U,Data!$A:$A,$B54,Data!$C:$C,D$1)=0,"",SUMIFS(Data!$U:$U,Data!$A:$A,$B54,Data!$C:$C,D$1))</f>
        <v>2.9855238095238095</v>
      </c>
      <c r="E54" s="31">
        <f>IF(SUMIFS(Data!$U:$U,Data!$A:$A,$B54,Data!$C:$C,E$1)=0,"",SUMIFS(Data!$U:$U,Data!$A:$A,$B54,Data!$C:$C,E$1))</f>
        <v>3.6751904761904761</v>
      </c>
      <c r="F54" s="31">
        <f>IF(SUMIFS(Data!$U:$U,Data!$A:$A,$B54,Data!$C:$C,F$1)=0,"",SUMIFS(Data!$U:$U,Data!$A:$A,$B54,Data!$C:$C,F$1))</f>
        <v>3.1868571428571428</v>
      </c>
      <c r="G54" s="31">
        <f>IF(SUMIFS(Data!$U:$U,Data!$A:$A,$B54,Data!$C:$C,G$1)=0,"",SUMIFS(Data!$U:$U,Data!$A:$A,$B54,Data!$C:$C,G$1))</f>
        <v>1.820238095238095</v>
      </c>
      <c r="H54" s="31">
        <f>IF(SUMIFS(Data!$U:$U,Data!$A:$A,$B54,Data!$C:$C,H$1)=0,"",SUMIFS(Data!$U:$U,Data!$A:$A,$B54,Data!$C:$C,H$1))</f>
        <v>1.5</v>
      </c>
      <c r="I54" s="31">
        <f>IF(SUMIFS(Data!$U:$U,Data!$A:$A,$B54,Data!$C:$C,I$1)=0,"",SUMIFS(Data!$U:$U,Data!$A:$A,$B54,Data!$C:$C,I$1))</f>
        <v>2.1398571428571431</v>
      </c>
      <c r="J54" s="31">
        <f>IF(SUMIFS(Data!$U:$U,Data!$A:$A,$B54,Data!$C:$C,J$1)=0,"",SUMIFS(Data!$U:$U,Data!$A:$A,$B54,Data!$C:$C,J$1))</f>
        <v>3.4419285714285714</v>
      </c>
      <c r="K54" s="31">
        <f>IF(SUMIFS(Data!$U:$U,Data!$A:$A,$B54,Data!$C:$C,K$1)=0,"",SUMIFS(Data!$U:$U,Data!$A:$A,$B54,Data!$C:$C,K$1))</f>
        <v>2.2065000000000001</v>
      </c>
      <c r="L54" s="31">
        <f>IF(SUMIFS(Data!$U:$U,Data!$A:$A,$B54,Data!$C:$C,L$1)=0,"",SUMIFS(Data!$U:$U,Data!$A:$A,$B54,Data!$C:$C,L$1))</f>
        <v>1.9804761904761905</v>
      </c>
      <c r="M54" s="31" t="str">
        <f>IF(SUMIFS(Data!$U:$U,Data!$A:$A,$B54,Data!$C:$C,M$1)=0,"",SUMIFS(Data!$U:$U,Data!$A:$A,$B54,Data!$C:$C,M$1))</f>
        <v/>
      </c>
      <c r="N54" s="31" t="str">
        <f>IF(SUMIFS(Data!$U:$U,Data!$A:$A,$B54,Data!$C:$C,N$1)=0,"",SUMIFS(Data!$U:$U,Data!$A:$A,$B54,Data!$C:$C,N$1))</f>
        <v/>
      </c>
      <c r="O54" s="31">
        <f>IF(SUMIFS(Data!$U:$U,Data!$A:$A,$B54,Data!$C:$C,O$1)=0,"",SUMIFS(Data!$U:$U,Data!$A:$A,$B54,Data!$C:$C,O$1))</f>
        <v>0.3125</v>
      </c>
      <c r="P54" s="31" t="str">
        <f>IF(SUMIFS(Data!$U:$U,Data!$A:$A,$B54,Data!$C:$C,P$1)=0,"",SUMIFS(Data!$U:$U,Data!$A:$A,$B54,Data!$C:$C,P$1))</f>
        <v/>
      </c>
      <c r="Q54" s="31" t="str">
        <f>IF(SUMIFS(Data!$U:$U,Data!$A:$A,$B54,Data!$C:$C,Q$1)=0,"",SUMIFS(Data!$U:$U,Data!$A:$A,$B54,Data!$C:$C,Q$1))</f>
        <v/>
      </c>
      <c r="R54" s="31">
        <f>VLOOKUP(B54,'#ligaSYR'!B:R,17,0)</f>
        <v>1</v>
      </c>
      <c r="S54" s="31">
        <f>SUM(C54:R54)</f>
        <v>27.96740476190476</v>
      </c>
      <c r="T54" s="31">
        <f>SUMIFS(Data!D:D,Data!A:A,B54)</f>
        <v>121.16</v>
      </c>
    </row>
    <row r="55" spans="1:20" ht="13" x14ac:dyDescent="0.3">
      <c r="A55" s="79">
        <v>54</v>
      </c>
      <c r="B55" s="30" t="s">
        <v>362</v>
      </c>
      <c r="C55" s="31">
        <f>IF(SUMIFS(Data!$U:$U,Data!$A:$A,$B55,Data!$C:$C,C$1)=0,"",SUMIFS(Data!$U:$U,Data!$A:$A,$B55,Data!$C:$C,C$1))</f>
        <v>4.8125</v>
      </c>
      <c r="D55" s="31">
        <f>IF(SUMIFS(Data!$U:$U,Data!$A:$A,$B55,Data!$C:$C,D$1)=0,"",SUMIFS(Data!$U:$U,Data!$A:$A,$B55,Data!$C:$C,D$1))</f>
        <v>3.8547857142857143</v>
      </c>
      <c r="E55" s="31" t="str">
        <f>IF(SUMIFS(Data!$U:$U,Data!$A:$A,$B55,Data!$C:$C,E$1)=0,"",SUMIFS(Data!$U:$U,Data!$A:$A,$B55,Data!$C:$C,E$1))</f>
        <v/>
      </c>
      <c r="F55" s="31">
        <f>IF(SUMIFS(Data!$U:$U,Data!$A:$A,$B55,Data!$C:$C,F$1)=0,"",SUMIFS(Data!$U:$U,Data!$A:$A,$B55,Data!$C:$C,F$1))</f>
        <v>3.6814999999999998</v>
      </c>
      <c r="G55" s="31">
        <f>IF(SUMIFS(Data!$U:$U,Data!$A:$A,$B55,Data!$C:$C,G$1)=0,"",SUMIFS(Data!$U:$U,Data!$A:$A,$B55,Data!$C:$C,G$1))</f>
        <v>5.9271666666666665</v>
      </c>
      <c r="H55" s="31">
        <f>IF(SUMIFS(Data!$U:$U,Data!$A:$A,$B55,Data!$C:$C,H$1)=0,"",SUMIFS(Data!$U:$U,Data!$A:$A,$B55,Data!$C:$C,H$1))</f>
        <v>1.9363095238095238</v>
      </c>
      <c r="I55" s="31">
        <f>IF(SUMIFS(Data!$U:$U,Data!$A:$A,$B55,Data!$C:$C,I$1)=0,"",SUMIFS(Data!$U:$U,Data!$A:$A,$B55,Data!$C:$C,I$1))</f>
        <v>2.116047619047619</v>
      </c>
      <c r="J55" s="31">
        <f>IF(SUMIFS(Data!$U:$U,Data!$A:$A,$B55,Data!$C:$C,J$1)=0,"",SUMIFS(Data!$U:$U,Data!$A:$A,$B55,Data!$C:$C,J$1))</f>
        <v>3.9697380952380952</v>
      </c>
      <c r="K55" s="31">
        <f>IF(SUMIFS(Data!$U:$U,Data!$A:$A,$B55,Data!$C:$C,K$1)=0,"",SUMIFS(Data!$U:$U,Data!$A:$A,$B55,Data!$C:$C,K$1))</f>
        <v>1.5446428571428572</v>
      </c>
      <c r="L55" s="31" t="str">
        <f>IF(SUMIFS(Data!$U:$U,Data!$A:$A,$B55,Data!$C:$C,L$1)=0,"",SUMIFS(Data!$U:$U,Data!$A:$A,$B55,Data!$C:$C,L$1))</f>
        <v/>
      </c>
      <c r="M55" s="31" t="str">
        <f>IF(SUMIFS(Data!$U:$U,Data!$A:$A,$B55,Data!$C:$C,M$1)=0,"",SUMIFS(Data!$U:$U,Data!$A:$A,$B55,Data!$C:$C,M$1))</f>
        <v/>
      </c>
      <c r="N55" s="31" t="str">
        <f>IF(SUMIFS(Data!$U:$U,Data!$A:$A,$B55,Data!$C:$C,N$1)=0,"",SUMIFS(Data!$U:$U,Data!$A:$A,$B55,Data!$C:$C,N$1))</f>
        <v/>
      </c>
      <c r="O55" s="31" t="str">
        <f>IF(SUMIFS(Data!$U:$U,Data!$A:$A,$B55,Data!$C:$C,O$1)=0,"",SUMIFS(Data!$U:$U,Data!$A:$A,$B55,Data!$C:$C,O$1))</f>
        <v/>
      </c>
      <c r="P55" s="31" t="str">
        <f>IF(SUMIFS(Data!$U:$U,Data!$A:$A,$B55,Data!$C:$C,P$1)=0,"",SUMIFS(Data!$U:$U,Data!$A:$A,$B55,Data!$C:$C,P$1))</f>
        <v/>
      </c>
      <c r="Q55" s="31" t="str">
        <f>IF(SUMIFS(Data!$U:$U,Data!$A:$A,$B55,Data!$C:$C,Q$1)=0,"",SUMIFS(Data!$U:$U,Data!$A:$A,$B55,Data!$C:$C,Q$1))</f>
        <v/>
      </c>
      <c r="R55" s="31">
        <f>VLOOKUP(B55,'#ligaSYR'!B:R,17,0)</f>
        <v>0</v>
      </c>
      <c r="S55" s="31">
        <f>SUM(C55:R55)</f>
        <v>27.84269047619048</v>
      </c>
      <c r="T55" s="31">
        <f>SUMIFS(Data!D:D,Data!A:A,B55)</f>
        <v>172.08</v>
      </c>
    </row>
    <row r="56" spans="1:20" ht="13" x14ac:dyDescent="0.3">
      <c r="A56" s="79">
        <v>55</v>
      </c>
      <c r="B56" s="30" t="s">
        <v>226</v>
      </c>
      <c r="C56" s="31" t="str">
        <f>IF(SUMIFS(Data!$U:$U,Data!$A:$A,$B56,Data!$C:$C,C$1)=0,"",SUMIFS(Data!$U:$U,Data!$A:$A,$B56,Data!$C:$C,C$1))</f>
        <v/>
      </c>
      <c r="D56" s="31" t="str">
        <f>IF(SUMIFS(Data!$U:$U,Data!$A:$A,$B56,Data!$C:$C,D$1)=0,"",SUMIFS(Data!$U:$U,Data!$A:$A,$B56,Data!$C:$C,D$1))</f>
        <v/>
      </c>
      <c r="E56" s="31">
        <f>IF(SUMIFS(Data!$U:$U,Data!$A:$A,$B56,Data!$C:$C,E$1)=0,"",SUMIFS(Data!$U:$U,Data!$A:$A,$B56,Data!$C:$C,E$1))</f>
        <v>1.5464285714285715</v>
      </c>
      <c r="F56" s="31">
        <f>IF(SUMIFS(Data!$U:$U,Data!$A:$A,$B56,Data!$C:$C,F$1)=0,"",SUMIFS(Data!$U:$U,Data!$A:$A,$B56,Data!$C:$C,F$1))</f>
        <v>1.6083333333333334</v>
      </c>
      <c r="G56" s="31">
        <f>IF(SUMIFS(Data!$U:$U,Data!$A:$A,$B56,Data!$C:$C,G$1)=0,"",SUMIFS(Data!$U:$U,Data!$A:$A,$B56,Data!$C:$C,G$1))</f>
        <v>1.7660714285714285</v>
      </c>
      <c r="H56" s="31">
        <f>IF(SUMIFS(Data!$U:$U,Data!$A:$A,$B56,Data!$C:$C,H$1)=0,"",SUMIFS(Data!$U:$U,Data!$A:$A,$B56,Data!$C:$C,H$1))</f>
        <v>2.0107142857142857</v>
      </c>
      <c r="I56" s="31">
        <f>IF(SUMIFS(Data!$U:$U,Data!$A:$A,$B56,Data!$C:$C,I$1)=0,"",SUMIFS(Data!$U:$U,Data!$A:$A,$B56,Data!$C:$C,I$1))</f>
        <v>2.8190476190476188</v>
      </c>
      <c r="J56" s="31">
        <f>IF(SUMIFS(Data!$U:$U,Data!$A:$A,$B56,Data!$C:$C,J$1)=0,"",SUMIFS(Data!$U:$U,Data!$A:$A,$B56,Data!$C:$C,J$1))</f>
        <v>2.8053571428571429</v>
      </c>
      <c r="K56" s="31">
        <f>IF(SUMIFS(Data!$U:$U,Data!$A:$A,$B56,Data!$C:$C,K$1)=0,"",SUMIFS(Data!$U:$U,Data!$A:$A,$B56,Data!$C:$C,K$1))</f>
        <v>2.2250000000000001</v>
      </c>
      <c r="L56" s="31">
        <f>IF(SUMIFS(Data!$U:$U,Data!$A:$A,$B56,Data!$C:$C,L$1)=0,"",SUMIFS(Data!$U:$U,Data!$A:$A,$B56,Data!$C:$C,L$1))</f>
        <v>3.4125000000000001</v>
      </c>
      <c r="M56" s="31">
        <f>IF(SUMIFS(Data!$U:$U,Data!$A:$A,$B56,Data!$C:$C,M$1)=0,"",SUMIFS(Data!$U:$U,Data!$A:$A,$B56,Data!$C:$C,M$1))</f>
        <v>1.5</v>
      </c>
      <c r="N56" s="31" t="str">
        <f>IF(SUMIFS(Data!$U:$U,Data!$A:$A,$B56,Data!$C:$C,N$1)=0,"",SUMIFS(Data!$U:$U,Data!$A:$A,$B56,Data!$C:$C,N$1))</f>
        <v/>
      </c>
      <c r="O56" s="31">
        <f>IF(SUMIFS(Data!$U:$U,Data!$A:$A,$B56,Data!$C:$C,O$1)=0,"",SUMIFS(Data!$U:$U,Data!$A:$A,$B56,Data!$C:$C,O$1))</f>
        <v>2.5017857142857141</v>
      </c>
      <c r="P56" s="31" t="str">
        <f>IF(SUMIFS(Data!$U:$U,Data!$A:$A,$B56,Data!$C:$C,P$1)=0,"",SUMIFS(Data!$U:$U,Data!$A:$A,$B56,Data!$C:$C,P$1))</f>
        <v/>
      </c>
      <c r="Q56" s="31">
        <f>IF(SUMIFS(Data!$U:$U,Data!$A:$A,$B56,Data!$C:$C,Q$1)=0,"",SUMIFS(Data!$U:$U,Data!$A:$A,$B56,Data!$C:$C,Q$1))</f>
        <v>0.95178571428571423</v>
      </c>
      <c r="R56" s="31">
        <f>VLOOKUP(B56,'#ligaSYR'!B:R,17,0)</f>
        <v>2</v>
      </c>
      <c r="S56" s="31">
        <f>SUM(C56:R56)</f>
        <v>25.147023809523809</v>
      </c>
      <c r="T56" s="31">
        <f>SUMIFS(Data!D:D,Data!A:A,B56)</f>
        <v>150.17000000000002</v>
      </c>
    </row>
    <row r="57" spans="1:20" ht="13" x14ac:dyDescent="0.3">
      <c r="A57" s="79">
        <v>56</v>
      </c>
      <c r="B57" s="30" t="s">
        <v>354</v>
      </c>
      <c r="C57" s="31">
        <f>IF(SUMIFS(Data!$U:$U,Data!$A:$A,$B57,Data!$C:$C,C$1)=0,"",SUMIFS(Data!$U:$U,Data!$A:$A,$B57,Data!$C:$C,C$1))</f>
        <v>2.6496666666666666</v>
      </c>
      <c r="D57" s="31">
        <f>IF(SUMIFS(Data!$U:$U,Data!$A:$A,$B57,Data!$C:$C,D$1)=0,"",SUMIFS(Data!$U:$U,Data!$A:$A,$B57,Data!$C:$C,D$1))</f>
        <v>1.5526666666666666</v>
      </c>
      <c r="E57" s="31">
        <f>IF(SUMIFS(Data!$U:$U,Data!$A:$A,$B57,Data!$C:$C,E$1)=0,"",SUMIFS(Data!$U:$U,Data!$A:$A,$B57,Data!$C:$C,E$1))</f>
        <v>2.2125714285714286</v>
      </c>
      <c r="F57" s="31">
        <f>IF(SUMIFS(Data!$U:$U,Data!$A:$A,$B57,Data!$C:$C,F$1)=0,"",SUMIFS(Data!$U:$U,Data!$A:$A,$B57,Data!$C:$C,F$1))</f>
        <v>1.0964285714285715</v>
      </c>
      <c r="G57" s="31">
        <f>IF(SUMIFS(Data!$U:$U,Data!$A:$A,$B57,Data!$C:$C,G$1)=0,"",SUMIFS(Data!$U:$U,Data!$A:$A,$B57,Data!$C:$C,G$1))</f>
        <v>1.561595238095238</v>
      </c>
      <c r="H57" s="31">
        <f>IF(SUMIFS(Data!$U:$U,Data!$A:$A,$B57,Data!$C:$C,H$1)=0,"",SUMIFS(Data!$U:$U,Data!$A:$A,$B57,Data!$C:$C,H$1))</f>
        <v>2.0072142857142858</v>
      </c>
      <c r="I57" s="31">
        <f>IF(SUMIFS(Data!$U:$U,Data!$A:$A,$B57,Data!$C:$C,I$1)=0,"",SUMIFS(Data!$U:$U,Data!$A:$A,$B57,Data!$C:$C,I$1))</f>
        <v>2.9125952380952378</v>
      </c>
      <c r="J57" s="31">
        <f>IF(SUMIFS(Data!$U:$U,Data!$A:$A,$B57,Data!$C:$C,J$1)=0,"",SUMIFS(Data!$U:$U,Data!$A:$A,$B57,Data!$C:$C,J$1))</f>
        <v>1.8976190476190475</v>
      </c>
      <c r="K57" s="31">
        <f>IF(SUMIFS(Data!$U:$U,Data!$A:$A,$B57,Data!$C:$C,K$1)=0,"",SUMIFS(Data!$U:$U,Data!$A:$A,$B57,Data!$C:$C,K$1))</f>
        <v>2.7251666666666665</v>
      </c>
      <c r="L57" s="31" t="str">
        <f>IF(SUMIFS(Data!$U:$U,Data!$A:$A,$B57,Data!$C:$C,L$1)=0,"",SUMIFS(Data!$U:$U,Data!$A:$A,$B57,Data!$C:$C,L$1))</f>
        <v/>
      </c>
      <c r="M57" s="31">
        <f>IF(SUMIFS(Data!$U:$U,Data!$A:$A,$B57,Data!$C:$C,M$1)=0,"",SUMIFS(Data!$U:$U,Data!$A:$A,$B57,Data!$C:$C,M$1))</f>
        <v>2.0694285714285714</v>
      </c>
      <c r="N57" s="31">
        <f>IF(SUMIFS(Data!$U:$U,Data!$A:$A,$B57,Data!$C:$C,N$1)=0,"",SUMIFS(Data!$U:$U,Data!$A:$A,$B57,Data!$C:$C,N$1))</f>
        <v>1.0997857142857144</v>
      </c>
      <c r="O57" s="31" t="str">
        <f>IF(SUMIFS(Data!$U:$U,Data!$A:$A,$B57,Data!$C:$C,O$1)=0,"",SUMIFS(Data!$U:$U,Data!$A:$A,$B57,Data!$C:$C,O$1))</f>
        <v/>
      </c>
      <c r="P57" s="31" t="str">
        <f>IF(SUMIFS(Data!$U:$U,Data!$A:$A,$B57,Data!$C:$C,P$1)=0,"",SUMIFS(Data!$U:$U,Data!$A:$A,$B57,Data!$C:$C,P$1))</f>
        <v/>
      </c>
      <c r="Q57" s="31" t="str">
        <f>IF(SUMIFS(Data!$U:$U,Data!$A:$A,$B57,Data!$C:$C,Q$1)=0,"",SUMIFS(Data!$U:$U,Data!$A:$A,$B57,Data!$C:$C,Q$1))</f>
        <v/>
      </c>
      <c r="R57" s="31">
        <f>VLOOKUP(B57,'#ligaSYR'!B:R,17,0)</f>
        <v>2</v>
      </c>
      <c r="S57" s="31">
        <f>SUM(C57:R57)</f>
        <v>23.784738095238094</v>
      </c>
      <c r="T57" s="31">
        <f>SUMIFS(Data!D:D,Data!A:A,B57)</f>
        <v>135.56</v>
      </c>
    </row>
    <row r="58" spans="1:20" ht="13" x14ac:dyDescent="0.3">
      <c r="A58" s="79">
        <v>57</v>
      </c>
      <c r="B58" s="30" t="s">
        <v>406</v>
      </c>
      <c r="C58" s="31" t="str">
        <f>IF(SUMIFS(Data!$U:$U,Data!$A:$A,$B58,Data!$C:$C,C$1)=0,"",SUMIFS(Data!$U:$U,Data!$A:$A,$B58,Data!$C:$C,C$1))</f>
        <v/>
      </c>
      <c r="D58" s="31" t="str">
        <f>IF(SUMIFS(Data!$U:$U,Data!$A:$A,$B58,Data!$C:$C,D$1)=0,"",SUMIFS(Data!$U:$U,Data!$A:$A,$B58,Data!$C:$C,D$1))</f>
        <v/>
      </c>
      <c r="E58" s="31" t="str">
        <f>IF(SUMIFS(Data!$U:$U,Data!$A:$A,$B58,Data!$C:$C,E$1)=0,"",SUMIFS(Data!$U:$U,Data!$A:$A,$B58,Data!$C:$C,E$1))</f>
        <v/>
      </c>
      <c r="F58" s="31">
        <f>IF(SUMIFS(Data!$U:$U,Data!$A:$A,$B58,Data!$C:$C,F$1)=0,"",SUMIFS(Data!$U:$U,Data!$A:$A,$B58,Data!$C:$C,F$1))</f>
        <v>3.3367619047619046</v>
      </c>
      <c r="G58" s="31">
        <f>IF(SUMIFS(Data!$U:$U,Data!$A:$A,$B58,Data!$C:$C,G$1)=0,"",SUMIFS(Data!$U:$U,Data!$A:$A,$B58,Data!$C:$C,G$1))</f>
        <v>3.5968333333333335</v>
      </c>
      <c r="H58" s="31">
        <f>IF(SUMIFS(Data!$U:$U,Data!$A:$A,$B58,Data!$C:$C,H$1)=0,"",SUMIFS(Data!$U:$U,Data!$A:$A,$B58,Data!$C:$C,H$1))</f>
        <v>2.8374285714285716</v>
      </c>
      <c r="I58" s="31">
        <f>IF(SUMIFS(Data!$U:$U,Data!$A:$A,$B58,Data!$C:$C,I$1)=0,"",SUMIFS(Data!$U:$U,Data!$A:$A,$B58,Data!$C:$C,I$1))</f>
        <v>3.7255000000000003</v>
      </c>
      <c r="J58" s="31">
        <f>IF(SUMIFS(Data!$U:$U,Data!$A:$A,$B58,Data!$C:$C,J$1)=0,"",SUMIFS(Data!$U:$U,Data!$A:$A,$B58,Data!$C:$C,J$1))</f>
        <v>2.7833333333333332</v>
      </c>
      <c r="K58" s="31" t="str">
        <f>IF(SUMIFS(Data!$U:$U,Data!$A:$A,$B58,Data!$C:$C,K$1)=0,"",SUMIFS(Data!$U:$U,Data!$A:$A,$B58,Data!$C:$C,K$1))</f>
        <v/>
      </c>
      <c r="L58" s="31">
        <f>IF(SUMIFS(Data!$U:$U,Data!$A:$A,$B58,Data!$C:$C,L$1)=0,"",SUMIFS(Data!$U:$U,Data!$A:$A,$B58,Data!$C:$C,L$1))</f>
        <v>3.7250000000000001</v>
      </c>
      <c r="M58" s="31" t="str">
        <f>IF(SUMIFS(Data!$U:$U,Data!$A:$A,$B58,Data!$C:$C,M$1)=0,"",SUMIFS(Data!$U:$U,Data!$A:$A,$B58,Data!$C:$C,M$1))</f>
        <v/>
      </c>
      <c r="N58" s="31" t="str">
        <f>IF(SUMIFS(Data!$U:$U,Data!$A:$A,$B58,Data!$C:$C,N$1)=0,"",SUMIFS(Data!$U:$U,Data!$A:$A,$B58,Data!$C:$C,N$1))</f>
        <v/>
      </c>
      <c r="O58" s="31">
        <f>IF(SUMIFS(Data!$U:$U,Data!$A:$A,$B58,Data!$C:$C,O$1)=0,"",SUMIFS(Data!$U:$U,Data!$A:$A,$B58,Data!$C:$C,O$1))</f>
        <v>2.1378333333333335</v>
      </c>
      <c r="P58" s="31" t="str">
        <f>IF(SUMIFS(Data!$U:$U,Data!$A:$A,$B58,Data!$C:$C,P$1)=0,"",SUMIFS(Data!$U:$U,Data!$A:$A,$B58,Data!$C:$C,P$1))</f>
        <v/>
      </c>
      <c r="Q58" s="31" t="str">
        <f>IF(SUMIFS(Data!$U:$U,Data!$A:$A,$B58,Data!$C:$C,Q$1)=0,"",SUMIFS(Data!$U:$U,Data!$A:$A,$B58,Data!$C:$C,Q$1))</f>
        <v/>
      </c>
      <c r="R58" s="31">
        <f>VLOOKUP(B58,'#ligaSYR'!B:R,17,0)</f>
        <v>0</v>
      </c>
      <c r="S58" s="31">
        <f>SUM(C58:R58)</f>
        <v>22.142690476190477</v>
      </c>
      <c r="T58" s="31">
        <f>SUMIFS(Data!D:D,Data!A:A,B58)</f>
        <v>118.32</v>
      </c>
    </row>
    <row r="59" spans="1:20" ht="13" x14ac:dyDescent="0.3">
      <c r="A59" s="79">
        <v>58</v>
      </c>
      <c r="B59" s="30" t="s">
        <v>301</v>
      </c>
      <c r="C59" s="31">
        <f>IF(SUMIFS(Data!$U:$U,Data!$A:$A,$B59,Data!$C:$C,C$1)=0,"",SUMIFS(Data!$U:$U,Data!$A:$A,$B59,Data!$C:$C,C$1))</f>
        <v>3.444547619047619</v>
      </c>
      <c r="D59" s="31">
        <f>IF(SUMIFS(Data!$U:$U,Data!$A:$A,$B59,Data!$C:$C,D$1)=0,"",SUMIFS(Data!$U:$U,Data!$A:$A,$B59,Data!$C:$C,D$1))</f>
        <v>2.141</v>
      </c>
      <c r="E59" s="31">
        <f>IF(SUMIFS(Data!$U:$U,Data!$A:$A,$B59,Data!$C:$C,E$1)=0,"",SUMIFS(Data!$U:$U,Data!$A:$A,$B59,Data!$C:$C,E$1))</f>
        <v>2.6184523809523808</v>
      </c>
      <c r="F59" s="31">
        <f>IF(SUMIFS(Data!$U:$U,Data!$A:$A,$B59,Data!$C:$C,F$1)=0,"",SUMIFS(Data!$U:$U,Data!$A:$A,$B59,Data!$C:$C,F$1))</f>
        <v>3.1185714285714283</v>
      </c>
      <c r="G59" s="31" t="str">
        <f>IF(SUMIFS(Data!$U:$U,Data!$A:$A,$B59,Data!$C:$C,G$1)=0,"",SUMIFS(Data!$U:$U,Data!$A:$A,$B59,Data!$C:$C,G$1))</f>
        <v/>
      </c>
      <c r="H59" s="31">
        <f>IF(SUMIFS(Data!$U:$U,Data!$A:$A,$B59,Data!$C:$C,H$1)=0,"",SUMIFS(Data!$U:$U,Data!$A:$A,$B59,Data!$C:$C,H$1))</f>
        <v>3.5998333333333332</v>
      </c>
      <c r="I59" s="31" t="str">
        <f>IF(SUMIFS(Data!$U:$U,Data!$A:$A,$B59,Data!$C:$C,I$1)=0,"",SUMIFS(Data!$U:$U,Data!$A:$A,$B59,Data!$C:$C,I$1))</f>
        <v/>
      </c>
      <c r="J59" s="31" t="str">
        <f>IF(SUMIFS(Data!$U:$U,Data!$A:$A,$B59,Data!$C:$C,J$1)=0,"",SUMIFS(Data!$U:$U,Data!$A:$A,$B59,Data!$C:$C,J$1))</f>
        <v/>
      </c>
      <c r="K59" s="31" t="str">
        <f>IF(SUMIFS(Data!$U:$U,Data!$A:$A,$B59,Data!$C:$C,K$1)=0,"",SUMIFS(Data!$U:$U,Data!$A:$A,$B59,Data!$C:$C,K$1))</f>
        <v/>
      </c>
      <c r="L59" s="31" t="str">
        <f>IF(SUMIFS(Data!$U:$U,Data!$A:$A,$B59,Data!$C:$C,L$1)=0,"",SUMIFS(Data!$U:$U,Data!$A:$A,$B59,Data!$C:$C,L$1))</f>
        <v/>
      </c>
      <c r="M59" s="31" t="str">
        <f>IF(SUMIFS(Data!$U:$U,Data!$A:$A,$B59,Data!$C:$C,M$1)=0,"",SUMIFS(Data!$U:$U,Data!$A:$A,$B59,Data!$C:$C,M$1))</f>
        <v/>
      </c>
      <c r="N59" s="31">
        <f>IF(SUMIFS(Data!$U:$U,Data!$A:$A,$B59,Data!$C:$C,N$1)=0,"",SUMIFS(Data!$U:$U,Data!$A:$A,$B59,Data!$C:$C,N$1))</f>
        <v>2.5964285714285715</v>
      </c>
      <c r="O59" s="31">
        <f>IF(SUMIFS(Data!$U:$U,Data!$A:$A,$B59,Data!$C:$C,O$1)=0,"",SUMIFS(Data!$U:$U,Data!$A:$A,$B59,Data!$C:$C,O$1))</f>
        <v>2.4738095238095239</v>
      </c>
      <c r="P59" s="31" t="str">
        <f>IF(SUMIFS(Data!$U:$U,Data!$A:$A,$B59,Data!$C:$C,P$1)=0,"",SUMIFS(Data!$U:$U,Data!$A:$A,$B59,Data!$C:$C,P$1))</f>
        <v/>
      </c>
      <c r="Q59" s="31" t="str">
        <f>IF(SUMIFS(Data!$U:$U,Data!$A:$A,$B59,Data!$C:$C,Q$1)=0,"",SUMIFS(Data!$U:$U,Data!$A:$A,$B59,Data!$C:$C,Q$1))</f>
        <v/>
      </c>
      <c r="R59" s="31">
        <f>VLOOKUP(B59,'#ligaSYR'!B:R,17,0)</f>
        <v>1</v>
      </c>
      <c r="S59" s="31">
        <f>SUM(C59:R59)</f>
        <v>20.992642857142858</v>
      </c>
      <c r="T59" s="31">
        <f>SUMIFS(Data!D:D,Data!A:A,B59)</f>
        <v>105.65</v>
      </c>
    </row>
    <row r="60" spans="1:20" ht="13" x14ac:dyDescent="0.3">
      <c r="A60" s="79">
        <v>59</v>
      </c>
      <c r="B60" s="30" t="s">
        <v>364</v>
      </c>
      <c r="C60" s="31">
        <f>IF(SUMIFS(Data!$U:$U,Data!$A:$A,$B60,Data!$C:$C,C$1)=0,"",SUMIFS(Data!$U:$U,Data!$A:$A,$B60,Data!$C:$C,C$1))</f>
        <v>1.5297619047619047</v>
      </c>
      <c r="D60" s="31">
        <f>IF(SUMIFS(Data!$U:$U,Data!$A:$A,$B60,Data!$C:$C,D$1)=0,"",SUMIFS(Data!$U:$U,Data!$A:$A,$B60,Data!$C:$C,D$1))</f>
        <v>2.0833095238095236</v>
      </c>
      <c r="E60" s="31">
        <f>IF(SUMIFS(Data!$U:$U,Data!$A:$A,$B60,Data!$C:$C,E$1)=0,"",SUMIFS(Data!$U:$U,Data!$A:$A,$B60,Data!$C:$C,E$1))</f>
        <v>1.9065476190476192</v>
      </c>
      <c r="F60" s="31">
        <f>IF(SUMIFS(Data!$U:$U,Data!$A:$A,$B60,Data!$C:$C,F$1)=0,"",SUMIFS(Data!$U:$U,Data!$A:$A,$B60,Data!$C:$C,F$1))</f>
        <v>2.7184523809523808</v>
      </c>
      <c r="G60" s="31">
        <f>IF(SUMIFS(Data!$U:$U,Data!$A:$A,$B60,Data!$C:$C,G$1)=0,"",SUMIFS(Data!$U:$U,Data!$A:$A,$B60,Data!$C:$C,G$1))</f>
        <v>3.1101190476190474</v>
      </c>
      <c r="H60" s="31">
        <f>IF(SUMIFS(Data!$U:$U,Data!$A:$A,$B60,Data!$C:$C,H$1)=0,"",SUMIFS(Data!$U:$U,Data!$A:$A,$B60,Data!$C:$C,H$1))</f>
        <v>3.3066666666666666</v>
      </c>
      <c r="I60" s="31" t="str">
        <f>IF(SUMIFS(Data!$U:$U,Data!$A:$A,$B60,Data!$C:$C,I$1)=0,"",SUMIFS(Data!$U:$U,Data!$A:$A,$B60,Data!$C:$C,I$1))</f>
        <v/>
      </c>
      <c r="J60" s="31">
        <f>IF(SUMIFS(Data!$U:$U,Data!$A:$A,$B60,Data!$C:$C,J$1)=0,"",SUMIFS(Data!$U:$U,Data!$A:$A,$B60,Data!$C:$C,J$1))</f>
        <v>2.1857142857142859</v>
      </c>
      <c r="K60" s="31">
        <f>IF(SUMIFS(Data!$U:$U,Data!$A:$A,$B60,Data!$C:$C,K$1)=0,"",SUMIFS(Data!$U:$U,Data!$A:$A,$B60,Data!$C:$C,K$1))</f>
        <v>1.4898809523809524</v>
      </c>
      <c r="L60" s="31" t="str">
        <f>IF(SUMIFS(Data!$U:$U,Data!$A:$A,$B60,Data!$C:$C,L$1)=0,"",SUMIFS(Data!$U:$U,Data!$A:$A,$B60,Data!$C:$C,L$1))</f>
        <v/>
      </c>
      <c r="M60" s="31" t="str">
        <f>IF(SUMIFS(Data!$U:$U,Data!$A:$A,$B60,Data!$C:$C,M$1)=0,"",SUMIFS(Data!$U:$U,Data!$A:$A,$B60,Data!$C:$C,M$1))</f>
        <v/>
      </c>
      <c r="N60" s="31" t="str">
        <f>IF(SUMIFS(Data!$U:$U,Data!$A:$A,$B60,Data!$C:$C,N$1)=0,"",SUMIFS(Data!$U:$U,Data!$A:$A,$B60,Data!$C:$C,N$1))</f>
        <v/>
      </c>
      <c r="O60" s="31" t="str">
        <f>IF(SUMIFS(Data!$U:$U,Data!$A:$A,$B60,Data!$C:$C,O$1)=0,"",SUMIFS(Data!$U:$U,Data!$A:$A,$B60,Data!$C:$C,O$1))</f>
        <v/>
      </c>
      <c r="P60" s="31" t="str">
        <f>IF(SUMIFS(Data!$U:$U,Data!$A:$A,$B60,Data!$C:$C,P$1)=0,"",SUMIFS(Data!$U:$U,Data!$A:$A,$B60,Data!$C:$C,P$1))</f>
        <v/>
      </c>
      <c r="Q60" s="31" t="str">
        <f>IF(SUMIFS(Data!$U:$U,Data!$A:$A,$B60,Data!$C:$C,Q$1)=0,"",SUMIFS(Data!$U:$U,Data!$A:$A,$B60,Data!$C:$C,Q$1))</f>
        <v/>
      </c>
      <c r="R60" s="31">
        <f>VLOOKUP(B60,'#ligaSYR'!B:R,17,0)</f>
        <v>2</v>
      </c>
      <c r="S60" s="31">
        <f>SUM(C60:R60)</f>
        <v>20.33045238095238</v>
      </c>
      <c r="T60" s="31">
        <f>SUMIFS(Data!D:D,Data!A:A,B60)</f>
        <v>98.67</v>
      </c>
    </row>
    <row r="61" spans="1:20" ht="13" x14ac:dyDescent="0.3">
      <c r="A61" s="79">
        <v>60</v>
      </c>
      <c r="B61" s="30" t="s">
        <v>245</v>
      </c>
      <c r="C61" s="31">
        <f>IF(SUMIFS(Data!$U:$U,Data!$A:$A,$B61,Data!$C:$C,C$1)=0,"",SUMIFS(Data!$U:$U,Data!$A:$A,$B61,Data!$C:$C,C$1))</f>
        <v>2.5863095238095237</v>
      </c>
      <c r="D61" s="31">
        <f>IF(SUMIFS(Data!$U:$U,Data!$A:$A,$B61,Data!$C:$C,D$1)=0,"",SUMIFS(Data!$U:$U,Data!$A:$A,$B61,Data!$C:$C,D$1))</f>
        <v>2.8720238095238093</v>
      </c>
      <c r="E61" s="31" t="str">
        <f>IF(SUMIFS(Data!$U:$U,Data!$A:$A,$B61,Data!$C:$C,E$1)=0,"",SUMIFS(Data!$U:$U,Data!$A:$A,$B61,Data!$C:$C,E$1))</f>
        <v/>
      </c>
      <c r="F61" s="31">
        <f>IF(SUMIFS(Data!$U:$U,Data!$A:$A,$B61,Data!$C:$C,F$1)=0,"",SUMIFS(Data!$U:$U,Data!$A:$A,$B61,Data!$C:$C,F$1))</f>
        <v>2.2791666666666668</v>
      </c>
      <c r="G61" s="31">
        <f>IF(SUMIFS(Data!$U:$U,Data!$A:$A,$B61,Data!$C:$C,G$1)=0,"",SUMIFS(Data!$U:$U,Data!$A:$A,$B61,Data!$C:$C,G$1))</f>
        <v>1.5</v>
      </c>
      <c r="H61" s="31">
        <f>IF(SUMIFS(Data!$U:$U,Data!$A:$A,$B61,Data!$C:$C,H$1)=0,"",SUMIFS(Data!$U:$U,Data!$A:$A,$B61,Data!$C:$C,H$1))</f>
        <v>3.4375</v>
      </c>
      <c r="I61" s="31">
        <f>IF(SUMIFS(Data!$U:$U,Data!$A:$A,$B61,Data!$C:$C,I$1)=0,"",SUMIFS(Data!$U:$U,Data!$A:$A,$B61,Data!$C:$C,I$1))</f>
        <v>4.5533333333333337</v>
      </c>
      <c r="J61" s="31">
        <f>IF(SUMIFS(Data!$U:$U,Data!$A:$A,$B61,Data!$C:$C,J$1)=0,"",SUMIFS(Data!$U:$U,Data!$A:$A,$B61,Data!$C:$C,J$1))</f>
        <v>2.7315476190476189</v>
      </c>
      <c r="K61" s="31" t="str">
        <f>IF(SUMIFS(Data!$U:$U,Data!$A:$A,$B61,Data!$C:$C,K$1)=0,"",SUMIFS(Data!$U:$U,Data!$A:$A,$B61,Data!$C:$C,K$1))</f>
        <v/>
      </c>
      <c r="L61" s="31" t="str">
        <f>IF(SUMIFS(Data!$U:$U,Data!$A:$A,$B61,Data!$C:$C,L$1)=0,"",SUMIFS(Data!$U:$U,Data!$A:$A,$B61,Data!$C:$C,L$1))</f>
        <v/>
      </c>
      <c r="M61" s="31" t="str">
        <f>IF(SUMIFS(Data!$U:$U,Data!$A:$A,$B61,Data!$C:$C,M$1)=0,"",SUMIFS(Data!$U:$U,Data!$A:$A,$B61,Data!$C:$C,M$1))</f>
        <v/>
      </c>
      <c r="N61" s="31" t="str">
        <f>IF(SUMIFS(Data!$U:$U,Data!$A:$A,$B61,Data!$C:$C,N$1)=0,"",SUMIFS(Data!$U:$U,Data!$A:$A,$B61,Data!$C:$C,N$1))</f>
        <v/>
      </c>
      <c r="O61" s="31" t="str">
        <f>IF(SUMIFS(Data!$U:$U,Data!$A:$A,$B61,Data!$C:$C,O$1)=0,"",SUMIFS(Data!$U:$U,Data!$A:$A,$B61,Data!$C:$C,O$1))</f>
        <v/>
      </c>
      <c r="P61" s="31" t="str">
        <f>IF(SUMIFS(Data!$U:$U,Data!$A:$A,$B61,Data!$C:$C,P$1)=0,"",SUMIFS(Data!$U:$U,Data!$A:$A,$B61,Data!$C:$C,P$1))</f>
        <v/>
      </c>
      <c r="Q61" s="31" t="str">
        <f>IF(SUMIFS(Data!$U:$U,Data!$A:$A,$B61,Data!$C:$C,Q$1)=0,"",SUMIFS(Data!$U:$U,Data!$A:$A,$B61,Data!$C:$C,Q$1))</f>
        <v/>
      </c>
      <c r="R61" s="31">
        <f>VLOOKUP(B61,'#ligaSYR'!B:R,17,0)</f>
        <v>0</v>
      </c>
      <c r="S61" s="31">
        <f>SUM(C61:R61)</f>
        <v>19.959880952380953</v>
      </c>
      <c r="T61" s="31">
        <f>SUMIFS(Data!D:D,Data!A:A,B61)</f>
        <v>83.259999999999991</v>
      </c>
    </row>
    <row r="62" spans="1:20" ht="13" x14ac:dyDescent="0.3">
      <c r="A62" s="79">
        <v>61</v>
      </c>
      <c r="B62" s="30" t="s">
        <v>293</v>
      </c>
      <c r="C62" s="31">
        <f>IF(SUMIFS(Data!$U:$U,Data!$A:$A,$B62,Data!$C:$C,C$1)=0,"",SUMIFS(Data!$U:$U,Data!$A:$A,$B62,Data!$C:$C,C$1))</f>
        <v>3.6375000000000002</v>
      </c>
      <c r="D62" s="31">
        <f>IF(SUMIFS(Data!$U:$U,Data!$A:$A,$B62,Data!$C:$C,D$1)=0,"",SUMIFS(Data!$U:$U,Data!$A:$A,$B62,Data!$C:$C,D$1))</f>
        <v>3.1669999999999998</v>
      </c>
      <c r="E62" s="31">
        <f>IF(SUMIFS(Data!$U:$U,Data!$A:$A,$B62,Data!$C:$C,E$1)=0,"",SUMIFS(Data!$U:$U,Data!$A:$A,$B62,Data!$C:$C,E$1))</f>
        <v>3.8596666666666666</v>
      </c>
      <c r="F62" s="31">
        <f>IF(SUMIFS(Data!$U:$U,Data!$A:$A,$B62,Data!$C:$C,F$1)=0,"",SUMIFS(Data!$U:$U,Data!$A:$A,$B62,Data!$C:$C,F$1))</f>
        <v>3.4755000000000003</v>
      </c>
      <c r="G62" s="31">
        <f>IF(SUMIFS(Data!$U:$U,Data!$A:$A,$B62,Data!$C:$C,G$1)=0,"",SUMIFS(Data!$U:$U,Data!$A:$A,$B62,Data!$C:$C,G$1))</f>
        <v>3.6873333333333331</v>
      </c>
      <c r="H62" s="31" t="str">
        <f>IF(SUMIFS(Data!$U:$U,Data!$A:$A,$B62,Data!$C:$C,H$1)=0,"",SUMIFS(Data!$U:$U,Data!$A:$A,$B62,Data!$C:$C,H$1))</f>
        <v/>
      </c>
      <c r="I62" s="31" t="str">
        <f>IF(SUMIFS(Data!$U:$U,Data!$A:$A,$B62,Data!$C:$C,I$1)=0,"",SUMIFS(Data!$U:$U,Data!$A:$A,$B62,Data!$C:$C,I$1))</f>
        <v/>
      </c>
      <c r="J62" s="31" t="str">
        <f>IF(SUMIFS(Data!$U:$U,Data!$A:$A,$B62,Data!$C:$C,J$1)=0,"",SUMIFS(Data!$U:$U,Data!$A:$A,$B62,Data!$C:$C,J$1))</f>
        <v/>
      </c>
      <c r="K62" s="31" t="str">
        <f>IF(SUMIFS(Data!$U:$U,Data!$A:$A,$B62,Data!$C:$C,K$1)=0,"",SUMIFS(Data!$U:$U,Data!$A:$A,$B62,Data!$C:$C,K$1))</f>
        <v/>
      </c>
      <c r="L62" s="31" t="str">
        <f>IF(SUMIFS(Data!$U:$U,Data!$A:$A,$B62,Data!$C:$C,L$1)=0,"",SUMIFS(Data!$U:$U,Data!$A:$A,$B62,Data!$C:$C,L$1))</f>
        <v/>
      </c>
      <c r="M62" s="31" t="str">
        <f>IF(SUMIFS(Data!$U:$U,Data!$A:$A,$B62,Data!$C:$C,M$1)=0,"",SUMIFS(Data!$U:$U,Data!$A:$A,$B62,Data!$C:$C,M$1))</f>
        <v/>
      </c>
      <c r="N62" s="31" t="str">
        <f>IF(SUMIFS(Data!$U:$U,Data!$A:$A,$B62,Data!$C:$C,N$1)=0,"",SUMIFS(Data!$U:$U,Data!$A:$A,$B62,Data!$C:$C,N$1))</f>
        <v/>
      </c>
      <c r="O62" s="31" t="str">
        <f>IF(SUMIFS(Data!$U:$U,Data!$A:$A,$B62,Data!$C:$C,O$1)=0,"",SUMIFS(Data!$U:$U,Data!$A:$A,$B62,Data!$C:$C,O$1))</f>
        <v/>
      </c>
      <c r="P62" s="31" t="str">
        <f>IF(SUMIFS(Data!$U:$U,Data!$A:$A,$B62,Data!$C:$C,P$1)=0,"",SUMIFS(Data!$U:$U,Data!$A:$A,$B62,Data!$C:$C,P$1))</f>
        <v/>
      </c>
      <c r="Q62" s="31" t="str">
        <f>IF(SUMIFS(Data!$U:$U,Data!$A:$A,$B62,Data!$C:$C,Q$1)=0,"",SUMIFS(Data!$U:$U,Data!$A:$A,$B62,Data!$C:$C,Q$1))</f>
        <v/>
      </c>
      <c r="R62" s="31">
        <f>VLOOKUP(B62,'#ligaSYR'!B:R,17,0)</f>
        <v>0</v>
      </c>
      <c r="S62" s="31">
        <f>SUM(C62:R62)</f>
        <v>17.826999999999998</v>
      </c>
      <c r="T62" s="31">
        <f>SUMIFS(Data!D:D,Data!A:A,B62)</f>
        <v>132.47</v>
      </c>
    </row>
    <row r="63" spans="1:20" ht="13" x14ac:dyDescent="0.3">
      <c r="A63" s="79">
        <v>62</v>
      </c>
      <c r="B63" s="79" t="s">
        <v>483</v>
      </c>
      <c r="C63" s="31" t="str">
        <f>IF(SUMIFS(Data!$U:$U,Data!$A:$A,$B63,Data!$C:$C,C$1)=0,"",SUMIFS(Data!$U:$U,Data!$A:$A,$B63,Data!$C:$C,C$1))</f>
        <v/>
      </c>
      <c r="D63" s="31" t="str">
        <f>IF(SUMIFS(Data!$U:$U,Data!$A:$A,$B63,Data!$C:$C,D$1)=0,"",SUMIFS(Data!$U:$U,Data!$A:$A,$B63,Data!$C:$C,D$1))</f>
        <v/>
      </c>
      <c r="E63" s="31" t="str">
        <f>IF(SUMIFS(Data!$U:$U,Data!$A:$A,$B63,Data!$C:$C,E$1)=0,"",SUMIFS(Data!$U:$U,Data!$A:$A,$B63,Data!$C:$C,E$1))</f>
        <v/>
      </c>
      <c r="F63" s="31" t="str">
        <f>IF(SUMIFS(Data!$U:$U,Data!$A:$A,$B63,Data!$C:$C,F$1)=0,"",SUMIFS(Data!$U:$U,Data!$A:$A,$B63,Data!$C:$C,F$1))</f>
        <v/>
      </c>
      <c r="G63" s="31" t="str">
        <f>IF(SUMIFS(Data!$U:$U,Data!$A:$A,$B63,Data!$C:$C,G$1)=0,"",SUMIFS(Data!$U:$U,Data!$A:$A,$B63,Data!$C:$C,G$1))</f>
        <v/>
      </c>
      <c r="H63" s="31" t="str">
        <f>IF(SUMIFS(Data!$U:$U,Data!$A:$A,$B63,Data!$C:$C,H$1)=0,"",SUMIFS(Data!$U:$U,Data!$A:$A,$B63,Data!$C:$C,H$1))</f>
        <v/>
      </c>
      <c r="I63" s="31" t="str">
        <f>IF(SUMIFS(Data!$U:$U,Data!$A:$A,$B63,Data!$C:$C,I$1)=0,"",SUMIFS(Data!$U:$U,Data!$A:$A,$B63,Data!$C:$C,I$1))</f>
        <v/>
      </c>
      <c r="J63" s="31" t="str">
        <f>IF(SUMIFS(Data!$U:$U,Data!$A:$A,$B63,Data!$C:$C,J$1)=0,"",SUMIFS(Data!$U:$U,Data!$A:$A,$B63,Data!$C:$C,J$1))</f>
        <v/>
      </c>
      <c r="K63" s="31">
        <f>IF(SUMIFS(Data!$U:$U,Data!$A:$A,$B63,Data!$C:$C,K$1)=0,"",SUMIFS(Data!$U:$U,Data!$A:$A,$B63,Data!$C:$C,K$1))</f>
        <v>2.610214285714286</v>
      </c>
      <c r="L63" s="31">
        <f>IF(SUMIFS(Data!$U:$U,Data!$A:$A,$B63,Data!$C:$C,L$1)=0,"",SUMIFS(Data!$U:$U,Data!$A:$A,$B63,Data!$C:$C,L$1))</f>
        <v>2.6467857142857145</v>
      </c>
      <c r="M63" s="31" t="str">
        <f>IF(SUMIFS(Data!$U:$U,Data!$A:$A,$B63,Data!$C:$C,M$1)=0,"",SUMIFS(Data!$U:$U,Data!$A:$A,$B63,Data!$C:$C,M$1))</f>
        <v/>
      </c>
      <c r="N63" s="31">
        <f>IF(SUMIFS(Data!$U:$U,Data!$A:$A,$B63,Data!$C:$C,N$1)=0,"",SUMIFS(Data!$U:$U,Data!$A:$A,$B63,Data!$C:$C,N$1))</f>
        <v>2.0458809523809522</v>
      </c>
      <c r="O63" s="31">
        <f>IF(SUMIFS(Data!$U:$U,Data!$A:$A,$B63,Data!$C:$C,O$1)=0,"",SUMIFS(Data!$U:$U,Data!$A:$A,$B63,Data!$C:$C,O$1))</f>
        <v>4.1946666666666665</v>
      </c>
      <c r="P63" s="31">
        <f>IF(SUMIFS(Data!$U:$U,Data!$A:$A,$B63,Data!$C:$C,P$1)=0,"",SUMIFS(Data!$U:$U,Data!$A:$A,$B63,Data!$C:$C,P$1))</f>
        <v>2.6573333333333338</v>
      </c>
      <c r="Q63" s="31">
        <f>IF(SUMIFS(Data!$U:$U,Data!$A:$A,$B63,Data!$C:$C,Q$1)=0,"",SUMIFS(Data!$U:$U,Data!$A:$A,$B63,Data!$C:$C,Q$1))</f>
        <v>2.2182857142857144</v>
      </c>
      <c r="R63" s="31">
        <f>VLOOKUP(B63,'#ligaSYR'!B:R,17,0)</f>
        <v>1</v>
      </c>
      <c r="S63" s="31">
        <f>SUM(C63:R63)</f>
        <v>17.373166666666666</v>
      </c>
      <c r="T63" s="31">
        <f>SUMIFS(Data!D:D,Data!A:A,B63)</f>
        <v>103.79</v>
      </c>
    </row>
    <row r="64" spans="1:20" ht="13" x14ac:dyDescent="0.3">
      <c r="A64" s="79">
        <v>63</v>
      </c>
      <c r="B64" s="30" t="s">
        <v>206</v>
      </c>
      <c r="C64" s="31" t="str">
        <f>IF(SUMIFS(Data!$U:$U,Data!$A:$A,$B64,Data!$C:$C,C$1)=0,"",SUMIFS(Data!$U:$U,Data!$A:$A,$B64,Data!$C:$C,C$1))</f>
        <v/>
      </c>
      <c r="D64" s="31" t="str">
        <f>IF(SUMIFS(Data!$U:$U,Data!$A:$A,$B64,Data!$C:$C,D$1)=0,"",SUMIFS(Data!$U:$U,Data!$A:$A,$B64,Data!$C:$C,D$1))</f>
        <v/>
      </c>
      <c r="E64" s="31" t="str">
        <f>IF(SUMIFS(Data!$U:$U,Data!$A:$A,$B64,Data!$C:$C,E$1)=0,"",SUMIFS(Data!$U:$U,Data!$A:$A,$B64,Data!$C:$C,E$1))</f>
        <v/>
      </c>
      <c r="F64" s="31">
        <f>IF(SUMIFS(Data!$U:$U,Data!$A:$A,$B64,Data!$C:$C,F$1)=0,"",SUMIFS(Data!$U:$U,Data!$A:$A,$B64,Data!$C:$C,F$1))</f>
        <v>3.5208333333333335</v>
      </c>
      <c r="G64" s="31" t="str">
        <f>IF(SUMIFS(Data!$U:$U,Data!$A:$A,$B64,Data!$C:$C,G$1)=0,"",SUMIFS(Data!$U:$U,Data!$A:$A,$B64,Data!$C:$C,G$1))</f>
        <v/>
      </c>
      <c r="H64" s="31">
        <f>IF(SUMIFS(Data!$U:$U,Data!$A:$A,$B64,Data!$C:$C,H$1)=0,"",SUMIFS(Data!$U:$U,Data!$A:$A,$B64,Data!$C:$C,H$1))</f>
        <v>2.468</v>
      </c>
      <c r="I64" s="31">
        <f>IF(SUMIFS(Data!$U:$U,Data!$A:$A,$B64,Data!$C:$C,I$1)=0,"",SUMIFS(Data!$U:$U,Data!$A:$A,$B64,Data!$C:$C,I$1))</f>
        <v>3.7</v>
      </c>
      <c r="J64" s="31">
        <f>IF(SUMIFS(Data!$U:$U,Data!$A:$A,$B64,Data!$C:$C,J$1)=0,"",SUMIFS(Data!$U:$U,Data!$A:$A,$B64,Data!$C:$C,J$1))</f>
        <v>3.1523809523809523</v>
      </c>
      <c r="K64" s="31">
        <f>IF(SUMIFS(Data!$U:$U,Data!$A:$A,$B64,Data!$C:$C,K$1)=0,"",SUMIFS(Data!$U:$U,Data!$A:$A,$B64,Data!$C:$C,K$1))</f>
        <v>4.2141666666666664</v>
      </c>
      <c r="L64" s="31" t="str">
        <f>IF(SUMIFS(Data!$U:$U,Data!$A:$A,$B64,Data!$C:$C,L$1)=0,"",SUMIFS(Data!$U:$U,Data!$A:$A,$B64,Data!$C:$C,L$1))</f>
        <v/>
      </c>
      <c r="M64" s="31" t="str">
        <f>IF(SUMIFS(Data!$U:$U,Data!$A:$A,$B64,Data!$C:$C,M$1)=0,"",SUMIFS(Data!$U:$U,Data!$A:$A,$B64,Data!$C:$C,M$1))</f>
        <v/>
      </c>
      <c r="N64" s="31" t="str">
        <f>IF(SUMIFS(Data!$U:$U,Data!$A:$A,$B64,Data!$C:$C,N$1)=0,"",SUMIFS(Data!$U:$U,Data!$A:$A,$B64,Data!$C:$C,N$1))</f>
        <v/>
      </c>
      <c r="O64" s="31" t="str">
        <f>IF(SUMIFS(Data!$U:$U,Data!$A:$A,$B64,Data!$C:$C,O$1)=0,"",SUMIFS(Data!$U:$U,Data!$A:$A,$B64,Data!$C:$C,O$1))</f>
        <v/>
      </c>
      <c r="P64" s="31" t="str">
        <f>IF(SUMIFS(Data!$U:$U,Data!$A:$A,$B64,Data!$C:$C,P$1)=0,"",SUMIFS(Data!$U:$U,Data!$A:$A,$B64,Data!$C:$C,P$1))</f>
        <v/>
      </c>
      <c r="Q64" s="31" t="str">
        <f>IF(SUMIFS(Data!$U:$U,Data!$A:$A,$B64,Data!$C:$C,Q$1)=0,"",SUMIFS(Data!$U:$U,Data!$A:$A,$B64,Data!$C:$C,Q$1))</f>
        <v/>
      </c>
      <c r="R64" s="31">
        <f>VLOOKUP(B64,'#ligaSYR'!B:R,17,0)</f>
        <v>0</v>
      </c>
      <c r="S64" s="31">
        <f>SUM(C64:R64)</f>
        <v>17.055380952380954</v>
      </c>
      <c r="T64" s="31">
        <f>SUMIFS(Data!D:D,Data!A:A,B64)</f>
        <v>115.51</v>
      </c>
    </row>
    <row r="65" spans="1:20" ht="13" x14ac:dyDescent="0.3">
      <c r="A65" s="79">
        <v>64</v>
      </c>
      <c r="B65" s="30" t="s">
        <v>63</v>
      </c>
      <c r="C65" s="31" t="str">
        <f>IF(SUMIFS(Data!$U:$U,Data!$A:$A,$B65,Data!$C:$C,C$1)=0,"",SUMIFS(Data!$U:$U,Data!$A:$A,$B65,Data!$C:$C,C$1))</f>
        <v/>
      </c>
      <c r="D65" s="31">
        <f>IF(SUMIFS(Data!$U:$U,Data!$A:$A,$B65,Data!$C:$C,D$1)=0,"",SUMIFS(Data!$U:$U,Data!$A:$A,$B65,Data!$C:$C,D$1))</f>
        <v>2.5803095238095235</v>
      </c>
      <c r="E65" s="31" t="str">
        <f>IF(SUMIFS(Data!$U:$U,Data!$A:$A,$B65,Data!$C:$C,E$1)=0,"",SUMIFS(Data!$U:$U,Data!$A:$A,$B65,Data!$C:$C,E$1))</f>
        <v/>
      </c>
      <c r="F65" s="31">
        <f>IF(SUMIFS(Data!$U:$U,Data!$A:$A,$B65,Data!$C:$C,F$1)=0,"",SUMIFS(Data!$U:$U,Data!$A:$A,$B65,Data!$C:$C,F$1))</f>
        <v>1.5</v>
      </c>
      <c r="G65" s="31" t="str">
        <f>IF(SUMIFS(Data!$U:$U,Data!$A:$A,$B65,Data!$C:$C,G$1)=0,"",SUMIFS(Data!$U:$U,Data!$A:$A,$B65,Data!$C:$C,G$1))</f>
        <v/>
      </c>
      <c r="H65" s="31" t="str">
        <f>IF(SUMIFS(Data!$U:$U,Data!$A:$A,$B65,Data!$C:$C,H$1)=0,"",SUMIFS(Data!$U:$U,Data!$A:$A,$B65,Data!$C:$C,H$1))</f>
        <v/>
      </c>
      <c r="I65" s="31" t="str">
        <f>IF(SUMIFS(Data!$U:$U,Data!$A:$A,$B65,Data!$C:$C,I$1)=0,"",SUMIFS(Data!$U:$U,Data!$A:$A,$B65,Data!$C:$C,I$1))</f>
        <v/>
      </c>
      <c r="J65" s="31">
        <f>IF(SUMIFS(Data!$U:$U,Data!$A:$A,$B65,Data!$C:$C,J$1)=0,"",SUMIFS(Data!$U:$U,Data!$A:$A,$B65,Data!$C:$C,J$1))</f>
        <v>2.3755952380952379</v>
      </c>
      <c r="K65" s="31" t="str">
        <f>IF(SUMIFS(Data!$U:$U,Data!$A:$A,$B65,Data!$C:$C,K$1)=0,"",SUMIFS(Data!$U:$U,Data!$A:$A,$B65,Data!$C:$C,K$1))</f>
        <v/>
      </c>
      <c r="L65" s="31" t="str">
        <f>IF(SUMIFS(Data!$U:$U,Data!$A:$A,$B65,Data!$C:$C,L$1)=0,"",SUMIFS(Data!$U:$U,Data!$A:$A,$B65,Data!$C:$C,L$1))</f>
        <v/>
      </c>
      <c r="M65" s="31" t="str">
        <f>IF(SUMIFS(Data!$U:$U,Data!$A:$A,$B65,Data!$C:$C,M$1)=0,"",SUMIFS(Data!$U:$U,Data!$A:$A,$B65,Data!$C:$C,M$1))</f>
        <v/>
      </c>
      <c r="N65" s="31" t="str">
        <f>IF(SUMIFS(Data!$U:$U,Data!$A:$A,$B65,Data!$C:$C,N$1)=0,"",SUMIFS(Data!$U:$U,Data!$A:$A,$B65,Data!$C:$C,N$1))</f>
        <v/>
      </c>
      <c r="O65" s="31">
        <f>IF(SUMIFS(Data!$U:$U,Data!$A:$A,$B65,Data!$C:$C,O$1)=0,"",SUMIFS(Data!$U:$U,Data!$A:$A,$B65,Data!$C:$C,O$1))</f>
        <v>3.1630000000000003</v>
      </c>
      <c r="P65" s="31" t="str">
        <f>IF(SUMIFS(Data!$U:$U,Data!$A:$A,$B65,Data!$C:$C,P$1)=0,"",SUMIFS(Data!$U:$U,Data!$A:$A,$B65,Data!$C:$C,P$1))</f>
        <v/>
      </c>
      <c r="Q65" s="31">
        <f>IF(SUMIFS(Data!$U:$U,Data!$A:$A,$B65,Data!$C:$C,Q$1)=0,"",SUMIFS(Data!$U:$U,Data!$A:$A,$B65,Data!$C:$C,Q$1))</f>
        <v>5.3100000000000005</v>
      </c>
      <c r="R65" s="31">
        <f>VLOOKUP(B65,'#ligaSYR'!B:R,17,0)</f>
        <v>0</v>
      </c>
      <c r="S65" s="31">
        <f>SUM(C65:R65)</f>
        <v>14.928904761904763</v>
      </c>
      <c r="T65" s="31">
        <f>SUMIFS(Data!D:D,Data!A:A,B65)</f>
        <v>64.108472222222218</v>
      </c>
    </row>
    <row r="66" spans="1:20" ht="13" x14ac:dyDescent="0.3">
      <c r="A66" s="79">
        <v>65</v>
      </c>
      <c r="B66" s="30" t="s">
        <v>469</v>
      </c>
      <c r="C66" s="31" t="str">
        <f>IF(SUMIFS(Data!$U:$U,Data!$A:$A,$B66,Data!$C:$C,C$1)=0,"",SUMIFS(Data!$U:$U,Data!$A:$A,$B66,Data!$C:$C,C$1))</f>
        <v/>
      </c>
      <c r="D66" s="31" t="str">
        <f>IF(SUMIFS(Data!$U:$U,Data!$A:$A,$B66,Data!$C:$C,D$1)=0,"",SUMIFS(Data!$U:$U,Data!$A:$A,$B66,Data!$C:$C,D$1))</f>
        <v/>
      </c>
      <c r="E66" s="31" t="str">
        <f>IF(SUMIFS(Data!$U:$U,Data!$A:$A,$B66,Data!$C:$C,E$1)=0,"",SUMIFS(Data!$U:$U,Data!$A:$A,$B66,Data!$C:$C,E$1))</f>
        <v/>
      </c>
      <c r="F66" s="31" t="str">
        <f>IF(SUMIFS(Data!$U:$U,Data!$A:$A,$B66,Data!$C:$C,F$1)=0,"",SUMIFS(Data!$U:$U,Data!$A:$A,$B66,Data!$C:$C,F$1))</f>
        <v/>
      </c>
      <c r="G66" s="31" t="str">
        <f>IF(SUMIFS(Data!$U:$U,Data!$A:$A,$B66,Data!$C:$C,G$1)=0,"",SUMIFS(Data!$U:$U,Data!$A:$A,$B66,Data!$C:$C,G$1))</f>
        <v/>
      </c>
      <c r="H66" s="31" t="str">
        <f>IF(SUMIFS(Data!$U:$U,Data!$A:$A,$B66,Data!$C:$C,H$1)=0,"",SUMIFS(Data!$U:$U,Data!$A:$A,$B66,Data!$C:$C,H$1))</f>
        <v/>
      </c>
      <c r="I66" s="31" t="str">
        <f>IF(SUMIFS(Data!$U:$U,Data!$A:$A,$B66,Data!$C:$C,I$1)=0,"",SUMIFS(Data!$U:$U,Data!$A:$A,$B66,Data!$C:$C,I$1))</f>
        <v/>
      </c>
      <c r="J66" s="31">
        <f>IF(SUMIFS(Data!$U:$U,Data!$A:$A,$B66,Data!$C:$C,J$1)=0,"",SUMIFS(Data!$U:$U,Data!$A:$A,$B66,Data!$C:$C,J$1))</f>
        <v>3.7016666666666667</v>
      </c>
      <c r="K66" s="31" t="str">
        <f>IF(SUMIFS(Data!$U:$U,Data!$A:$A,$B66,Data!$C:$C,K$1)=0,"",SUMIFS(Data!$U:$U,Data!$A:$A,$B66,Data!$C:$C,K$1))</f>
        <v/>
      </c>
      <c r="L66" s="31">
        <f>IF(SUMIFS(Data!$U:$U,Data!$A:$A,$B66,Data!$C:$C,L$1)=0,"",SUMIFS(Data!$U:$U,Data!$A:$A,$B66,Data!$C:$C,L$1))</f>
        <v>3.3650238095238096</v>
      </c>
      <c r="M66" s="31" t="str">
        <f>IF(SUMIFS(Data!$U:$U,Data!$A:$A,$B66,Data!$C:$C,M$1)=0,"",SUMIFS(Data!$U:$U,Data!$A:$A,$B66,Data!$C:$C,M$1))</f>
        <v/>
      </c>
      <c r="N66" s="31" t="str">
        <f>IF(SUMIFS(Data!$U:$U,Data!$A:$A,$B66,Data!$C:$C,N$1)=0,"",SUMIFS(Data!$U:$U,Data!$A:$A,$B66,Data!$C:$C,N$1))</f>
        <v/>
      </c>
      <c r="O66" s="31">
        <f>IF(SUMIFS(Data!$U:$U,Data!$A:$A,$B66,Data!$C:$C,O$1)=0,"",SUMIFS(Data!$U:$U,Data!$A:$A,$B66,Data!$C:$C,O$1))</f>
        <v>2.1767857142857143</v>
      </c>
      <c r="P66" s="31" t="str">
        <f>IF(SUMIFS(Data!$U:$U,Data!$A:$A,$B66,Data!$C:$C,P$1)=0,"",SUMIFS(Data!$U:$U,Data!$A:$A,$B66,Data!$C:$C,P$1))</f>
        <v/>
      </c>
      <c r="Q66" s="31">
        <f>IF(SUMIFS(Data!$U:$U,Data!$A:$A,$B66,Data!$C:$C,Q$1)=0,"",SUMIFS(Data!$U:$U,Data!$A:$A,$B66,Data!$C:$C,Q$1))</f>
        <v>2.8437142857142854</v>
      </c>
      <c r="R66" s="31">
        <f>VLOOKUP(B66,'#ligaSYR'!B:R,17,0)</f>
        <v>0</v>
      </c>
      <c r="S66" s="31">
        <f>SUM(C66:R66)</f>
        <v>12.087190476190475</v>
      </c>
      <c r="T66" s="31">
        <f>SUMIFS(Data!D:D,Data!A:A,B66)</f>
        <v>58.150000000000006</v>
      </c>
    </row>
    <row r="67" spans="1:20" ht="13" x14ac:dyDescent="0.3">
      <c r="A67" s="79">
        <v>66</v>
      </c>
      <c r="B67" s="30" t="s">
        <v>340</v>
      </c>
      <c r="C67" s="31">
        <f>IF(SUMIFS(Data!$U:$U,Data!$A:$A,$B67,Data!$C:$C,C$1)=0,"",SUMIFS(Data!$U:$U,Data!$A:$A,$B67,Data!$C:$C,C$1))</f>
        <v>1.8958333333333333</v>
      </c>
      <c r="D67" s="31">
        <f>IF(SUMIFS(Data!$U:$U,Data!$A:$A,$B67,Data!$C:$C,D$1)=0,"",SUMIFS(Data!$U:$U,Data!$A:$A,$B67,Data!$C:$C,D$1))</f>
        <v>1.6821428571428572</v>
      </c>
      <c r="E67" s="31">
        <f>IF(SUMIFS(Data!$U:$U,Data!$A:$A,$B67,Data!$C:$C,E$1)=0,"",SUMIFS(Data!$U:$U,Data!$A:$A,$B67,Data!$C:$C,E$1))</f>
        <v>1.8946428571428571</v>
      </c>
      <c r="F67" s="31">
        <f>IF(SUMIFS(Data!$U:$U,Data!$A:$A,$B67,Data!$C:$C,F$1)=0,"",SUMIFS(Data!$U:$U,Data!$A:$A,$B67,Data!$C:$C,F$1))</f>
        <v>1.8779761904761905</v>
      </c>
      <c r="G67" s="31">
        <f>IF(SUMIFS(Data!$U:$U,Data!$A:$A,$B67,Data!$C:$C,G$1)=0,"",SUMIFS(Data!$U:$U,Data!$A:$A,$B67,Data!$C:$C,G$1))</f>
        <v>1.9613095238095239</v>
      </c>
      <c r="H67" s="31">
        <f>IF(SUMIFS(Data!$U:$U,Data!$A:$A,$B67,Data!$C:$C,H$1)=0,"",SUMIFS(Data!$U:$U,Data!$A:$A,$B67,Data!$C:$C,H$1))</f>
        <v>1.3458333333333332</v>
      </c>
      <c r="I67" s="31" t="str">
        <f>IF(SUMIFS(Data!$U:$U,Data!$A:$A,$B67,Data!$C:$C,I$1)=0,"",SUMIFS(Data!$U:$U,Data!$A:$A,$B67,Data!$C:$C,I$1))</f>
        <v/>
      </c>
      <c r="J67" s="31" t="str">
        <f>IF(SUMIFS(Data!$U:$U,Data!$A:$A,$B67,Data!$C:$C,J$1)=0,"",SUMIFS(Data!$U:$U,Data!$A:$A,$B67,Data!$C:$C,J$1))</f>
        <v/>
      </c>
      <c r="K67" s="31" t="str">
        <f>IF(SUMIFS(Data!$U:$U,Data!$A:$A,$B67,Data!$C:$C,K$1)=0,"",SUMIFS(Data!$U:$U,Data!$A:$A,$B67,Data!$C:$C,K$1))</f>
        <v/>
      </c>
      <c r="L67" s="31" t="str">
        <f>IF(SUMIFS(Data!$U:$U,Data!$A:$A,$B67,Data!$C:$C,L$1)=0,"",SUMIFS(Data!$U:$U,Data!$A:$A,$B67,Data!$C:$C,L$1))</f>
        <v/>
      </c>
      <c r="M67" s="31" t="str">
        <f>IF(SUMIFS(Data!$U:$U,Data!$A:$A,$B67,Data!$C:$C,M$1)=0,"",SUMIFS(Data!$U:$U,Data!$A:$A,$B67,Data!$C:$C,M$1))</f>
        <v/>
      </c>
      <c r="N67" s="31" t="str">
        <f>IF(SUMIFS(Data!$U:$U,Data!$A:$A,$B67,Data!$C:$C,N$1)=0,"",SUMIFS(Data!$U:$U,Data!$A:$A,$B67,Data!$C:$C,N$1))</f>
        <v/>
      </c>
      <c r="O67" s="31" t="str">
        <f>IF(SUMIFS(Data!$U:$U,Data!$A:$A,$B67,Data!$C:$C,O$1)=0,"",SUMIFS(Data!$U:$U,Data!$A:$A,$B67,Data!$C:$C,O$1))</f>
        <v/>
      </c>
      <c r="P67" s="31" t="str">
        <f>IF(SUMIFS(Data!$U:$U,Data!$A:$A,$B67,Data!$C:$C,P$1)=0,"",SUMIFS(Data!$U:$U,Data!$A:$A,$B67,Data!$C:$C,P$1))</f>
        <v/>
      </c>
      <c r="Q67" s="31" t="str">
        <f>IF(SUMIFS(Data!$U:$U,Data!$A:$A,$B67,Data!$C:$C,Q$1)=0,"",SUMIFS(Data!$U:$U,Data!$A:$A,$B67,Data!$C:$C,Q$1))</f>
        <v/>
      </c>
      <c r="R67" s="31">
        <f>VLOOKUP(B67,'#ligaSYR'!B:R,17,0)</f>
        <v>1</v>
      </c>
      <c r="S67" s="31">
        <f>SUM(C67:R67)</f>
        <v>11.657738095238095</v>
      </c>
      <c r="T67" s="31">
        <f>SUMIFS(Data!D:D,Data!A:A,B67)</f>
        <v>56.35</v>
      </c>
    </row>
    <row r="68" spans="1:20" ht="13" x14ac:dyDescent="0.3">
      <c r="A68" s="79">
        <v>67</v>
      </c>
      <c r="B68" s="30" t="s">
        <v>392</v>
      </c>
      <c r="C68" s="31" t="str">
        <f>IF(SUMIFS(Data!$U:$U,Data!$A:$A,$B68,Data!$C:$C,C$1)=0,"",SUMIFS(Data!$U:$U,Data!$A:$A,$B68,Data!$C:$C,C$1))</f>
        <v/>
      </c>
      <c r="D68" s="31" t="str">
        <f>IF(SUMIFS(Data!$U:$U,Data!$A:$A,$B68,Data!$C:$C,D$1)=0,"",SUMIFS(Data!$U:$U,Data!$A:$A,$B68,Data!$C:$C,D$1))</f>
        <v/>
      </c>
      <c r="E68" s="31">
        <f>IF(SUMIFS(Data!$U:$U,Data!$A:$A,$B68,Data!$C:$C,E$1)=0,"",SUMIFS(Data!$U:$U,Data!$A:$A,$B68,Data!$C:$C,E$1))</f>
        <v>1.8119047619047617</v>
      </c>
      <c r="F68" s="31" t="str">
        <f>IF(SUMIFS(Data!$U:$U,Data!$A:$A,$B68,Data!$C:$C,F$1)=0,"",SUMIFS(Data!$U:$U,Data!$A:$A,$B68,Data!$C:$C,F$1))</f>
        <v/>
      </c>
      <c r="G68" s="31">
        <f>IF(SUMIFS(Data!$U:$U,Data!$A:$A,$B68,Data!$C:$C,G$1)=0,"",SUMIFS(Data!$U:$U,Data!$A:$A,$B68,Data!$C:$C,G$1))</f>
        <v>2.1166666666666667</v>
      </c>
      <c r="H68" s="31">
        <f>IF(SUMIFS(Data!$U:$U,Data!$A:$A,$B68,Data!$C:$C,H$1)=0,"",SUMIFS(Data!$U:$U,Data!$A:$A,$B68,Data!$C:$C,H$1))</f>
        <v>3.125</v>
      </c>
      <c r="I68" s="31">
        <f>IF(SUMIFS(Data!$U:$U,Data!$A:$A,$B68,Data!$C:$C,I$1)=0,"",SUMIFS(Data!$U:$U,Data!$A:$A,$B68,Data!$C:$C,I$1))</f>
        <v>3.3125</v>
      </c>
      <c r="J68" s="31" t="str">
        <f>IF(SUMIFS(Data!$U:$U,Data!$A:$A,$B68,Data!$C:$C,J$1)=0,"",SUMIFS(Data!$U:$U,Data!$A:$A,$B68,Data!$C:$C,J$1))</f>
        <v/>
      </c>
      <c r="K68" s="31" t="str">
        <f>IF(SUMIFS(Data!$U:$U,Data!$A:$A,$B68,Data!$C:$C,K$1)=0,"",SUMIFS(Data!$U:$U,Data!$A:$A,$B68,Data!$C:$C,K$1))</f>
        <v/>
      </c>
      <c r="L68" s="31" t="str">
        <f>IF(SUMIFS(Data!$U:$U,Data!$A:$A,$B68,Data!$C:$C,L$1)=0,"",SUMIFS(Data!$U:$U,Data!$A:$A,$B68,Data!$C:$C,L$1))</f>
        <v/>
      </c>
      <c r="M68" s="31" t="str">
        <f>IF(SUMIFS(Data!$U:$U,Data!$A:$A,$B68,Data!$C:$C,M$1)=0,"",SUMIFS(Data!$U:$U,Data!$A:$A,$B68,Data!$C:$C,M$1))</f>
        <v/>
      </c>
      <c r="N68" s="31" t="str">
        <f>IF(SUMIFS(Data!$U:$U,Data!$A:$A,$B68,Data!$C:$C,N$1)=0,"",SUMIFS(Data!$U:$U,Data!$A:$A,$B68,Data!$C:$C,N$1))</f>
        <v/>
      </c>
      <c r="O68" s="31" t="str">
        <f>IF(SUMIFS(Data!$U:$U,Data!$A:$A,$B68,Data!$C:$C,O$1)=0,"",SUMIFS(Data!$U:$U,Data!$A:$A,$B68,Data!$C:$C,O$1))</f>
        <v/>
      </c>
      <c r="P68" s="31" t="str">
        <f>IF(SUMIFS(Data!$U:$U,Data!$A:$A,$B68,Data!$C:$C,P$1)=0,"",SUMIFS(Data!$U:$U,Data!$A:$A,$B68,Data!$C:$C,P$1))</f>
        <v/>
      </c>
      <c r="Q68" s="31" t="str">
        <f>IF(SUMIFS(Data!$U:$U,Data!$A:$A,$B68,Data!$C:$C,Q$1)=0,"",SUMIFS(Data!$U:$U,Data!$A:$A,$B68,Data!$C:$C,Q$1))</f>
        <v/>
      </c>
      <c r="R68" s="31">
        <f>VLOOKUP(B68,'#ligaSYR'!B:R,17,0)</f>
        <v>0</v>
      </c>
      <c r="S68" s="31">
        <f>SUM(C68:R68)</f>
        <v>10.366071428571429</v>
      </c>
      <c r="T68" s="31">
        <f>SUMIFS(Data!D:D,Data!A:A,B68)</f>
        <v>67.3</v>
      </c>
    </row>
    <row r="69" spans="1:20" ht="13" x14ac:dyDescent="0.3">
      <c r="A69" s="79">
        <v>68</v>
      </c>
      <c r="B69" s="30" t="s">
        <v>433</v>
      </c>
      <c r="C69" s="31" t="str">
        <f>IF(SUMIFS(Data!$U:$U,Data!$A:$A,$B69,Data!$C:$C,C$1)=0,"",SUMIFS(Data!$U:$U,Data!$A:$A,$B69,Data!$C:$C,C$1))</f>
        <v/>
      </c>
      <c r="D69" s="31" t="str">
        <f>IF(SUMIFS(Data!$U:$U,Data!$A:$A,$B69,Data!$C:$C,D$1)=0,"",SUMIFS(Data!$U:$U,Data!$A:$A,$B69,Data!$C:$C,D$1))</f>
        <v/>
      </c>
      <c r="E69" s="31" t="str">
        <f>IF(SUMIFS(Data!$U:$U,Data!$A:$A,$B69,Data!$C:$C,E$1)=0,"",SUMIFS(Data!$U:$U,Data!$A:$A,$B69,Data!$C:$C,E$1))</f>
        <v/>
      </c>
      <c r="F69" s="31" t="str">
        <f>IF(SUMIFS(Data!$U:$U,Data!$A:$A,$B69,Data!$C:$C,F$1)=0,"",SUMIFS(Data!$U:$U,Data!$A:$A,$B69,Data!$C:$C,F$1))</f>
        <v/>
      </c>
      <c r="G69" s="31">
        <f>IF(SUMIFS(Data!$U:$U,Data!$A:$A,$B69,Data!$C:$C,G$1)=0,"",SUMIFS(Data!$U:$U,Data!$A:$A,$B69,Data!$C:$C,G$1))</f>
        <v>1.7321428571428572</v>
      </c>
      <c r="H69" s="31">
        <f>IF(SUMIFS(Data!$U:$U,Data!$A:$A,$B69,Data!$C:$C,H$1)=0,"",SUMIFS(Data!$U:$U,Data!$A:$A,$B69,Data!$C:$C,H$1))</f>
        <v>2.7764047619047618</v>
      </c>
      <c r="I69" s="31">
        <f>IF(SUMIFS(Data!$U:$U,Data!$A:$A,$B69,Data!$C:$C,I$1)=0,"",SUMIFS(Data!$U:$U,Data!$A:$A,$B69,Data!$C:$C,I$1))</f>
        <v>2.4337380952380951</v>
      </c>
      <c r="J69" s="31">
        <f>IF(SUMIFS(Data!$U:$U,Data!$A:$A,$B69,Data!$C:$C,J$1)=0,"",SUMIFS(Data!$U:$U,Data!$A:$A,$B69,Data!$C:$C,J$1))</f>
        <v>2.2701666666666664</v>
      </c>
      <c r="K69" s="31" t="str">
        <f>IF(SUMIFS(Data!$U:$U,Data!$A:$A,$B69,Data!$C:$C,K$1)=0,"",SUMIFS(Data!$U:$U,Data!$A:$A,$B69,Data!$C:$C,K$1))</f>
        <v/>
      </c>
      <c r="L69" s="31" t="str">
        <f>IF(SUMIFS(Data!$U:$U,Data!$A:$A,$B69,Data!$C:$C,L$1)=0,"",SUMIFS(Data!$U:$U,Data!$A:$A,$B69,Data!$C:$C,L$1))</f>
        <v/>
      </c>
      <c r="M69" s="31" t="str">
        <f>IF(SUMIFS(Data!$U:$U,Data!$A:$A,$B69,Data!$C:$C,M$1)=0,"",SUMIFS(Data!$U:$U,Data!$A:$A,$B69,Data!$C:$C,M$1))</f>
        <v/>
      </c>
      <c r="N69" s="31" t="str">
        <f>IF(SUMIFS(Data!$U:$U,Data!$A:$A,$B69,Data!$C:$C,N$1)=0,"",SUMIFS(Data!$U:$U,Data!$A:$A,$B69,Data!$C:$C,N$1))</f>
        <v/>
      </c>
      <c r="O69" s="31" t="str">
        <f>IF(SUMIFS(Data!$U:$U,Data!$A:$A,$B69,Data!$C:$C,O$1)=0,"",SUMIFS(Data!$U:$U,Data!$A:$A,$B69,Data!$C:$C,O$1))</f>
        <v/>
      </c>
      <c r="P69" s="31" t="str">
        <f>IF(SUMIFS(Data!$U:$U,Data!$A:$A,$B69,Data!$C:$C,P$1)=0,"",SUMIFS(Data!$U:$U,Data!$A:$A,$B69,Data!$C:$C,P$1))</f>
        <v/>
      </c>
      <c r="Q69" s="31" t="str">
        <f>IF(SUMIFS(Data!$U:$U,Data!$A:$A,$B69,Data!$C:$C,Q$1)=0,"",SUMIFS(Data!$U:$U,Data!$A:$A,$B69,Data!$C:$C,Q$1))</f>
        <v/>
      </c>
      <c r="R69" s="31">
        <f>VLOOKUP(B69,'#ligaSYR'!B:R,17,0)</f>
        <v>0</v>
      </c>
      <c r="S69" s="31">
        <f>SUM(C69:R69)</f>
        <v>9.2124523809523797</v>
      </c>
      <c r="T69" s="31">
        <f>SUMIFS(Data!D:D,Data!A:A,B69)</f>
        <v>57.51</v>
      </c>
    </row>
    <row r="70" spans="1:20" ht="13" x14ac:dyDescent="0.3">
      <c r="A70" s="79">
        <v>69</v>
      </c>
      <c r="B70" s="30" t="s">
        <v>380</v>
      </c>
      <c r="C70" s="31" t="str">
        <f>IF(SUMIFS(Data!$U:$U,Data!$A:$A,$B70,Data!$C:$C,C$1)=0,"",SUMIFS(Data!$U:$U,Data!$A:$A,$B70,Data!$C:$C,C$1))</f>
        <v/>
      </c>
      <c r="D70" s="31">
        <f>IF(SUMIFS(Data!$U:$U,Data!$A:$A,$B70,Data!$C:$C,D$1)=0,"",SUMIFS(Data!$U:$U,Data!$A:$A,$B70,Data!$C:$C,D$1))</f>
        <v>2.2916666666666665</v>
      </c>
      <c r="E70" s="31" t="str">
        <f>IF(SUMIFS(Data!$U:$U,Data!$A:$A,$B70,Data!$C:$C,E$1)=0,"",SUMIFS(Data!$U:$U,Data!$A:$A,$B70,Data!$C:$C,E$1))</f>
        <v/>
      </c>
      <c r="F70" s="31" t="str">
        <f>IF(SUMIFS(Data!$U:$U,Data!$A:$A,$B70,Data!$C:$C,F$1)=0,"",SUMIFS(Data!$U:$U,Data!$A:$A,$B70,Data!$C:$C,F$1))</f>
        <v/>
      </c>
      <c r="G70" s="31" t="str">
        <f>IF(SUMIFS(Data!$U:$U,Data!$A:$A,$B70,Data!$C:$C,G$1)=0,"",SUMIFS(Data!$U:$U,Data!$A:$A,$B70,Data!$C:$C,G$1))</f>
        <v/>
      </c>
      <c r="H70" s="31" t="str">
        <f>IF(SUMIFS(Data!$U:$U,Data!$A:$A,$B70,Data!$C:$C,H$1)=0,"",SUMIFS(Data!$U:$U,Data!$A:$A,$B70,Data!$C:$C,H$1))</f>
        <v/>
      </c>
      <c r="I70" s="31" t="str">
        <f>IF(SUMIFS(Data!$U:$U,Data!$A:$A,$B70,Data!$C:$C,I$1)=0,"",SUMIFS(Data!$U:$U,Data!$A:$A,$B70,Data!$C:$C,I$1))</f>
        <v/>
      </c>
      <c r="J70" s="31">
        <f>IF(SUMIFS(Data!$U:$U,Data!$A:$A,$B70,Data!$C:$C,J$1)=0,"",SUMIFS(Data!$U:$U,Data!$A:$A,$B70,Data!$C:$C,J$1))</f>
        <v>2.7250000000000001</v>
      </c>
      <c r="K70" s="31" t="str">
        <f>IF(SUMIFS(Data!$U:$U,Data!$A:$A,$B70,Data!$C:$C,K$1)=0,"",SUMIFS(Data!$U:$U,Data!$A:$A,$B70,Data!$C:$C,K$1))</f>
        <v/>
      </c>
      <c r="L70" s="31" t="str">
        <f>IF(SUMIFS(Data!$U:$U,Data!$A:$A,$B70,Data!$C:$C,L$1)=0,"",SUMIFS(Data!$U:$U,Data!$A:$A,$B70,Data!$C:$C,L$1))</f>
        <v/>
      </c>
      <c r="M70" s="31" t="str">
        <f>IF(SUMIFS(Data!$U:$U,Data!$A:$A,$B70,Data!$C:$C,M$1)=0,"",SUMIFS(Data!$U:$U,Data!$A:$A,$B70,Data!$C:$C,M$1))</f>
        <v/>
      </c>
      <c r="N70" s="31">
        <f>IF(SUMIFS(Data!$U:$U,Data!$A:$A,$B70,Data!$C:$C,N$1)=0,"",SUMIFS(Data!$U:$U,Data!$A:$A,$B70,Data!$C:$C,N$1))</f>
        <v>3.375</v>
      </c>
      <c r="O70" s="31" t="str">
        <f>IF(SUMIFS(Data!$U:$U,Data!$A:$A,$B70,Data!$C:$C,O$1)=0,"",SUMIFS(Data!$U:$U,Data!$A:$A,$B70,Data!$C:$C,O$1))</f>
        <v/>
      </c>
      <c r="P70" s="31" t="str">
        <f>IF(SUMIFS(Data!$U:$U,Data!$A:$A,$B70,Data!$C:$C,P$1)=0,"",SUMIFS(Data!$U:$U,Data!$A:$A,$B70,Data!$C:$C,P$1))</f>
        <v/>
      </c>
      <c r="Q70" s="31" t="str">
        <f>IF(SUMIFS(Data!$U:$U,Data!$A:$A,$B70,Data!$C:$C,Q$1)=0,"",SUMIFS(Data!$U:$U,Data!$A:$A,$B70,Data!$C:$C,Q$1))</f>
        <v/>
      </c>
      <c r="R70" s="31">
        <f>VLOOKUP(B70,'#ligaSYR'!B:R,17,0)</f>
        <v>0</v>
      </c>
      <c r="S70" s="31">
        <f>SUM(C70:R70)</f>
        <v>8.3916666666666657</v>
      </c>
      <c r="T70" s="31">
        <f>SUMIFS(Data!D:D,Data!A:A,B70)</f>
        <v>47.43</v>
      </c>
    </row>
    <row r="71" spans="1:20" ht="13" x14ac:dyDescent="0.3">
      <c r="A71" s="79">
        <v>70</v>
      </c>
      <c r="B71" s="30" t="s">
        <v>242</v>
      </c>
      <c r="C71" s="31">
        <f>IF(SUMIFS(Data!$U:$U,Data!$A:$A,$B71,Data!$C:$C,C$1)=0,"",SUMIFS(Data!$U:$U,Data!$A:$A,$B71,Data!$C:$C,C$1))</f>
        <v>1.8958333333333333</v>
      </c>
      <c r="D71" s="31">
        <f>IF(SUMIFS(Data!$U:$U,Data!$A:$A,$B71,Data!$C:$C,D$1)=0,"",SUMIFS(Data!$U:$U,Data!$A:$A,$B71,Data!$C:$C,D$1))</f>
        <v>1.3613095238095239</v>
      </c>
      <c r="E71" s="31">
        <f>IF(SUMIFS(Data!$U:$U,Data!$A:$A,$B71,Data!$C:$C,E$1)=0,"",SUMIFS(Data!$U:$U,Data!$A:$A,$B71,Data!$C:$C,E$1))</f>
        <v>1.5351190476190475</v>
      </c>
      <c r="F71" s="31">
        <f>IF(SUMIFS(Data!$U:$U,Data!$A:$A,$B71,Data!$C:$C,F$1)=0,"",SUMIFS(Data!$U:$U,Data!$A:$A,$B71,Data!$C:$C,F$1))</f>
        <v>1.4172619047619048</v>
      </c>
      <c r="G71" s="31" t="str">
        <f>IF(SUMIFS(Data!$U:$U,Data!$A:$A,$B71,Data!$C:$C,G$1)=0,"",SUMIFS(Data!$U:$U,Data!$A:$A,$B71,Data!$C:$C,G$1))</f>
        <v/>
      </c>
      <c r="H71" s="31" t="str">
        <f>IF(SUMIFS(Data!$U:$U,Data!$A:$A,$B71,Data!$C:$C,H$1)=0,"",SUMIFS(Data!$U:$U,Data!$A:$A,$B71,Data!$C:$C,H$1))</f>
        <v/>
      </c>
      <c r="I71" s="31" t="str">
        <f>IF(SUMIFS(Data!$U:$U,Data!$A:$A,$B71,Data!$C:$C,I$1)=0,"",SUMIFS(Data!$U:$U,Data!$A:$A,$B71,Data!$C:$C,I$1))</f>
        <v/>
      </c>
      <c r="J71" s="31" t="str">
        <f>IF(SUMIFS(Data!$U:$U,Data!$A:$A,$B71,Data!$C:$C,J$1)=0,"",SUMIFS(Data!$U:$U,Data!$A:$A,$B71,Data!$C:$C,J$1))</f>
        <v/>
      </c>
      <c r="K71" s="31" t="str">
        <f>IF(SUMIFS(Data!$U:$U,Data!$A:$A,$B71,Data!$C:$C,K$1)=0,"",SUMIFS(Data!$U:$U,Data!$A:$A,$B71,Data!$C:$C,K$1))</f>
        <v/>
      </c>
      <c r="L71" s="31" t="str">
        <f>IF(SUMIFS(Data!$U:$U,Data!$A:$A,$B71,Data!$C:$C,L$1)=0,"",SUMIFS(Data!$U:$U,Data!$A:$A,$B71,Data!$C:$C,L$1))</f>
        <v/>
      </c>
      <c r="M71" s="31">
        <f>IF(SUMIFS(Data!$U:$U,Data!$A:$A,$B71,Data!$C:$C,M$1)=0,"",SUMIFS(Data!$U:$U,Data!$A:$A,$B71,Data!$C:$C,M$1))</f>
        <v>2.0410714285714286</v>
      </c>
      <c r="N71" s="31" t="str">
        <f>IF(SUMIFS(Data!$U:$U,Data!$A:$A,$B71,Data!$C:$C,N$1)=0,"",SUMIFS(Data!$U:$U,Data!$A:$A,$B71,Data!$C:$C,N$1))</f>
        <v/>
      </c>
      <c r="O71" s="31" t="str">
        <f>IF(SUMIFS(Data!$U:$U,Data!$A:$A,$B71,Data!$C:$C,O$1)=0,"",SUMIFS(Data!$U:$U,Data!$A:$A,$B71,Data!$C:$C,O$1))</f>
        <v/>
      </c>
      <c r="P71" s="31" t="str">
        <f>IF(SUMIFS(Data!$U:$U,Data!$A:$A,$B71,Data!$C:$C,P$1)=0,"",SUMIFS(Data!$U:$U,Data!$A:$A,$B71,Data!$C:$C,P$1))</f>
        <v/>
      </c>
      <c r="Q71" s="31" t="str">
        <f>IF(SUMIFS(Data!$U:$U,Data!$A:$A,$B71,Data!$C:$C,Q$1)=0,"",SUMIFS(Data!$U:$U,Data!$A:$A,$B71,Data!$C:$C,Q$1))</f>
        <v/>
      </c>
      <c r="R71" s="31">
        <f>VLOOKUP(B71,'#ligaSYR'!B:R,17,0)</f>
        <v>0</v>
      </c>
      <c r="S71" s="31">
        <f>SUM(C71:R71)</f>
        <v>8.2505952380952365</v>
      </c>
      <c r="T71" s="31">
        <f>SUMIFS(Data!D:D,Data!A:A,B71)</f>
        <v>44.63</v>
      </c>
    </row>
    <row r="72" spans="1:20" ht="13" x14ac:dyDescent="0.3">
      <c r="A72" s="79">
        <v>71</v>
      </c>
      <c r="B72" s="30" t="s">
        <v>393</v>
      </c>
      <c r="C72" s="31" t="str">
        <f>IF(SUMIFS(Data!$U:$U,Data!$A:$A,$B72,Data!$C:$C,C$1)=0,"",SUMIFS(Data!$U:$U,Data!$A:$A,$B72,Data!$C:$C,C$1))</f>
        <v/>
      </c>
      <c r="D72" s="31" t="str">
        <f>IF(SUMIFS(Data!$U:$U,Data!$A:$A,$B72,Data!$C:$C,D$1)=0,"",SUMIFS(Data!$U:$U,Data!$A:$A,$B72,Data!$C:$C,D$1))</f>
        <v/>
      </c>
      <c r="E72" s="31">
        <f>IF(SUMIFS(Data!$U:$U,Data!$A:$A,$B72,Data!$C:$C,E$1)=0,"",SUMIFS(Data!$U:$U,Data!$A:$A,$B72,Data!$C:$C,E$1))</f>
        <v>2.3487142857142853</v>
      </c>
      <c r="F72" s="31" t="str">
        <f>IF(SUMIFS(Data!$U:$U,Data!$A:$A,$B72,Data!$C:$C,F$1)=0,"",SUMIFS(Data!$U:$U,Data!$A:$A,$B72,Data!$C:$C,F$1))</f>
        <v/>
      </c>
      <c r="G72" s="31" t="str">
        <f>IF(SUMIFS(Data!$U:$U,Data!$A:$A,$B72,Data!$C:$C,G$1)=0,"",SUMIFS(Data!$U:$U,Data!$A:$A,$B72,Data!$C:$C,G$1))</f>
        <v/>
      </c>
      <c r="H72" s="31" t="str">
        <f>IF(SUMIFS(Data!$U:$U,Data!$A:$A,$B72,Data!$C:$C,H$1)=0,"",SUMIFS(Data!$U:$U,Data!$A:$A,$B72,Data!$C:$C,H$1))</f>
        <v/>
      </c>
      <c r="I72" s="31" t="str">
        <f>IF(SUMIFS(Data!$U:$U,Data!$A:$A,$B72,Data!$C:$C,I$1)=0,"",SUMIFS(Data!$U:$U,Data!$A:$A,$B72,Data!$C:$C,I$1))</f>
        <v/>
      </c>
      <c r="J72" s="31" t="str">
        <f>IF(SUMIFS(Data!$U:$U,Data!$A:$A,$B72,Data!$C:$C,J$1)=0,"",SUMIFS(Data!$U:$U,Data!$A:$A,$B72,Data!$C:$C,J$1))</f>
        <v/>
      </c>
      <c r="K72" s="31" t="str">
        <f>IF(SUMIFS(Data!$U:$U,Data!$A:$A,$B72,Data!$C:$C,K$1)=0,"",SUMIFS(Data!$U:$U,Data!$A:$A,$B72,Data!$C:$C,K$1))</f>
        <v/>
      </c>
      <c r="L72" s="31">
        <f>IF(SUMIFS(Data!$U:$U,Data!$A:$A,$B72,Data!$C:$C,L$1)=0,"",SUMIFS(Data!$U:$U,Data!$A:$A,$B72,Data!$C:$C,L$1))</f>
        <v>2.9061428571428571</v>
      </c>
      <c r="M72" s="31" t="str">
        <f>IF(SUMIFS(Data!$U:$U,Data!$A:$A,$B72,Data!$C:$C,M$1)=0,"",SUMIFS(Data!$U:$U,Data!$A:$A,$B72,Data!$C:$C,M$1))</f>
        <v/>
      </c>
      <c r="N72" s="31" t="str">
        <f>IF(SUMIFS(Data!$U:$U,Data!$A:$A,$B72,Data!$C:$C,N$1)=0,"",SUMIFS(Data!$U:$U,Data!$A:$A,$B72,Data!$C:$C,N$1))</f>
        <v/>
      </c>
      <c r="O72" s="31">
        <f>IF(SUMIFS(Data!$U:$U,Data!$A:$A,$B72,Data!$C:$C,O$1)=0,"",SUMIFS(Data!$U:$U,Data!$A:$A,$B72,Data!$C:$C,O$1))</f>
        <v>2.1956666666666664</v>
      </c>
      <c r="P72" s="31" t="str">
        <f>IF(SUMIFS(Data!$U:$U,Data!$A:$A,$B72,Data!$C:$C,P$1)=0,"",SUMIFS(Data!$U:$U,Data!$A:$A,$B72,Data!$C:$C,P$1))</f>
        <v/>
      </c>
      <c r="Q72" s="31" t="str">
        <f>IF(SUMIFS(Data!$U:$U,Data!$A:$A,$B72,Data!$C:$C,Q$1)=0,"",SUMIFS(Data!$U:$U,Data!$A:$A,$B72,Data!$C:$C,Q$1))</f>
        <v/>
      </c>
      <c r="R72" s="31">
        <f>VLOOKUP(B72,'#ligaSYR'!B:R,17,0)</f>
        <v>0</v>
      </c>
      <c r="S72" s="31">
        <f>SUM(C72:R72)</f>
        <v>7.4505238095238084</v>
      </c>
      <c r="T72" s="31">
        <f>SUMIFS(Data!D:D,Data!A:A,B72)</f>
        <v>40.769999999999996</v>
      </c>
    </row>
    <row r="73" spans="1:20" ht="13" x14ac:dyDescent="0.3">
      <c r="A73" s="79">
        <v>72</v>
      </c>
      <c r="B73" s="30" t="s">
        <v>58</v>
      </c>
      <c r="C73" s="31" t="str">
        <f>IF(SUMIFS(Data!$U:$U,Data!$A:$A,$B73,Data!$C:$C,C$1)=0,"",SUMIFS(Data!$U:$U,Data!$A:$A,$B73,Data!$C:$C,C$1))</f>
        <v/>
      </c>
      <c r="D73" s="31">
        <f>IF(SUMIFS(Data!$U:$U,Data!$A:$A,$B73,Data!$C:$C,D$1)=0,"",SUMIFS(Data!$U:$U,Data!$A:$A,$B73,Data!$C:$C,D$1))</f>
        <v>0.97261904761904749</v>
      </c>
      <c r="E73" s="31" t="str">
        <f>IF(SUMIFS(Data!$U:$U,Data!$A:$A,$B73,Data!$C:$C,E$1)=0,"",SUMIFS(Data!$U:$U,Data!$A:$A,$B73,Data!$C:$C,E$1))</f>
        <v/>
      </c>
      <c r="F73" s="31" t="str">
        <f>IF(SUMIFS(Data!$U:$U,Data!$A:$A,$B73,Data!$C:$C,F$1)=0,"",SUMIFS(Data!$U:$U,Data!$A:$A,$B73,Data!$C:$C,F$1))</f>
        <v/>
      </c>
      <c r="G73" s="31" t="str">
        <f>IF(SUMIFS(Data!$U:$U,Data!$A:$A,$B73,Data!$C:$C,G$1)=0,"",SUMIFS(Data!$U:$U,Data!$A:$A,$B73,Data!$C:$C,G$1))</f>
        <v/>
      </c>
      <c r="H73" s="31" t="str">
        <f>IF(SUMIFS(Data!$U:$U,Data!$A:$A,$B73,Data!$C:$C,H$1)=0,"",SUMIFS(Data!$U:$U,Data!$A:$A,$B73,Data!$C:$C,H$1))</f>
        <v/>
      </c>
      <c r="I73" s="31" t="str">
        <f>IF(SUMIFS(Data!$U:$U,Data!$A:$A,$B73,Data!$C:$C,I$1)=0,"",SUMIFS(Data!$U:$U,Data!$A:$A,$B73,Data!$C:$C,I$1))</f>
        <v/>
      </c>
      <c r="J73" s="31" t="str">
        <f>IF(SUMIFS(Data!$U:$U,Data!$A:$A,$B73,Data!$C:$C,J$1)=0,"",SUMIFS(Data!$U:$U,Data!$A:$A,$B73,Data!$C:$C,J$1))</f>
        <v/>
      </c>
      <c r="K73" s="31">
        <f>IF(SUMIFS(Data!$U:$U,Data!$A:$A,$B73,Data!$C:$C,K$1)=0,"",SUMIFS(Data!$U:$U,Data!$A:$A,$B73,Data!$C:$C,K$1))</f>
        <v>0.80238095238095242</v>
      </c>
      <c r="L73" s="31" t="str">
        <f>IF(SUMIFS(Data!$U:$U,Data!$A:$A,$B73,Data!$C:$C,L$1)=0,"",SUMIFS(Data!$U:$U,Data!$A:$A,$B73,Data!$C:$C,L$1))</f>
        <v/>
      </c>
      <c r="M73" s="31">
        <f>IF(SUMIFS(Data!$U:$U,Data!$A:$A,$B73,Data!$C:$C,M$1)=0,"",SUMIFS(Data!$U:$U,Data!$A:$A,$B73,Data!$C:$C,M$1))</f>
        <v>1.4732142857142856</v>
      </c>
      <c r="N73" s="31" t="str">
        <f>IF(SUMIFS(Data!$U:$U,Data!$A:$A,$B73,Data!$C:$C,N$1)=0,"",SUMIFS(Data!$U:$U,Data!$A:$A,$B73,Data!$C:$C,N$1))</f>
        <v/>
      </c>
      <c r="O73" s="31" t="str">
        <f>IF(SUMIFS(Data!$U:$U,Data!$A:$A,$B73,Data!$C:$C,O$1)=0,"",SUMIFS(Data!$U:$U,Data!$A:$A,$B73,Data!$C:$C,O$1))</f>
        <v/>
      </c>
      <c r="P73" s="31">
        <f>IF(SUMIFS(Data!$U:$U,Data!$A:$A,$B73,Data!$C:$C,P$1)=0,"",SUMIFS(Data!$U:$U,Data!$A:$A,$B73,Data!$C:$C,P$1))</f>
        <v>1.3803571428571428</v>
      </c>
      <c r="Q73" s="31">
        <f>IF(SUMIFS(Data!$U:$U,Data!$A:$A,$B73,Data!$C:$C,Q$1)=0,"",SUMIFS(Data!$U:$U,Data!$A:$A,$B73,Data!$C:$C,Q$1))</f>
        <v>2.7480000000000002</v>
      </c>
      <c r="R73" s="31">
        <f>VLOOKUP(B73,'#ligaSYR'!B:R,17,0)</f>
        <v>0</v>
      </c>
      <c r="S73" s="31">
        <f>SUM(C73:R73)</f>
        <v>7.3765714285714283</v>
      </c>
      <c r="T73" s="31">
        <f>SUMIFS(Data!D:D,Data!A:A,B73)</f>
        <v>62.760000000000005</v>
      </c>
    </row>
    <row r="74" spans="1:20" ht="13" x14ac:dyDescent="0.3">
      <c r="A74" s="79">
        <v>73</v>
      </c>
      <c r="B74" s="30" t="s">
        <v>53</v>
      </c>
      <c r="C74" s="31">
        <f>IF(SUMIFS(Data!$U:$U,Data!$A:$A,$B74,Data!$C:$C,C$1)=0,"",SUMIFS(Data!$U:$U,Data!$A:$A,$B74,Data!$C:$C,C$1))</f>
        <v>3.3511666666666668</v>
      </c>
      <c r="D74" s="31">
        <f>IF(SUMIFS(Data!$U:$U,Data!$A:$A,$B74,Data!$C:$C,D$1)=0,"",SUMIFS(Data!$U:$U,Data!$A:$A,$B74,Data!$C:$C,D$1))</f>
        <v>2.9326428571428571</v>
      </c>
      <c r="E74" s="31" t="str">
        <f>IF(SUMIFS(Data!$U:$U,Data!$A:$A,$B74,Data!$C:$C,E$1)=0,"",SUMIFS(Data!$U:$U,Data!$A:$A,$B74,Data!$C:$C,E$1))</f>
        <v/>
      </c>
      <c r="F74" s="31" t="str">
        <f>IF(SUMIFS(Data!$U:$U,Data!$A:$A,$B74,Data!$C:$C,F$1)=0,"",SUMIFS(Data!$U:$U,Data!$A:$A,$B74,Data!$C:$C,F$1))</f>
        <v/>
      </c>
      <c r="G74" s="31" t="str">
        <f>IF(SUMIFS(Data!$U:$U,Data!$A:$A,$B74,Data!$C:$C,G$1)=0,"",SUMIFS(Data!$U:$U,Data!$A:$A,$B74,Data!$C:$C,G$1))</f>
        <v/>
      </c>
      <c r="H74" s="31" t="str">
        <f>IF(SUMIFS(Data!$U:$U,Data!$A:$A,$B74,Data!$C:$C,H$1)=0,"",SUMIFS(Data!$U:$U,Data!$A:$A,$B74,Data!$C:$C,H$1))</f>
        <v/>
      </c>
      <c r="I74" s="31" t="str">
        <f>IF(SUMIFS(Data!$U:$U,Data!$A:$A,$B74,Data!$C:$C,I$1)=0,"",SUMIFS(Data!$U:$U,Data!$A:$A,$B74,Data!$C:$C,I$1))</f>
        <v/>
      </c>
      <c r="J74" s="31" t="str">
        <f>IF(SUMIFS(Data!$U:$U,Data!$A:$A,$B74,Data!$C:$C,J$1)=0,"",SUMIFS(Data!$U:$U,Data!$A:$A,$B74,Data!$C:$C,J$1))</f>
        <v/>
      </c>
      <c r="K74" s="31" t="str">
        <f>IF(SUMIFS(Data!$U:$U,Data!$A:$A,$B74,Data!$C:$C,K$1)=0,"",SUMIFS(Data!$U:$U,Data!$A:$A,$B74,Data!$C:$C,K$1))</f>
        <v/>
      </c>
      <c r="L74" s="31" t="str">
        <f>IF(SUMIFS(Data!$U:$U,Data!$A:$A,$B74,Data!$C:$C,L$1)=0,"",SUMIFS(Data!$U:$U,Data!$A:$A,$B74,Data!$C:$C,L$1))</f>
        <v/>
      </c>
      <c r="M74" s="31" t="str">
        <f>IF(SUMIFS(Data!$U:$U,Data!$A:$A,$B74,Data!$C:$C,M$1)=0,"",SUMIFS(Data!$U:$U,Data!$A:$A,$B74,Data!$C:$C,M$1))</f>
        <v/>
      </c>
      <c r="N74" s="31" t="str">
        <f>IF(SUMIFS(Data!$U:$U,Data!$A:$A,$B74,Data!$C:$C,N$1)=0,"",SUMIFS(Data!$U:$U,Data!$A:$A,$B74,Data!$C:$C,N$1))</f>
        <v/>
      </c>
      <c r="O74" s="31" t="str">
        <f>IF(SUMIFS(Data!$U:$U,Data!$A:$A,$B74,Data!$C:$C,O$1)=0,"",SUMIFS(Data!$U:$U,Data!$A:$A,$B74,Data!$C:$C,O$1))</f>
        <v/>
      </c>
      <c r="P74" s="31" t="str">
        <f>IF(SUMIFS(Data!$U:$U,Data!$A:$A,$B74,Data!$C:$C,P$1)=0,"",SUMIFS(Data!$U:$U,Data!$A:$A,$B74,Data!$C:$C,P$1))</f>
        <v/>
      </c>
      <c r="Q74" s="31" t="str">
        <f>IF(SUMIFS(Data!$U:$U,Data!$A:$A,$B74,Data!$C:$C,Q$1)=0,"",SUMIFS(Data!$U:$U,Data!$A:$A,$B74,Data!$C:$C,Q$1))</f>
        <v/>
      </c>
      <c r="R74" s="31">
        <f>VLOOKUP(B74,'#ligaSYR'!B:R,17,0)</f>
        <v>0</v>
      </c>
      <c r="S74" s="31">
        <f>SUM(C74:R74)</f>
        <v>6.2838095238095235</v>
      </c>
      <c r="T74" s="31">
        <f>SUMIFS(Data!D:D,Data!A:A,B74)</f>
        <v>38.46</v>
      </c>
    </row>
    <row r="75" spans="1:20" ht="13" x14ac:dyDescent="0.3">
      <c r="A75" s="79">
        <v>74</v>
      </c>
      <c r="B75" s="30" t="s">
        <v>337</v>
      </c>
      <c r="C75" s="31">
        <f>IF(SUMIFS(Data!$U:$U,Data!$A:$A,$B75,Data!$C:$C,C$1)=0,"",SUMIFS(Data!$U:$U,Data!$A:$A,$B75,Data!$C:$C,C$1))</f>
        <v>2.8190476190476188</v>
      </c>
      <c r="D75" s="31">
        <f>IF(SUMIFS(Data!$U:$U,Data!$A:$A,$B75,Data!$C:$C,D$1)=0,"",SUMIFS(Data!$U:$U,Data!$A:$A,$B75,Data!$C:$C,D$1))</f>
        <v>3.2363095238095236</v>
      </c>
      <c r="E75" s="31" t="str">
        <f>IF(SUMIFS(Data!$U:$U,Data!$A:$A,$B75,Data!$C:$C,E$1)=0,"",SUMIFS(Data!$U:$U,Data!$A:$A,$B75,Data!$C:$C,E$1))</f>
        <v/>
      </c>
      <c r="F75" s="31" t="str">
        <f>IF(SUMIFS(Data!$U:$U,Data!$A:$A,$B75,Data!$C:$C,F$1)=0,"",SUMIFS(Data!$U:$U,Data!$A:$A,$B75,Data!$C:$C,F$1))</f>
        <v/>
      </c>
      <c r="G75" s="31" t="str">
        <f>IF(SUMIFS(Data!$U:$U,Data!$A:$A,$B75,Data!$C:$C,G$1)=0,"",SUMIFS(Data!$U:$U,Data!$A:$A,$B75,Data!$C:$C,G$1))</f>
        <v/>
      </c>
      <c r="H75" s="31" t="str">
        <f>IF(SUMIFS(Data!$U:$U,Data!$A:$A,$B75,Data!$C:$C,H$1)=0,"",SUMIFS(Data!$U:$U,Data!$A:$A,$B75,Data!$C:$C,H$1))</f>
        <v/>
      </c>
      <c r="I75" s="31" t="str">
        <f>IF(SUMIFS(Data!$U:$U,Data!$A:$A,$B75,Data!$C:$C,I$1)=0,"",SUMIFS(Data!$U:$U,Data!$A:$A,$B75,Data!$C:$C,I$1))</f>
        <v/>
      </c>
      <c r="J75" s="31" t="str">
        <f>IF(SUMIFS(Data!$U:$U,Data!$A:$A,$B75,Data!$C:$C,J$1)=0,"",SUMIFS(Data!$U:$U,Data!$A:$A,$B75,Data!$C:$C,J$1))</f>
        <v/>
      </c>
      <c r="K75" s="31" t="str">
        <f>IF(SUMIFS(Data!$U:$U,Data!$A:$A,$B75,Data!$C:$C,K$1)=0,"",SUMIFS(Data!$U:$U,Data!$A:$A,$B75,Data!$C:$C,K$1))</f>
        <v/>
      </c>
      <c r="L75" s="31" t="str">
        <f>IF(SUMIFS(Data!$U:$U,Data!$A:$A,$B75,Data!$C:$C,L$1)=0,"",SUMIFS(Data!$U:$U,Data!$A:$A,$B75,Data!$C:$C,L$1))</f>
        <v/>
      </c>
      <c r="M75" s="31" t="str">
        <f>IF(SUMIFS(Data!$U:$U,Data!$A:$A,$B75,Data!$C:$C,M$1)=0,"",SUMIFS(Data!$U:$U,Data!$A:$A,$B75,Data!$C:$C,M$1))</f>
        <v/>
      </c>
      <c r="N75" s="31" t="str">
        <f>IF(SUMIFS(Data!$U:$U,Data!$A:$A,$B75,Data!$C:$C,N$1)=0,"",SUMIFS(Data!$U:$U,Data!$A:$A,$B75,Data!$C:$C,N$1))</f>
        <v/>
      </c>
      <c r="O75" s="31" t="str">
        <f>IF(SUMIFS(Data!$U:$U,Data!$A:$A,$B75,Data!$C:$C,O$1)=0,"",SUMIFS(Data!$U:$U,Data!$A:$A,$B75,Data!$C:$C,O$1))</f>
        <v/>
      </c>
      <c r="P75" s="31" t="str">
        <f>IF(SUMIFS(Data!$U:$U,Data!$A:$A,$B75,Data!$C:$C,P$1)=0,"",SUMIFS(Data!$U:$U,Data!$A:$A,$B75,Data!$C:$C,P$1))</f>
        <v/>
      </c>
      <c r="Q75" s="31" t="str">
        <f>IF(SUMIFS(Data!$U:$U,Data!$A:$A,$B75,Data!$C:$C,Q$1)=0,"",SUMIFS(Data!$U:$U,Data!$A:$A,$B75,Data!$C:$C,Q$1))</f>
        <v/>
      </c>
      <c r="R75" s="31">
        <f>VLOOKUP(B75,'#ligaSYR'!B:R,17,0)</f>
        <v>0</v>
      </c>
      <c r="S75" s="31">
        <f>SUM(C75:R75)</f>
        <v>6.055357142857142</v>
      </c>
      <c r="T75" s="31">
        <f>SUMIFS(Data!D:D,Data!A:A,B75)</f>
        <v>26.77</v>
      </c>
    </row>
    <row r="76" spans="1:20" ht="13" x14ac:dyDescent="0.3">
      <c r="A76" s="79">
        <v>75</v>
      </c>
      <c r="B76" s="30" t="s">
        <v>461</v>
      </c>
      <c r="C76" s="31" t="str">
        <f>IF(SUMIFS(Data!$U:$U,Data!$A:$A,$B76,Data!$C:$C,C$1)=0,"",SUMIFS(Data!$U:$U,Data!$A:$A,$B76,Data!$C:$C,C$1))</f>
        <v/>
      </c>
      <c r="D76" s="31" t="str">
        <f>IF(SUMIFS(Data!$U:$U,Data!$A:$A,$B76,Data!$C:$C,D$1)=0,"",SUMIFS(Data!$U:$U,Data!$A:$A,$B76,Data!$C:$C,D$1))</f>
        <v/>
      </c>
      <c r="E76" s="31" t="str">
        <f>IF(SUMIFS(Data!$U:$U,Data!$A:$A,$B76,Data!$C:$C,E$1)=0,"",SUMIFS(Data!$U:$U,Data!$A:$A,$B76,Data!$C:$C,E$1))</f>
        <v/>
      </c>
      <c r="F76" s="31" t="str">
        <f>IF(SUMIFS(Data!$U:$U,Data!$A:$A,$B76,Data!$C:$C,F$1)=0,"",SUMIFS(Data!$U:$U,Data!$A:$A,$B76,Data!$C:$C,F$1))</f>
        <v/>
      </c>
      <c r="G76" s="31" t="str">
        <f>IF(SUMIFS(Data!$U:$U,Data!$A:$A,$B76,Data!$C:$C,G$1)=0,"",SUMIFS(Data!$U:$U,Data!$A:$A,$B76,Data!$C:$C,G$1))</f>
        <v/>
      </c>
      <c r="H76" s="31" t="str">
        <f>IF(SUMIFS(Data!$U:$U,Data!$A:$A,$B76,Data!$C:$C,H$1)=0,"",SUMIFS(Data!$U:$U,Data!$A:$A,$B76,Data!$C:$C,H$1))</f>
        <v/>
      </c>
      <c r="I76" s="31">
        <f>IF(SUMIFS(Data!$U:$U,Data!$A:$A,$B76,Data!$C:$C,I$1)=0,"",SUMIFS(Data!$U:$U,Data!$A:$A,$B76,Data!$C:$C,I$1))</f>
        <v>1.5809523809523809</v>
      </c>
      <c r="J76" s="31">
        <f>IF(SUMIFS(Data!$U:$U,Data!$A:$A,$B76,Data!$C:$C,J$1)=0,"",SUMIFS(Data!$U:$U,Data!$A:$A,$B76,Data!$C:$C,J$1))</f>
        <v>1.2791666666666666</v>
      </c>
      <c r="K76" s="31">
        <f>IF(SUMIFS(Data!$U:$U,Data!$A:$A,$B76,Data!$C:$C,K$1)=0,"",SUMIFS(Data!$U:$U,Data!$A:$A,$B76,Data!$C:$C,K$1))</f>
        <v>1.2922619047619048</v>
      </c>
      <c r="L76" s="31">
        <f>IF(SUMIFS(Data!$U:$U,Data!$A:$A,$B76,Data!$C:$C,L$1)=0,"",SUMIFS(Data!$U:$U,Data!$A:$A,$B76,Data!$C:$C,L$1))</f>
        <v>1.5041666666666667</v>
      </c>
      <c r="M76" s="31" t="str">
        <f>IF(SUMIFS(Data!$U:$U,Data!$A:$A,$B76,Data!$C:$C,M$1)=0,"",SUMIFS(Data!$U:$U,Data!$A:$A,$B76,Data!$C:$C,M$1))</f>
        <v/>
      </c>
      <c r="N76" s="31" t="str">
        <f>IF(SUMIFS(Data!$U:$U,Data!$A:$A,$B76,Data!$C:$C,N$1)=0,"",SUMIFS(Data!$U:$U,Data!$A:$A,$B76,Data!$C:$C,N$1))</f>
        <v/>
      </c>
      <c r="O76" s="31" t="str">
        <f>IF(SUMIFS(Data!$U:$U,Data!$A:$A,$B76,Data!$C:$C,O$1)=0,"",SUMIFS(Data!$U:$U,Data!$A:$A,$B76,Data!$C:$C,O$1))</f>
        <v/>
      </c>
      <c r="P76" s="31" t="str">
        <f>IF(SUMIFS(Data!$U:$U,Data!$A:$A,$B76,Data!$C:$C,P$1)=0,"",SUMIFS(Data!$U:$U,Data!$A:$A,$B76,Data!$C:$C,P$1))</f>
        <v/>
      </c>
      <c r="Q76" s="31" t="str">
        <f>IF(SUMIFS(Data!$U:$U,Data!$A:$A,$B76,Data!$C:$C,Q$1)=0,"",SUMIFS(Data!$U:$U,Data!$A:$A,$B76,Data!$C:$C,Q$1))</f>
        <v/>
      </c>
      <c r="R76" s="31">
        <f>VLOOKUP(B76,'#ligaSYR'!B:R,17,0)</f>
        <v>0</v>
      </c>
      <c r="S76" s="31">
        <f>SUM(C76:R76)</f>
        <v>5.6565476190476183</v>
      </c>
      <c r="T76" s="31">
        <f>SUMIFS(Data!D:D,Data!A:A,B76)</f>
        <v>46.54</v>
      </c>
    </row>
    <row r="77" spans="1:20" ht="13" x14ac:dyDescent="0.3">
      <c r="A77" s="79">
        <v>76</v>
      </c>
      <c r="B77" s="30" t="s">
        <v>365</v>
      </c>
      <c r="C77" s="31">
        <f>IF(SUMIFS(Data!$U:$U,Data!$A:$A,$B77,Data!$C:$C,C$1)=0,"",SUMIFS(Data!$U:$U,Data!$A:$A,$B77,Data!$C:$C,C$1))</f>
        <v>0.99404761904761907</v>
      </c>
      <c r="D77" s="31">
        <f>IF(SUMIFS(Data!$U:$U,Data!$A:$A,$B77,Data!$C:$C,D$1)=0,"",SUMIFS(Data!$U:$U,Data!$A:$A,$B77,Data!$C:$C,D$1))</f>
        <v>1.7928571428571429</v>
      </c>
      <c r="E77" s="31" t="str">
        <f>IF(SUMIFS(Data!$U:$U,Data!$A:$A,$B77,Data!$C:$C,E$1)=0,"",SUMIFS(Data!$U:$U,Data!$A:$A,$B77,Data!$C:$C,E$1))</f>
        <v/>
      </c>
      <c r="F77" s="31" t="str">
        <f>IF(SUMIFS(Data!$U:$U,Data!$A:$A,$B77,Data!$C:$C,F$1)=0,"",SUMIFS(Data!$U:$U,Data!$A:$A,$B77,Data!$C:$C,F$1))</f>
        <v/>
      </c>
      <c r="G77" s="31">
        <f>IF(SUMIFS(Data!$U:$U,Data!$A:$A,$B77,Data!$C:$C,G$1)=0,"",SUMIFS(Data!$U:$U,Data!$A:$A,$B77,Data!$C:$C,G$1))</f>
        <v>1.7577380952380952</v>
      </c>
      <c r="H77" s="31" t="str">
        <f>IF(SUMIFS(Data!$U:$U,Data!$A:$A,$B77,Data!$C:$C,H$1)=0,"",SUMIFS(Data!$U:$U,Data!$A:$A,$B77,Data!$C:$C,H$1))</f>
        <v/>
      </c>
      <c r="I77" s="31" t="str">
        <f>IF(SUMIFS(Data!$U:$U,Data!$A:$A,$B77,Data!$C:$C,I$1)=0,"",SUMIFS(Data!$U:$U,Data!$A:$A,$B77,Data!$C:$C,I$1))</f>
        <v/>
      </c>
      <c r="J77" s="31" t="str">
        <f>IF(SUMIFS(Data!$U:$U,Data!$A:$A,$B77,Data!$C:$C,J$1)=0,"",SUMIFS(Data!$U:$U,Data!$A:$A,$B77,Data!$C:$C,J$1))</f>
        <v/>
      </c>
      <c r="K77" s="31" t="str">
        <f>IF(SUMIFS(Data!$U:$U,Data!$A:$A,$B77,Data!$C:$C,K$1)=0,"",SUMIFS(Data!$U:$U,Data!$A:$A,$B77,Data!$C:$C,K$1))</f>
        <v/>
      </c>
      <c r="L77" s="31" t="str">
        <f>IF(SUMIFS(Data!$U:$U,Data!$A:$A,$B77,Data!$C:$C,L$1)=0,"",SUMIFS(Data!$U:$U,Data!$A:$A,$B77,Data!$C:$C,L$1))</f>
        <v/>
      </c>
      <c r="M77" s="31" t="str">
        <f>IF(SUMIFS(Data!$U:$U,Data!$A:$A,$B77,Data!$C:$C,M$1)=0,"",SUMIFS(Data!$U:$U,Data!$A:$A,$B77,Data!$C:$C,M$1))</f>
        <v/>
      </c>
      <c r="N77" s="31" t="str">
        <f>IF(SUMIFS(Data!$U:$U,Data!$A:$A,$B77,Data!$C:$C,N$1)=0,"",SUMIFS(Data!$U:$U,Data!$A:$A,$B77,Data!$C:$C,N$1))</f>
        <v/>
      </c>
      <c r="O77" s="31" t="str">
        <f>IF(SUMIFS(Data!$U:$U,Data!$A:$A,$B77,Data!$C:$C,O$1)=0,"",SUMIFS(Data!$U:$U,Data!$A:$A,$B77,Data!$C:$C,O$1))</f>
        <v/>
      </c>
      <c r="P77" s="31" t="str">
        <f>IF(SUMIFS(Data!$U:$U,Data!$A:$A,$B77,Data!$C:$C,P$1)=0,"",SUMIFS(Data!$U:$U,Data!$A:$A,$B77,Data!$C:$C,P$1))</f>
        <v/>
      </c>
      <c r="Q77" s="31" t="str">
        <f>IF(SUMIFS(Data!$U:$U,Data!$A:$A,$B77,Data!$C:$C,Q$1)=0,"",SUMIFS(Data!$U:$U,Data!$A:$A,$B77,Data!$C:$C,Q$1))</f>
        <v/>
      </c>
      <c r="R77" s="31">
        <f>VLOOKUP(B77,'#ligaSYR'!B:R,17,0)</f>
        <v>0</v>
      </c>
      <c r="S77" s="31">
        <f>SUM(C77:R77)</f>
        <v>4.5446428571428577</v>
      </c>
      <c r="T77" s="31">
        <f>SUMIFS(Data!D:D,Data!A:A,B77)</f>
        <v>27.69</v>
      </c>
    </row>
    <row r="78" spans="1:20" ht="13" x14ac:dyDescent="0.3">
      <c r="A78" s="79">
        <v>77</v>
      </c>
      <c r="B78" s="30" t="s">
        <v>381</v>
      </c>
      <c r="C78" s="31" t="str">
        <f>IF(SUMIFS(Data!$U:$U,Data!$A:$A,$B78,Data!$C:$C,C$1)=0,"",SUMIFS(Data!$U:$U,Data!$A:$A,$B78,Data!$C:$C,C$1))</f>
        <v/>
      </c>
      <c r="D78" s="31">
        <f>IF(SUMIFS(Data!$U:$U,Data!$A:$A,$B78,Data!$C:$C,D$1)=0,"",SUMIFS(Data!$U:$U,Data!$A:$A,$B78,Data!$C:$C,D$1))</f>
        <v>1.8525238095238095</v>
      </c>
      <c r="E78" s="31" t="str">
        <f>IF(SUMIFS(Data!$U:$U,Data!$A:$A,$B78,Data!$C:$C,E$1)=0,"",SUMIFS(Data!$U:$U,Data!$A:$A,$B78,Data!$C:$C,E$1))</f>
        <v/>
      </c>
      <c r="F78" s="31">
        <f>IF(SUMIFS(Data!$U:$U,Data!$A:$A,$B78,Data!$C:$C,F$1)=0,"",SUMIFS(Data!$U:$U,Data!$A:$A,$B78,Data!$C:$C,F$1))</f>
        <v>1.9809523809523808</v>
      </c>
      <c r="G78" s="31" t="str">
        <f>IF(SUMIFS(Data!$U:$U,Data!$A:$A,$B78,Data!$C:$C,G$1)=0,"",SUMIFS(Data!$U:$U,Data!$A:$A,$B78,Data!$C:$C,G$1))</f>
        <v/>
      </c>
      <c r="H78" s="31" t="str">
        <f>IF(SUMIFS(Data!$U:$U,Data!$A:$A,$B78,Data!$C:$C,H$1)=0,"",SUMIFS(Data!$U:$U,Data!$A:$A,$B78,Data!$C:$C,H$1))</f>
        <v/>
      </c>
      <c r="I78" s="31" t="str">
        <f>IF(SUMIFS(Data!$U:$U,Data!$A:$A,$B78,Data!$C:$C,I$1)=0,"",SUMIFS(Data!$U:$U,Data!$A:$A,$B78,Data!$C:$C,I$1))</f>
        <v/>
      </c>
      <c r="J78" s="31" t="str">
        <f>IF(SUMIFS(Data!$U:$U,Data!$A:$A,$B78,Data!$C:$C,J$1)=0,"",SUMIFS(Data!$U:$U,Data!$A:$A,$B78,Data!$C:$C,J$1))</f>
        <v/>
      </c>
      <c r="K78" s="31" t="str">
        <f>IF(SUMIFS(Data!$U:$U,Data!$A:$A,$B78,Data!$C:$C,K$1)=0,"",SUMIFS(Data!$U:$U,Data!$A:$A,$B78,Data!$C:$C,K$1))</f>
        <v/>
      </c>
      <c r="L78" s="31" t="str">
        <f>IF(SUMIFS(Data!$U:$U,Data!$A:$A,$B78,Data!$C:$C,L$1)=0,"",SUMIFS(Data!$U:$U,Data!$A:$A,$B78,Data!$C:$C,L$1))</f>
        <v/>
      </c>
      <c r="M78" s="31" t="str">
        <f>IF(SUMIFS(Data!$U:$U,Data!$A:$A,$B78,Data!$C:$C,M$1)=0,"",SUMIFS(Data!$U:$U,Data!$A:$A,$B78,Data!$C:$C,M$1))</f>
        <v/>
      </c>
      <c r="N78" s="31" t="str">
        <f>IF(SUMIFS(Data!$U:$U,Data!$A:$A,$B78,Data!$C:$C,N$1)=0,"",SUMIFS(Data!$U:$U,Data!$A:$A,$B78,Data!$C:$C,N$1))</f>
        <v/>
      </c>
      <c r="O78" s="31" t="str">
        <f>IF(SUMIFS(Data!$U:$U,Data!$A:$A,$B78,Data!$C:$C,O$1)=0,"",SUMIFS(Data!$U:$U,Data!$A:$A,$B78,Data!$C:$C,O$1))</f>
        <v/>
      </c>
      <c r="P78" s="31" t="str">
        <f>IF(SUMIFS(Data!$U:$U,Data!$A:$A,$B78,Data!$C:$C,P$1)=0,"",SUMIFS(Data!$U:$U,Data!$A:$A,$B78,Data!$C:$C,P$1))</f>
        <v/>
      </c>
      <c r="Q78" s="31" t="str">
        <f>IF(SUMIFS(Data!$U:$U,Data!$A:$A,$B78,Data!$C:$C,Q$1)=0,"",SUMIFS(Data!$U:$U,Data!$A:$A,$B78,Data!$C:$C,Q$1))</f>
        <v/>
      </c>
      <c r="R78" s="31">
        <f>VLOOKUP(B78,'#ligaSYR'!B:R,17,0)</f>
        <v>0</v>
      </c>
      <c r="S78" s="31">
        <f>SUM(C78:R78)</f>
        <v>3.8334761904761905</v>
      </c>
      <c r="T78" s="31">
        <f>SUMIFS(Data!D:D,Data!A:A,B78)</f>
        <v>19.309999999999999</v>
      </c>
    </row>
    <row r="79" spans="1:20" ht="13" x14ac:dyDescent="0.3">
      <c r="A79" s="79">
        <v>78</v>
      </c>
      <c r="B79" s="30" t="s">
        <v>510</v>
      </c>
      <c r="C79" s="31" t="str">
        <f>IF(SUMIFS(Data!$U:$U,Data!$A:$A,$B79,Data!$C:$C,C$1)=0,"",SUMIFS(Data!$U:$U,Data!$A:$A,$B79,Data!$C:$C,C$1))</f>
        <v/>
      </c>
      <c r="D79" s="31" t="str">
        <f>IF(SUMIFS(Data!$U:$U,Data!$A:$A,$B79,Data!$C:$C,D$1)=0,"",SUMIFS(Data!$U:$U,Data!$A:$A,$B79,Data!$C:$C,D$1))</f>
        <v/>
      </c>
      <c r="E79" s="31" t="str">
        <f>IF(SUMIFS(Data!$U:$U,Data!$A:$A,$B79,Data!$C:$C,E$1)=0,"",SUMIFS(Data!$U:$U,Data!$A:$A,$B79,Data!$C:$C,E$1))</f>
        <v/>
      </c>
      <c r="F79" s="31" t="str">
        <f>IF(SUMIFS(Data!$U:$U,Data!$A:$A,$B79,Data!$C:$C,F$1)=0,"",SUMIFS(Data!$U:$U,Data!$A:$A,$B79,Data!$C:$C,F$1))</f>
        <v/>
      </c>
      <c r="G79" s="31" t="str">
        <f>IF(SUMIFS(Data!$U:$U,Data!$A:$A,$B79,Data!$C:$C,G$1)=0,"",SUMIFS(Data!$U:$U,Data!$A:$A,$B79,Data!$C:$C,G$1))</f>
        <v/>
      </c>
      <c r="H79" s="31" t="str">
        <f>IF(SUMIFS(Data!$U:$U,Data!$A:$A,$B79,Data!$C:$C,H$1)=0,"",SUMIFS(Data!$U:$U,Data!$A:$A,$B79,Data!$C:$C,H$1))</f>
        <v/>
      </c>
      <c r="I79" s="31" t="str">
        <f>IF(SUMIFS(Data!$U:$U,Data!$A:$A,$B79,Data!$C:$C,I$1)=0,"",SUMIFS(Data!$U:$U,Data!$A:$A,$B79,Data!$C:$C,I$1))</f>
        <v/>
      </c>
      <c r="J79" s="31" t="str">
        <f>IF(SUMIFS(Data!$U:$U,Data!$A:$A,$B79,Data!$C:$C,J$1)=0,"",SUMIFS(Data!$U:$U,Data!$A:$A,$B79,Data!$C:$C,J$1))</f>
        <v/>
      </c>
      <c r="K79" s="31" t="str">
        <f>IF(SUMIFS(Data!$U:$U,Data!$A:$A,$B79,Data!$C:$C,K$1)=0,"",SUMIFS(Data!$U:$U,Data!$A:$A,$B79,Data!$C:$C,K$1))</f>
        <v/>
      </c>
      <c r="L79" s="31" t="str">
        <f>IF(SUMIFS(Data!$U:$U,Data!$A:$A,$B79,Data!$C:$C,L$1)=0,"",SUMIFS(Data!$U:$U,Data!$A:$A,$B79,Data!$C:$C,L$1))</f>
        <v/>
      </c>
      <c r="M79" s="31" t="str">
        <f>IF(SUMIFS(Data!$U:$U,Data!$A:$A,$B79,Data!$C:$C,M$1)=0,"",SUMIFS(Data!$U:$U,Data!$A:$A,$B79,Data!$C:$C,M$1))</f>
        <v/>
      </c>
      <c r="N79" s="31" t="str">
        <f>IF(SUMIFS(Data!$U:$U,Data!$A:$A,$B79,Data!$C:$C,N$1)=0,"",SUMIFS(Data!$U:$U,Data!$A:$A,$B79,Data!$C:$C,N$1))</f>
        <v/>
      </c>
      <c r="O79" s="31" t="str">
        <f>IF(SUMIFS(Data!$U:$U,Data!$A:$A,$B79,Data!$C:$C,O$1)=0,"",SUMIFS(Data!$U:$U,Data!$A:$A,$B79,Data!$C:$C,O$1))</f>
        <v/>
      </c>
      <c r="P79" s="31">
        <f>IF(SUMIFS(Data!$U:$U,Data!$A:$A,$B79,Data!$C:$C,P$1)=0,"",SUMIFS(Data!$U:$U,Data!$A:$A,$B79,Data!$C:$C,P$1))</f>
        <v>2.0922619047619047</v>
      </c>
      <c r="Q79" s="31">
        <f>IF(SUMIFS(Data!$U:$U,Data!$A:$A,$B79,Data!$C:$C,Q$1)=0,"",SUMIFS(Data!$U:$U,Data!$A:$A,$B79,Data!$C:$C,Q$1))</f>
        <v>1.605952380952381</v>
      </c>
      <c r="R79" s="31">
        <f>VLOOKUP(B79,'#ligaSYR'!B:R,17,0)</f>
        <v>0</v>
      </c>
      <c r="S79" s="31">
        <f>SUM(C79:R79)</f>
        <v>3.6982142857142857</v>
      </c>
      <c r="T79" s="31">
        <f>SUMIFS(Data!D:D,Data!A:A,B79)</f>
        <v>26.18</v>
      </c>
    </row>
    <row r="80" spans="1:20" ht="13" x14ac:dyDescent="0.3">
      <c r="A80" s="79">
        <v>79</v>
      </c>
      <c r="B80" s="30" t="s">
        <v>352</v>
      </c>
      <c r="C80" s="31">
        <f>IF(SUMIFS(Data!$U:$U,Data!$A:$A,$B80,Data!$C:$C,C$1)=0,"",SUMIFS(Data!$U:$U,Data!$A:$A,$B80,Data!$C:$C,C$1))</f>
        <v>1.8916666666666666</v>
      </c>
      <c r="D80" s="31">
        <f>IF(SUMIFS(Data!$U:$U,Data!$A:$A,$B80,Data!$C:$C,D$1)=0,"",SUMIFS(Data!$U:$U,Data!$A:$A,$B80,Data!$C:$C,D$1))</f>
        <v>1.4886904761904762</v>
      </c>
      <c r="E80" s="31" t="str">
        <f>IF(SUMIFS(Data!$U:$U,Data!$A:$A,$B80,Data!$C:$C,E$1)=0,"",SUMIFS(Data!$U:$U,Data!$A:$A,$B80,Data!$C:$C,E$1))</f>
        <v/>
      </c>
      <c r="F80" s="31" t="str">
        <f>IF(SUMIFS(Data!$U:$U,Data!$A:$A,$B80,Data!$C:$C,F$1)=0,"",SUMIFS(Data!$U:$U,Data!$A:$A,$B80,Data!$C:$C,F$1))</f>
        <v/>
      </c>
      <c r="G80" s="31" t="str">
        <f>IF(SUMIFS(Data!$U:$U,Data!$A:$A,$B80,Data!$C:$C,G$1)=0,"",SUMIFS(Data!$U:$U,Data!$A:$A,$B80,Data!$C:$C,G$1))</f>
        <v/>
      </c>
      <c r="H80" s="31" t="str">
        <f>IF(SUMIFS(Data!$U:$U,Data!$A:$A,$B80,Data!$C:$C,H$1)=0,"",SUMIFS(Data!$U:$U,Data!$A:$A,$B80,Data!$C:$C,H$1))</f>
        <v/>
      </c>
      <c r="I80" s="31" t="str">
        <f>IF(SUMIFS(Data!$U:$U,Data!$A:$A,$B80,Data!$C:$C,I$1)=0,"",SUMIFS(Data!$U:$U,Data!$A:$A,$B80,Data!$C:$C,I$1))</f>
        <v/>
      </c>
      <c r="J80" s="31" t="str">
        <f>IF(SUMIFS(Data!$U:$U,Data!$A:$A,$B80,Data!$C:$C,J$1)=0,"",SUMIFS(Data!$U:$U,Data!$A:$A,$B80,Data!$C:$C,J$1))</f>
        <v/>
      </c>
      <c r="K80" s="31" t="str">
        <f>IF(SUMIFS(Data!$U:$U,Data!$A:$A,$B80,Data!$C:$C,K$1)=0,"",SUMIFS(Data!$U:$U,Data!$A:$A,$B80,Data!$C:$C,K$1))</f>
        <v/>
      </c>
      <c r="L80" s="31" t="str">
        <f>IF(SUMIFS(Data!$U:$U,Data!$A:$A,$B80,Data!$C:$C,L$1)=0,"",SUMIFS(Data!$U:$U,Data!$A:$A,$B80,Data!$C:$C,L$1))</f>
        <v/>
      </c>
      <c r="M80" s="31" t="str">
        <f>IF(SUMIFS(Data!$U:$U,Data!$A:$A,$B80,Data!$C:$C,M$1)=0,"",SUMIFS(Data!$U:$U,Data!$A:$A,$B80,Data!$C:$C,M$1))</f>
        <v/>
      </c>
      <c r="N80" s="31" t="str">
        <f>IF(SUMIFS(Data!$U:$U,Data!$A:$A,$B80,Data!$C:$C,N$1)=0,"",SUMIFS(Data!$U:$U,Data!$A:$A,$B80,Data!$C:$C,N$1))</f>
        <v/>
      </c>
      <c r="O80" s="31" t="str">
        <f>IF(SUMIFS(Data!$U:$U,Data!$A:$A,$B80,Data!$C:$C,O$1)=0,"",SUMIFS(Data!$U:$U,Data!$A:$A,$B80,Data!$C:$C,O$1))</f>
        <v/>
      </c>
      <c r="P80" s="31" t="str">
        <f>IF(SUMIFS(Data!$U:$U,Data!$A:$A,$B80,Data!$C:$C,P$1)=0,"",SUMIFS(Data!$U:$U,Data!$A:$A,$B80,Data!$C:$C,P$1))</f>
        <v/>
      </c>
      <c r="Q80" s="31" t="str">
        <f>IF(SUMIFS(Data!$U:$U,Data!$A:$A,$B80,Data!$C:$C,Q$1)=0,"",SUMIFS(Data!$U:$U,Data!$A:$A,$B80,Data!$C:$C,Q$1))</f>
        <v/>
      </c>
      <c r="R80" s="31">
        <f>VLOOKUP(B80,'#ligaSYR'!B:R,17,0)</f>
        <v>0</v>
      </c>
      <c r="S80" s="31">
        <f>SUM(C80:R80)</f>
        <v>3.3803571428571431</v>
      </c>
      <c r="T80" s="31">
        <f>SUMIFS(Data!D:D,Data!A:A,B80)</f>
        <v>9.5400000000000009</v>
      </c>
    </row>
    <row r="81" spans="1:20" ht="13" x14ac:dyDescent="0.3">
      <c r="A81" s="79">
        <v>80</v>
      </c>
      <c r="B81" s="30" t="s">
        <v>394</v>
      </c>
      <c r="C81" s="31" t="str">
        <f>IF(SUMIFS(Data!$U:$U,Data!$A:$A,$B81,Data!$C:$C,C$1)=0,"",SUMIFS(Data!$U:$U,Data!$A:$A,$B81,Data!$C:$C,C$1))</f>
        <v/>
      </c>
      <c r="D81" s="31" t="str">
        <f>IF(SUMIFS(Data!$U:$U,Data!$A:$A,$B81,Data!$C:$C,D$1)=0,"",SUMIFS(Data!$U:$U,Data!$A:$A,$B81,Data!$C:$C,D$1))</f>
        <v/>
      </c>
      <c r="E81" s="31">
        <f>IF(SUMIFS(Data!$U:$U,Data!$A:$A,$B81,Data!$C:$C,E$1)=0,"",SUMIFS(Data!$U:$U,Data!$A:$A,$B81,Data!$C:$C,E$1))</f>
        <v>2.1428571428571428</v>
      </c>
      <c r="F81" s="31" t="str">
        <f>IF(SUMIFS(Data!$U:$U,Data!$A:$A,$B81,Data!$C:$C,F$1)=0,"",SUMIFS(Data!$U:$U,Data!$A:$A,$B81,Data!$C:$C,F$1))</f>
        <v/>
      </c>
      <c r="G81" s="31" t="str">
        <f>IF(SUMIFS(Data!$U:$U,Data!$A:$A,$B81,Data!$C:$C,G$1)=0,"",SUMIFS(Data!$U:$U,Data!$A:$A,$B81,Data!$C:$C,G$1))</f>
        <v/>
      </c>
      <c r="H81" s="31" t="str">
        <f>IF(SUMIFS(Data!$U:$U,Data!$A:$A,$B81,Data!$C:$C,H$1)=0,"",SUMIFS(Data!$U:$U,Data!$A:$A,$B81,Data!$C:$C,H$1))</f>
        <v/>
      </c>
      <c r="I81" s="31" t="str">
        <f>IF(SUMIFS(Data!$U:$U,Data!$A:$A,$B81,Data!$C:$C,I$1)=0,"",SUMIFS(Data!$U:$U,Data!$A:$A,$B81,Data!$C:$C,I$1))</f>
        <v/>
      </c>
      <c r="J81" s="31" t="str">
        <f>IF(SUMIFS(Data!$U:$U,Data!$A:$A,$B81,Data!$C:$C,J$1)=0,"",SUMIFS(Data!$U:$U,Data!$A:$A,$B81,Data!$C:$C,J$1))</f>
        <v/>
      </c>
      <c r="K81" s="31" t="str">
        <f>IF(SUMIFS(Data!$U:$U,Data!$A:$A,$B81,Data!$C:$C,K$1)=0,"",SUMIFS(Data!$U:$U,Data!$A:$A,$B81,Data!$C:$C,K$1))</f>
        <v/>
      </c>
      <c r="L81" s="31" t="str">
        <f>IF(SUMIFS(Data!$U:$U,Data!$A:$A,$B81,Data!$C:$C,L$1)=0,"",SUMIFS(Data!$U:$U,Data!$A:$A,$B81,Data!$C:$C,L$1))</f>
        <v/>
      </c>
      <c r="M81" s="31" t="str">
        <f>IF(SUMIFS(Data!$U:$U,Data!$A:$A,$B81,Data!$C:$C,M$1)=0,"",SUMIFS(Data!$U:$U,Data!$A:$A,$B81,Data!$C:$C,M$1))</f>
        <v/>
      </c>
      <c r="N81" s="31" t="str">
        <f>IF(SUMIFS(Data!$U:$U,Data!$A:$A,$B81,Data!$C:$C,N$1)=0,"",SUMIFS(Data!$U:$U,Data!$A:$A,$B81,Data!$C:$C,N$1))</f>
        <v/>
      </c>
      <c r="O81" s="31" t="str">
        <f>IF(SUMIFS(Data!$U:$U,Data!$A:$A,$B81,Data!$C:$C,O$1)=0,"",SUMIFS(Data!$U:$U,Data!$A:$A,$B81,Data!$C:$C,O$1))</f>
        <v/>
      </c>
      <c r="P81" s="31" t="str">
        <f>IF(SUMIFS(Data!$U:$U,Data!$A:$A,$B81,Data!$C:$C,P$1)=0,"",SUMIFS(Data!$U:$U,Data!$A:$A,$B81,Data!$C:$C,P$1))</f>
        <v/>
      </c>
      <c r="Q81" s="31" t="str">
        <f>IF(SUMIFS(Data!$U:$U,Data!$A:$A,$B81,Data!$C:$C,Q$1)=0,"",SUMIFS(Data!$U:$U,Data!$A:$A,$B81,Data!$C:$C,Q$1))</f>
        <v/>
      </c>
      <c r="R81" s="31">
        <f>VLOOKUP(B81,'#ligaSYR'!B:R,17,0)</f>
        <v>0</v>
      </c>
      <c r="S81" s="31">
        <f>SUM(C81:R81)</f>
        <v>2.1428571428571428</v>
      </c>
      <c r="T81" s="31">
        <f>SUMIFS(Data!D:D,Data!A:A,B81)</f>
        <v>10.8</v>
      </c>
    </row>
    <row r="82" spans="1:20" ht="13" x14ac:dyDescent="0.3">
      <c r="A82" s="79">
        <v>81</v>
      </c>
      <c r="B82" s="30" t="s">
        <v>342</v>
      </c>
      <c r="C82" s="31">
        <f>IF(SUMIFS(Data!$U:$U,Data!$A:$A,$B82,Data!$C:$C,C$1)=0,"",SUMIFS(Data!$U:$U,Data!$A:$A,$B82,Data!$C:$C,C$1))</f>
        <v>1.675</v>
      </c>
      <c r="D82" s="31" t="str">
        <f>IF(SUMIFS(Data!$U:$U,Data!$A:$A,$B82,Data!$C:$C,D$1)=0,"",SUMIFS(Data!$U:$U,Data!$A:$A,$B82,Data!$C:$C,D$1))</f>
        <v/>
      </c>
      <c r="E82" s="31" t="str">
        <f>IF(SUMIFS(Data!$U:$U,Data!$A:$A,$B82,Data!$C:$C,E$1)=0,"",SUMIFS(Data!$U:$U,Data!$A:$A,$B82,Data!$C:$C,E$1))</f>
        <v/>
      </c>
      <c r="F82" s="31" t="str">
        <f>IF(SUMIFS(Data!$U:$U,Data!$A:$A,$B82,Data!$C:$C,F$1)=0,"",SUMIFS(Data!$U:$U,Data!$A:$A,$B82,Data!$C:$C,F$1))</f>
        <v/>
      </c>
      <c r="G82" s="31" t="str">
        <f>IF(SUMIFS(Data!$U:$U,Data!$A:$A,$B82,Data!$C:$C,G$1)=0,"",SUMIFS(Data!$U:$U,Data!$A:$A,$B82,Data!$C:$C,G$1))</f>
        <v/>
      </c>
      <c r="H82" s="31" t="str">
        <f>IF(SUMIFS(Data!$U:$U,Data!$A:$A,$B82,Data!$C:$C,H$1)=0,"",SUMIFS(Data!$U:$U,Data!$A:$A,$B82,Data!$C:$C,H$1))</f>
        <v/>
      </c>
      <c r="I82" s="31" t="str">
        <f>IF(SUMIFS(Data!$U:$U,Data!$A:$A,$B82,Data!$C:$C,I$1)=0,"",SUMIFS(Data!$U:$U,Data!$A:$A,$B82,Data!$C:$C,I$1))</f>
        <v/>
      </c>
      <c r="J82" s="31" t="str">
        <f>IF(SUMIFS(Data!$U:$U,Data!$A:$A,$B82,Data!$C:$C,J$1)=0,"",SUMIFS(Data!$U:$U,Data!$A:$A,$B82,Data!$C:$C,J$1))</f>
        <v/>
      </c>
      <c r="K82" s="31" t="str">
        <f>IF(SUMIFS(Data!$U:$U,Data!$A:$A,$B82,Data!$C:$C,K$1)=0,"",SUMIFS(Data!$U:$U,Data!$A:$A,$B82,Data!$C:$C,K$1))</f>
        <v/>
      </c>
      <c r="L82" s="31" t="str">
        <f>IF(SUMIFS(Data!$U:$U,Data!$A:$A,$B82,Data!$C:$C,L$1)=0,"",SUMIFS(Data!$U:$U,Data!$A:$A,$B82,Data!$C:$C,L$1))</f>
        <v/>
      </c>
      <c r="M82" s="31" t="str">
        <f>IF(SUMIFS(Data!$U:$U,Data!$A:$A,$B82,Data!$C:$C,M$1)=0,"",SUMIFS(Data!$U:$U,Data!$A:$A,$B82,Data!$C:$C,M$1))</f>
        <v/>
      </c>
      <c r="N82" s="31" t="str">
        <f>IF(SUMIFS(Data!$U:$U,Data!$A:$A,$B82,Data!$C:$C,N$1)=0,"",SUMIFS(Data!$U:$U,Data!$A:$A,$B82,Data!$C:$C,N$1))</f>
        <v/>
      </c>
      <c r="O82" s="31" t="str">
        <f>IF(SUMIFS(Data!$U:$U,Data!$A:$A,$B82,Data!$C:$C,O$1)=0,"",SUMIFS(Data!$U:$U,Data!$A:$A,$B82,Data!$C:$C,O$1))</f>
        <v/>
      </c>
      <c r="P82" s="31" t="str">
        <f>IF(SUMIFS(Data!$U:$U,Data!$A:$A,$B82,Data!$C:$C,P$1)=0,"",SUMIFS(Data!$U:$U,Data!$A:$A,$B82,Data!$C:$C,P$1))</f>
        <v/>
      </c>
      <c r="Q82" s="31" t="str">
        <f>IF(SUMIFS(Data!$U:$U,Data!$A:$A,$B82,Data!$C:$C,Q$1)=0,"",SUMIFS(Data!$U:$U,Data!$A:$A,$B82,Data!$C:$C,Q$1))</f>
        <v/>
      </c>
      <c r="R82" s="31">
        <f>VLOOKUP(B82,'#ligaSYR'!B:R,17,0)</f>
        <v>0</v>
      </c>
      <c r="S82" s="31">
        <f>SUM(C82:R82)</f>
        <v>1.675</v>
      </c>
      <c r="T82" s="31">
        <f>SUMIFS(Data!D:D,Data!A:A,B82)</f>
        <v>5.04</v>
      </c>
    </row>
    <row r="83" spans="1:20" ht="13" x14ac:dyDescent="0.3">
      <c r="A83" s="79">
        <v>82</v>
      </c>
      <c r="B83" s="30" t="s">
        <v>384</v>
      </c>
      <c r="C83" s="31" t="str">
        <f>IF(SUMIFS(Data!$U:$U,Data!$A:$A,$B83,Data!$C:$C,C$1)=0,"",SUMIFS(Data!$U:$U,Data!$A:$A,$B83,Data!$C:$C,C$1))</f>
        <v/>
      </c>
      <c r="D83" s="31">
        <f>IF(SUMIFS(Data!$U:$U,Data!$A:$A,$B83,Data!$C:$C,D$1)=0,"",SUMIFS(Data!$U:$U,Data!$A:$A,$B83,Data!$C:$C,D$1))</f>
        <v>1.1738095238095236</v>
      </c>
      <c r="E83" s="31" t="str">
        <f>IF(SUMIFS(Data!$U:$U,Data!$A:$A,$B83,Data!$C:$C,E$1)=0,"",SUMIFS(Data!$U:$U,Data!$A:$A,$B83,Data!$C:$C,E$1))</f>
        <v/>
      </c>
      <c r="F83" s="31" t="str">
        <f>IF(SUMIFS(Data!$U:$U,Data!$A:$A,$B83,Data!$C:$C,F$1)=0,"",SUMIFS(Data!$U:$U,Data!$A:$A,$B83,Data!$C:$C,F$1))</f>
        <v/>
      </c>
      <c r="G83" s="31" t="str">
        <f>IF(SUMIFS(Data!$U:$U,Data!$A:$A,$B83,Data!$C:$C,G$1)=0,"",SUMIFS(Data!$U:$U,Data!$A:$A,$B83,Data!$C:$C,G$1))</f>
        <v/>
      </c>
      <c r="H83" s="31" t="str">
        <f>IF(SUMIFS(Data!$U:$U,Data!$A:$A,$B83,Data!$C:$C,H$1)=0,"",SUMIFS(Data!$U:$U,Data!$A:$A,$B83,Data!$C:$C,H$1))</f>
        <v/>
      </c>
      <c r="I83" s="31" t="str">
        <f>IF(SUMIFS(Data!$U:$U,Data!$A:$A,$B83,Data!$C:$C,I$1)=0,"",SUMIFS(Data!$U:$U,Data!$A:$A,$B83,Data!$C:$C,I$1))</f>
        <v/>
      </c>
      <c r="J83" s="31" t="str">
        <f>IF(SUMIFS(Data!$U:$U,Data!$A:$A,$B83,Data!$C:$C,J$1)=0,"",SUMIFS(Data!$U:$U,Data!$A:$A,$B83,Data!$C:$C,J$1))</f>
        <v/>
      </c>
      <c r="K83" s="31" t="str">
        <f>IF(SUMIFS(Data!$U:$U,Data!$A:$A,$B83,Data!$C:$C,K$1)=0,"",SUMIFS(Data!$U:$U,Data!$A:$A,$B83,Data!$C:$C,K$1))</f>
        <v/>
      </c>
      <c r="L83" s="31" t="str">
        <f>IF(SUMIFS(Data!$U:$U,Data!$A:$A,$B83,Data!$C:$C,L$1)=0,"",SUMIFS(Data!$U:$U,Data!$A:$A,$B83,Data!$C:$C,L$1))</f>
        <v/>
      </c>
      <c r="M83" s="31" t="str">
        <f>IF(SUMIFS(Data!$U:$U,Data!$A:$A,$B83,Data!$C:$C,M$1)=0,"",SUMIFS(Data!$U:$U,Data!$A:$A,$B83,Data!$C:$C,M$1))</f>
        <v/>
      </c>
      <c r="N83" s="31" t="str">
        <f>IF(SUMIFS(Data!$U:$U,Data!$A:$A,$B83,Data!$C:$C,N$1)=0,"",SUMIFS(Data!$U:$U,Data!$A:$A,$B83,Data!$C:$C,N$1))</f>
        <v/>
      </c>
      <c r="O83" s="31" t="str">
        <f>IF(SUMIFS(Data!$U:$U,Data!$A:$A,$B83,Data!$C:$C,O$1)=0,"",SUMIFS(Data!$U:$U,Data!$A:$A,$B83,Data!$C:$C,O$1))</f>
        <v/>
      </c>
      <c r="P83" s="31" t="str">
        <f>IF(SUMIFS(Data!$U:$U,Data!$A:$A,$B83,Data!$C:$C,P$1)=0,"",SUMIFS(Data!$U:$U,Data!$A:$A,$B83,Data!$C:$C,P$1))</f>
        <v/>
      </c>
      <c r="Q83" s="31" t="str">
        <f>IF(SUMIFS(Data!$U:$U,Data!$A:$A,$B83,Data!$C:$C,Q$1)=0,"",SUMIFS(Data!$U:$U,Data!$A:$A,$B83,Data!$C:$C,Q$1))</f>
        <v/>
      </c>
      <c r="R83" s="31">
        <f>VLOOKUP(B83,'#ligaSYR'!B:R,17,0)</f>
        <v>0</v>
      </c>
      <c r="S83" s="31">
        <f>SUM(C83:R83)</f>
        <v>1.1738095238095236</v>
      </c>
      <c r="T83" s="31">
        <f>SUMIFS(Data!D:D,Data!A:A,B83)</f>
        <v>15.52</v>
      </c>
    </row>
  </sheetData>
  <autoFilter ref="A1:T83" xr:uid="{00000000-0009-0000-0000-000008000000}">
    <sortState xmlns:xlrd2="http://schemas.microsoft.com/office/spreadsheetml/2017/richdata2" ref="A2:T83">
      <sortCondition descending="1" ref="S1:S83"/>
    </sortState>
  </autoFilter>
  <sortState xmlns:xlrd2="http://schemas.microsoft.com/office/spreadsheetml/2017/richdata2" ref="B2:T83">
    <sortCondition descending="1" ref="S2:S83"/>
    <sortCondition descending="1" ref="T2:T83"/>
  </sortState>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V37"/>
  <sheetViews>
    <sheetView workbookViewId="0">
      <selection activeCell="A2" sqref="A2"/>
    </sheetView>
  </sheetViews>
  <sheetFormatPr defaultColWidth="9.1796875" defaultRowHeight="12" x14ac:dyDescent="0.3"/>
  <cols>
    <col min="1" max="1" width="7.81640625" style="75" bestFit="1" customWidth="1"/>
    <col min="2" max="2" width="23.54296875" style="1" bestFit="1" customWidth="1"/>
    <col min="3" max="4" width="6.453125" style="1" bestFit="1" customWidth="1"/>
    <col min="5" max="5" width="6.453125" style="1" customWidth="1"/>
    <col min="6" max="17" width="5.81640625" style="1" customWidth="1"/>
    <col min="18" max="18" width="13.1796875" style="1" customWidth="1"/>
    <col min="19" max="19" width="10.1796875" style="1" customWidth="1"/>
    <col min="20" max="20" width="13" style="1" bestFit="1" customWidth="1"/>
    <col min="21" max="16384" width="9.1796875" style="1"/>
  </cols>
  <sheetData>
    <row r="1" spans="1:22" ht="13" x14ac:dyDescent="0.3">
      <c r="A1" s="81" t="s">
        <v>67</v>
      </c>
      <c r="B1" s="33" t="s">
        <v>31</v>
      </c>
      <c r="C1" s="36">
        <v>1</v>
      </c>
      <c r="D1" s="36">
        <v>2</v>
      </c>
      <c r="E1" s="36">
        <v>3</v>
      </c>
      <c r="F1" s="36">
        <v>4</v>
      </c>
      <c r="G1" s="36">
        <v>5</v>
      </c>
      <c r="H1" s="36">
        <v>6</v>
      </c>
      <c r="I1" s="36">
        <v>7</v>
      </c>
      <c r="J1" s="36">
        <v>8</v>
      </c>
      <c r="K1" s="36">
        <v>9</v>
      </c>
      <c r="L1" s="36">
        <v>10</v>
      </c>
      <c r="M1" s="36">
        <v>11</v>
      </c>
      <c r="N1" s="36">
        <v>12</v>
      </c>
      <c r="O1" s="36">
        <v>13</v>
      </c>
      <c r="P1" s="36">
        <v>14</v>
      </c>
      <c r="Q1" s="36">
        <v>15</v>
      </c>
      <c r="R1" s="70" t="s">
        <v>83</v>
      </c>
      <c r="S1" s="33" t="s">
        <v>69</v>
      </c>
      <c r="T1" s="33" t="s">
        <v>68</v>
      </c>
    </row>
    <row r="2" spans="1:22" ht="13" x14ac:dyDescent="0.3">
      <c r="A2" s="79">
        <v>1</v>
      </c>
      <c r="B2" s="30" t="s">
        <v>225</v>
      </c>
      <c r="C2" s="31">
        <f>IF(SUMIFS(Data!$U:$U,Data!$A:$A,$B2,Data!$C:$C,C$1)=0,"",SUMIFS(Data!$U:$U,Data!$A:$A,$B2,Data!$C:$C,C$1))</f>
        <v>4.3858333333333333</v>
      </c>
      <c r="D2" s="31">
        <f>IF(SUMIFS(Data!$U:$U,Data!$A:$A,$B2,Data!$C:$C,D$1)=0,"",SUMIFS(Data!$U:$U,Data!$A:$A,$B2,Data!$C:$C,D$1))</f>
        <v>4.5</v>
      </c>
      <c r="E2" s="31">
        <f>IF(SUMIFS(Data!$U:$U,Data!$A:$A,$B2,Data!$C:$C,E$1)=0,"",SUMIFS(Data!$U:$U,Data!$A:$A,$B2,Data!$C:$C,E$1))</f>
        <v>4.3220000000000001</v>
      </c>
      <c r="F2" s="31">
        <f>IF(SUMIFS(Data!$U:$U,Data!$A:$A,$B2,Data!$C:$C,F$1)=0,"",SUMIFS(Data!$U:$U,Data!$A:$A,$B2,Data!$C:$C,F$1))</f>
        <v>4</v>
      </c>
      <c r="G2" s="31">
        <f>IF(SUMIFS(Data!$U:$U,Data!$A:$A,$B2,Data!$C:$C,G$1)=0,"",SUMIFS(Data!$U:$U,Data!$A:$A,$B2,Data!$C:$C,G$1))</f>
        <v>4.2178333333333331</v>
      </c>
      <c r="H2" s="31">
        <f>IF(SUMIFS(Data!$U:$U,Data!$A:$A,$B2,Data!$C:$C,H$1)=0,"",SUMIFS(Data!$U:$U,Data!$A:$A,$B2,Data!$C:$C,H$1))</f>
        <v>4.3012916666666667</v>
      </c>
      <c r="I2" s="31">
        <f>IF(SUMIFS(Data!$U:$U,Data!$A:$A,$B2,Data!$C:$C,I$1)=0,"",SUMIFS(Data!$U:$U,Data!$A:$A,$B2,Data!$C:$C,I$1))</f>
        <v>3.8595833333333331</v>
      </c>
      <c r="J2" s="31">
        <f>IF(SUMIFS(Data!$U:$U,Data!$A:$A,$B2,Data!$C:$C,J$1)=0,"",SUMIFS(Data!$U:$U,Data!$A:$A,$B2,Data!$C:$C,J$1))</f>
        <v>4.3538333333333332</v>
      </c>
      <c r="K2" s="31">
        <f>IF(SUMIFS(Data!$U:$U,Data!$A:$A,$B2,Data!$C:$C,K$1)=0,"",SUMIFS(Data!$U:$U,Data!$A:$A,$B2,Data!$C:$C,K$1))</f>
        <v>3.7814166666666669</v>
      </c>
      <c r="L2" s="31">
        <f>IF(SUMIFS(Data!$U:$U,Data!$A:$A,$B2,Data!$C:$C,L$1)=0,"",SUMIFS(Data!$U:$U,Data!$A:$A,$B2,Data!$C:$C,L$1))</f>
        <v>4.3583333333333325</v>
      </c>
      <c r="M2" s="31">
        <f>IF(SUMIFS(Data!$U:$U,Data!$A:$A,$B2,Data!$C:$C,M$1)=0,"",SUMIFS(Data!$U:$U,Data!$A:$A,$B2,Data!$C:$C,M$1))</f>
        <v>4.2214999999999998</v>
      </c>
      <c r="N2" s="31">
        <f>IF(SUMIFS(Data!$U:$U,Data!$A:$A,$B2,Data!$C:$C,N$1)=0,"",SUMIFS(Data!$U:$U,Data!$A:$A,$B2,Data!$C:$C,N$1))</f>
        <v>4.1897500000000001</v>
      </c>
      <c r="O2" s="31">
        <f>IF(SUMIFS(Data!$U:$U,Data!$A:$A,$B2,Data!$C:$C,O$1)=0,"",SUMIFS(Data!$U:$U,Data!$A:$A,$B2,Data!$C:$C,O$1))</f>
        <v>2.9681250000000001</v>
      </c>
      <c r="P2" s="31">
        <f>IF(SUMIFS(Data!$U:$U,Data!$A:$A,$B2,Data!$C:$C,P$1)=0,"",SUMIFS(Data!$U:$U,Data!$A:$A,$B2,Data!$C:$C,P$1))</f>
        <v>3.2712500000000002</v>
      </c>
      <c r="Q2" s="31">
        <f>IF(SUMIFS(Data!$U:$U,Data!$A:$A,$B2,Data!$C:$C,Q$1)=0,"",SUMIFS(Data!$U:$U,Data!$A:$A,$B2,Data!$C:$C,Q$1))</f>
        <v>2.4812500000000002</v>
      </c>
      <c r="R2" s="31">
        <f>VLOOKUP(B2,'#ligaSYR'!$B:$R,17,0)</f>
        <v>5</v>
      </c>
      <c r="S2" s="31">
        <f>SUM(C2:R2)</f>
        <v>64.211999999999989</v>
      </c>
      <c r="T2" s="31">
        <f>SUMIFS(Data!D:D,Data!A:A,B2)</f>
        <v>271.17</v>
      </c>
    </row>
    <row r="3" spans="1:22" ht="13" x14ac:dyDescent="0.3">
      <c r="A3" s="79">
        <v>2</v>
      </c>
      <c r="B3" s="30" t="s">
        <v>344</v>
      </c>
      <c r="C3" s="31">
        <f>IF(SUMIFS(Data!$U:$U,Data!$A:$A,$B3,Data!$C:$C,C$1)=0,"",SUMIFS(Data!$U:$U,Data!$A:$A,$B3,Data!$C:$C,C$1))</f>
        <v>1.87625</v>
      </c>
      <c r="D3" s="31">
        <f>IF(SUMIFS(Data!$U:$U,Data!$A:$A,$B3,Data!$C:$C,D$1)=0,"",SUMIFS(Data!$U:$U,Data!$A:$A,$B3,Data!$C:$C,D$1))</f>
        <v>1.67</v>
      </c>
      <c r="E3" s="31">
        <f>IF(SUMIFS(Data!$U:$U,Data!$A:$A,$B3,Data!$C:$C,E$1)=0,"",SUMIFS(Data!$U:$U,Data!$A:$A,$B3,Data!$C:$C,E$1))</f>
        <v>3.625</v>
      </c>
      <c r="F3" s="31">
        <f>IF(SUMIFS(Data!$U:$U,Data!$A:$A,$B3,Data!$C:$C,F$1)=0,"",SUMIFS(Data!$U:$U,Data!$A:$A,$B3,Data!$C:$C,F$1))</f>
        <v>3.9375</v>
      </c>
      <c r="G3" s="31">
        <f>IF(SUMIFS(Data!$U:$U,Data!$A:$A,$B3,Data!$C:$C,G$1)=0,"",SUMIFS(Data!$U:$U,Data!$A:$A,$B3,Data!$C:$C,G$1))</f>
        <v>2.7106249999999998</v>
      </c>
      <c r="H3" s="31">
        <f>IF(SUMIFS(Data!$U:$U,Data!$A:$A,$B3,Data!$C:$C,H$1)=0,"",SUMIFS(Data!$U:$U,Data!$A:$A,$B3,Data!$C:$C,H$1))</f>
        <v>3.6358333333333333</v>
      </c>
      <c r="I3" s="31">
        <f>IF(SUMIFS(Data!$U:$U,Data!$A:$A,$B3,Data!$C:$C,I$1)=0,"",SUMIFS(Data!$U:$U,Data!$A:$A,$B3,Data!$C:$C,I$1))</f>
        <v>3.9741666666666666</v>
      </c>
      <c r="J3" s="31">
        <f>IF(SUMIFS(Data!$U:$U,Data!$A:$A,$B3,Data!$C:$C,J$1)=0,"",SUMIFS(Data!$U:$U,Data!$A:$A,$B3,Data!$C:$C,J$1))</f>
        <v>3.6883333333333335</v>
      </c>
      <c r="K3" s="31">
        <f>IF(SUMIFS(Data!$U:$U,Data!$A:$A,$B3,Data!$C:$C,K$1)=0,"",SUMIFS(Data!$U:$U,Data!$A:$A,$B3,Data!$C:$C,K$1))</f>
        <v>3.9116666666666666</v>
      </c>
      <c r="L3" s="31">
        <f>IF(SUMIFS(Data!$U:$U,Data!$A:$A,$B3,Data!$C:$C,L$1)=0,"",SUMIFS(Data!$U:$U,Data!$A:$A,$B3,Data!$C:$C,L$1))</f>
        <v>3.4474999999999998</v>
      </c>
      <c r="M3" s="31">
        <f>IF(SUMIFS(Data!$U:$U,Data!$A:$A,$B3,Data!$C:$C,M$1)=0,"",SUMIFS(Data!$U:$U,Data!$A:$A,$B3,Data!$C:$C,M$1))</f>
        <v>3.6875</v>
      </c>
      <c r="N3" s="31">
        <f>IF(SUMIFS(Data!$U:$U,Data!$A:$A,$B3,Data!$C:$C,N$1)=0,"",SUMIFS(Data!$U:$U,Data!$A:$A,$B3,Data!$C:$C,N$1))</f>
        <v>3.6875</v>
      </c>
      <c r="O3" s="31">
        <f>IF(SUMIFS(Data!$U:$U,Data!$A:$A,$B3,Data!$C:$C,O$1)=0,"",SUMIFS(Data!$U:$U,Data!$A:$A,$B3,Data!$C:$C,O$1))</f>
        <v>4.0266666666666664</v>
      </c>
      <c r="P3" s="31">
        <f>IF(SUMIFS(Data!$U:$U,Data!$A:$A,$B3,Data!$C:$C,P$1)=0,"",SUMIFS(Data!$U:$U,Data!$A:$A,$B3,Data!$C:$C,P$1))</f>
        <v>3.2846666666666668</v>
      </c>
      <c r="Q3" s="31">
        <f>IF(SUMIFS(Data!$U:$U,Data!$A:$A,$B3,Data!$C:$C,Q$1)=0,"",SUMIFS(Data!$U:$U,Data!$A:$A,$B3,Data!$C:$C,Q$1))</f>
        <v>2.714375</v>
      </c>
      <c r="R3" s="31">
        <f>VLOOKUP(B3,'#ligaSYR'!$B:$R,17,0)</f>
        <v>5</v>
      </c>
      <c r="S3" s="31">
        <f>SUM(C3:R3)</f>
        <v>54.877583333333327</v>
      </c>
      <c r="T3" s="31">
        <f>SUMIFS(Data!D:D,Data!A:A,B3)</f>
        <v>251.24</v>
      </c>
    </row>
    <row r="4" spans="1:22" ht="13" x14ac:dyDescent="0.3">
      <c r="A4" s="79">
        <v>3</v>
      </c>
      <c r="B4" s="30" t="s">
        <v>132</v>
      </c>
      <c r="C4" s="31">
        <f>IF(SUMIFS(Data!$U:$U,Data!$A:$A,$B4,Data!$C:$C,C$1)=0,"",SUMIFS(Data!$U:$U,Data!$A:$A,$B4,Data!$C:$C,C$1))</f>
        <v>2.1875</v>
      </c>
      <c r="D4" s="31">
        <f>IF(SUMIFS(Data!$U:$U,Data!$A:$A,$B4,Data!$C:$C,D$1)=0,"",SUMIFS(Data!$U:$U,Data!$A:$A,$B4,Data!$C:$C,D$1))</f>
        <v>3.3726666666666669</v>
      </c>
      <c r="E4" s="31">
        <f>IF(SUMIFS(Data!$U:$U,Data!$A:$A,$B4,Data!$C:$C,E$1)=0,"",SUMIFS(Data!$U:$U,Data!$A:$A,$B4,Data!$C:$C,E$1))</f>
        <v>2.4375</v>
      </c>
      <c r="F4" s="31">
        <f>IF(SUMIFS(Data!$U:$U,Data!$A:$A,$B4,Data!$C:$C,F$1)=0,"",SUMIFS(Data!$U:$U,Data!$A:$A,$B4,Data!$C:$C,F$1))</f>
        <v>3.9305000000000003</v>
      </c>
      <c r="G4" s="31">
        <f>IF(SUMIFS(Data!$U:$U,Data!$A:$A,$B4,Data!$C:$C,G$1)=0,"",SUMIFS(Data!$U:$U,Data!$A:$A,$B4,Data!$C:$C,G$1))</f>
        <v>2.8554166666666667</v>
      </c>
      <c r="H4" s="31">
        <f>IF(SUMIFS(Data!$U:$U,Data!$A:$A,$B4,Data!$C:$C,H$1)=0,"",SUMIFS(Data!$U:$U,Data!$A:$A,$B4,Data!$C:$C,H$1))</f>
        <v>2.9456250000000002</v>
      </c>
      <c r="I4" s="31">
        <f>IF(SUMIFS(Data!$U:$U,Data!$A:$A,$B4,Data!$C:$C,I$1)=0,"",SUMIFS(Data!$U:$U,Data!$A:$A,$B4,Data!$C:$C,I$1))</f>
        <v>2.2537500000000001</v>
      </c>
      <c r="J4" s="31">
        <f>IF(SUMIFS(Data!$U:$U,Data!$A:$A,$B4,Data!$C:$C,J$1)=0,"",SUMIFS(Data!$U:$U,Data!$A:$A,$B4,Data!$C:$C,J$1))</f>
        <v>3.7925</v>
      </c>
      <c r="K4" s="31">
        <f>IF(SUMIFS(Data!$U:$U,Data!$A:$A,$B4,Data!$C:$C,K$1)=0,"",SUMIFS(Data!$U:$U,Data!$A:$A,$B4,Data!$C:$C,K$1))</f>
        <v>3.7438333333333333</v>
      </c>
      <c r="L4" s="31">
        <f>IF(SUMIFS(Data!$U:$U,Data!$A:$A,$B4,Data!$C:$C,L$1)=0,"",SUMIFS(Data!$U:$U,Data!$A:$A,$B4,Data!$C:$C,L$1))</f>
        <v>2.4787499999999998</v>
      </c>
      <c r="M4" s="31">
        <f>IF(SUMIFS(Data!$U:$U,Data!$A:$A,$B4,Data!$C:$C,M$1)=0,"",SUMIFS(Data!$U:$U,Data!$A:$A,$B4,Data!$C:$C,M$1))</f>
        <v>3.8125</v>
      </c>
      <c r="N4" s="31">
        <f>IF(SUMIFS(Data!$U:$U,Data!$A:$A,$B4,Data!$C:$C,N$1)=0,"",SUMIFS(Data!$U:$U,Data!$A:$A,$B4,Data!$C:$C,N$1))</f>
        <v>2.5018750000000001</v>
      </c>
      <c r="O4" s="31">
        <f>IF(SUMIFS(Data!$U:$U,Data!$A:$A,$B4,Data!$C:$C,O$1)=0,"",SUMIFS(Data!$U:$U,Data!$A:$A,$B4,Data!$C:$C,O$1))</f>
        <v>3.7311666666666667</v>
      </c>
      <c r="P4" s="31">
        <f>IF(SUMIFS(Data!$U:$U,Data!$A:$A,$B4,Data!$C:$C,P$1)=0,"",SUMIFS(Data!$U:$U,Data!$A:$A,$B4,Data!$C:$C,P$1))</f>
        <v>2.1924999999999999</v>
      </c>
      <c r="Q4" s="31">
        <f>IF(SUMIFS(Data!$U:$U,Data!$A:$A,$B4,Data!$C:$C,Q$1)=0,"",SUMIFS(Data!$U:$U,Data!$A:$A,$B4,Data!$C:$C,Q$1))</f>
        <v>2.0012499999999998</v>
      </c>
      <c r="R4" s="31">
        <f>VLOOKUP(B4,'#ligaSYR'!$B:$R,17,0)</f>
        <v>5</v>
      </c>
      <c r="S4" s="31">
        <f>SUM(C4:R4)</f>
        <v>49.237333333333339</v>
      </c>
      <c r="T4" s="31">
        <f>SUMIFS(Data!D:D,Data!A:A,B4)</f>
        <v>192.05</v>
      </c>
      <c r="V4" s="102"/>
    </row>
    <row r="5" spans="1:22" ht="13" x14ac:dyDescent="0.3">
      <c r="A5" s="79">
        <v>4</v>
      </c>
      <c r="B5" s="30" t="s">
        <v>331</v>
      </c>
      <c r="C5" s="31">
        <f>IF(SUMIFS(Data!$U:$U,Data!$A:$A,$B5,Data!$C:$C,C$1)=0,"",SUMIFS(Data!$U:$U,Data!$A:$A,$B5,Data!$C:$C,C$1))</f>
        <v>2.1256249999999999</v>
      </c>
      <c r="D5" s="31">
        <f>IF(SUMIFS(Data!$U:$U,Data!$A:$A,$B5,Data!$C:$C,D$1)=0,"",SUMIFS(Data!$U:$U,Data!$A:$A,$B5,Data!$C:$C,D$1))</f>
        <v>3.1887500000000002</v>
      </c>
      <c r="E5" s="31">
        <f>IF(SUMIFS(Data!$U:$U,Data!$A:$A,$B5,Data!$C:$C,E$1)=0,"",SUMIFS(Data!$U:$U,Data!$A:$A,$B5,Data!$C:$C,E$1))</f>
        <v>2.9837500000000001</v>
      </c>
      <c r="F5" s="31">
        <f>IF(SUMIFS(Data!$U:$U,Data!$A:$A,$B5,Data!$C:$C,F$1)=0,"",SUMIFS(Data!$U:$U,Data!$A:$A,$B5,Data!$C:$C,F$1))</f>
        <v>3.6871666666666667</v>
      </c>
      <c r="G5" s="31">
        <f>IF(SUMIFS(Data!$U:$U,Data!$A:$A,$B5,Data!$C:$C,G$1)=0,"",SUMIFS(Data!$U:$U,Data!$A:$A,$B5,Data!$C:$C,G$1))</f>
        <v>2.7825000000000002</v>
      </c>
      <c r="H5" s="31">
        <f>IF(SUMIFS(Data!$U:$U,Data!$A:$A,$B5,Data!$C:$C,H$1)=0,"",SUMIFS(Data!$U:$U,Data!$A:$A,$B5,Data!$C:$C,H$1))</f>
        <v>2.660625</v>
      </c>
      <c r="I5" s="31">
        <f>IF(SUMIFS(Data!$U:$U,Data!$A:$A,$B5,Data!$C:$C,I$1)=0,"",SUMIFS(Data!$U:$U,Data!$A:$A,$B5,Data!$C:$C,I$1))</f>
        <v>2.5125000000000002</v>
      </c>
      <c r="J5" s="31">
        <f>IF(SUMIFS(Data!$U:$U,Data!$A:$A,$B5,Data!$C:$C,J$1)=0,"",SUMIFS(Data!$U:$U,Data!$A:$A,$B5,Data!$C:$C,J$1))</f>
        <v>3.3669166666666666</v>
      </c>
      <c r="K5" s="31">
        <f>IF(SUMIFS(Data!$U:$U,Data!$A:$A,$B5,Data!$C:$C,K$1)=0,"",SUMIFS(Data!$U:$U,Data!$A:$A,$B5,Data!$C:$C,K$1))</f>
        <v>2.4387499999999998</v>
      </c>
      <c r="L5" s="31">
        <f>IF(SUMIFS(Data!$U:$U,Data!$A:$A,$B5,Data!$C:$C,L$1)=0,"",SUMIFS(Data!$U:$U,Data!$A:$A,$B5,Data!$C:$C,L$1))</f>
        <v>2.598125</v>
      </c>
      <c r="M5" s="31">
        <f>IF(SUMIFS(Data!$U:$U,Data!$A:$A,$B5,Data!$C:$C,M$1)=0,"",SUMIFS(Data!$U:$U,Data!$A:$A,$B5,Data!$C:$C,M$1))</f>
        <v>2.8912499999999999</v>
      </c>
      <c r="N5" s="31">
        <f>IF(SUMIFS(Data!$U:$U,Data!$A:$A,$B5,Data!$C:$C,N$1)=0,"",SUMIFS(Data!$U:$U,Data!$A:$A,$B5,Data!$C:$C,N$1))</f>
        <v>2.9934583333333333</v>
      </c>
      <c r="O5" s="31">
        <f>IF(SUMIFS(Data!$U:$U,Data!$A:$A,$B5,Data!$C:$C,O$1)=0,"",SUMIFS(Data!$U:$U,Data!$A:$A,$B5,Data!$C:$C,O$1))</f>
        <v>3.9188333333333332</v>
      </c>
      <c r="P5" s="31">
        <f>IF(SUMIFS(Data!$U:$U,Data!$A:$A,$B5,Data!$C:$C,P$1)=0,"",SUMIFS(Data!$U:$U,Data!$A:$A,$B5,Data!$C:$C,P$1))</f>
        <v>3.15625</v>
      </c>
      <c r="Q5" s="31">
        <f>IF(SUMIFS(Data!$U:$U,Data!$A:$A,$B5,Data!$C:$C,Q$1)=0,"",SUMIFS(Data!$U:$U,Data!$A:$A,$B5,Data!$C:$C,Q$1))</f>
        <v>2.5643750000000001</v>
      </c>
      <c r="R5" s="31">
        <f>VLOOKUP(B5,'#ligaSYR'!$B:$R,17,0)</f>
        <v>5</v>
      </c>
      <c r="S5" s="31">
        <f>SUM(C5:R5)</f>
        <v>48.868874999999996</v>
      </c>
      <c r="T5" s="31">
        <f>SUMIFS(Data!D:D,Data!A:A,B5)</f>
        <v>164.8</v>
      </c>
      <c r="U5" s="37"/>
    </row>
    <row r="6" spans="1:22" ht="13" x14ac:dyDescent="0.3">
      <c r="A6" s="79">
        <v>5</v>
      </c>
      <c r="B6" s="30" t="s">
        <v>347</v>
      </c>
      <c r="C6" s="31">
        <f>IF(SUMIFS(Data!$U:$U,Data!$A:$A,$B6,Data!$C:$C,C$1)=0,"",SUMIFS(Data!$U:$U,Data!$A:$A,$B6,Data!$C:$C,C$1))</f>
        <v>2.6043750000000001</v>
      </c>
      <c r="D6" s="31">
        <f>IF(SUMIFS(Data!$U:$U,Data!$A:$A,$B6,Data!$C:$C,D$1)=0,"",SUMIFS(Data!$U:$U,Data!$A:$A,$B6,Data!$C:$C,D$1))</f>
        <v>2.5525000000000002</v>
      </c>
      <c r="E6" s="31">
        <f>IF(SUMIFS(Data!$U:$U,Data!$A:$A,$B6,Data!$C:$C,E$1)=0,"",SUMIFS(Data!$U:$U,Data!$A:$A,$B6,Data!$C:$C,E$1))</f>
        <v>2.4450416666666666</v>
      </c>
      <c r="F6" s="31">
        <f>IF(SUMIFS(Data!$U:$U,Data!$A:$A,$B6,Data!$C:$C,F$1)=0,"",SUMIFS(Data!$U:$U,Data!$A:$A,$B6,Data!$C:$C,F$1))</f>
        <v>2.9660000000000002</v>
      </c>
      <c r="G6" s="31">
        <f>IF(SUMIFS(Data!$U:$U,Data!$A:$A,$B6,Data!$C:$C,G$1)=0,"",SUMIFS(Data!$U:$U,Data!$A:$A,$B6,Data!$C:$C,G$1))</f>
        <v>2.475625</v>
      </c>
      <c r="H6" s="31">
        <f>IF(SUMIFS(Data!$U:$U,Data!$A:$A,$B6,Data!$C:$C,H$1)=0,"",SUMIFS(Data!$U:$U,Data!$A:$A,$B6,Data!$C:$C,H$1))</f>
        <v>2.9746666666666663</v>
      </c>
      <c r="I6" s="31">
        <f>IF(SUMIFS(Data!$U:$U,Data!$A:$A,$B6,Data!$C:$C,I$1)=0,"",SUMIFS(Data!$U:$U,Data!$A:$A,$B6,Data!$C:$C,I$1))</f>
        <v>3.6978333333333335</v>
      </c>
      <c r="J6" s="31">
        <f>IF(SUMIFS(Data!$U:$U,Data!$A:$A,$B6,Data!$C:$C,J$1)=0,"",SUMIFS(Data!$U:$U,Data!$A:$A,$B6,Data!$C:$C,J$1))</f>
        <v>2.94</v>
      </c>
      <c r="K6" s="31">
        <f>IF(SUMIFS(Data!$U:$U,Data!$A:$A,$B6,Data!$C:$C,K$1)=0,"",SUMIFS(Data!$U:$U,Data!$A:$A,$B6,Data!$C:$C,K$1))</f>
        <v>2.6536666666666666</v>
      </c>
      <c r="L6" s="31">
        <f>IF(SUMIFS(Data!$U:$U,Data!$A:$A,$B6,Data!$C:$C,L$1)=0,"",SUMIFS(Data!$U:$U,Data!$A:$A,$B6,Data!$C:$C,L$1))</f>
        <v>2.913125</v>
      </c>
      <c r="M6" s="31">
        <f>IF(SUMIFS(Data!$U:$U,Data!$A:$A,$B6,Data!$C:$C,M$1)=0,"",SUMIFS(Data!$U:$U,Data!$A:$A,$B6,Data!$C:$C,M$1))</f>
        <v>2.9424999999999999</v>
      </c>
      <c r="N6" s="31">
        <f>IF(SUMIFS(Data!$U:$U,Data!$A:$A,$B6,Data!$C:$C,N$1)=0,"",SUMIFS(Data!$U:$U,Data!$A:$A,$B6,Data!$C:$C,N$1))</f>
        <v>3.2531249999999998</v>
      </c>
      <c r="O6" s="31">
        <f>IF(SUMIFS(Data!$U:$U,Data!$A:$A,$B6,Data!$C:$C,O$1)=0,"",SUMIFS(Data!$U:$U,Data!$A:$A,$B6,Data!$C:$C,O$1))</f>
        <v>3.3774999999999999</v>
      </c>
      <c r="P6" s="31">
        <f>IF(SUMIFS(Data!$U:$U,Data!$A:$A,$B6,Data!$C:$C,P$1)=0,"",SUMIFS(Data!$U:$U,Data!$A:$A,$B6,Data!$C:$C,P$1))</f>
        <v>2.9206249999999998</v>
      </c>
      <c r="Q6" s="31">
        <f>IF(SUMIFS(Data!$U:$U,Data!$A:$A,$B6,Data!$C:$C,Q$1)=0,"",SUMIFS(Data!$U:$U,Data!$A:$A,$B6,Data!$C:$C,Q$1))</f>
        <v>2.5816249999999998</v>
      </c>
      <c r="R6" s="31">
        <f>VLOOKUP(B6,'#ligaSYR'!$B:$R,17,0)</f>
        <v>5</v>
      </c>
      <c r="S6" s="31">
        <f>SUM(C6:R6)</f>
        <v>48.298208333333335</v>
      </c>
      <c r="T6" s="31">
        <f>SUMIFS(Data!D:D,Data!A:A,B6)</f>
        <v>165.60999999999999</v>
      </c>
    </row>
    <row r="7" spans="1:22" ht="13" x14ac:dyDescent="0.3">
      <c r="A7" s="79">
        <v>6</v>
      </c>
      <c r="B7" s="30" t="s">
        <v>378</v>
      </c>
      <c r="C7" s="31">
        <f>IF(SUMIFS(Data!$U:$U,Data!$A:$A,$B7,Data!$C:$C,C$1)=0,"",SUMIFS(Data!$U:$U,Data!$A:$A,$B7,Data!$C:$C,C$1))</f>
        <v>2.2719166666666664</v>
      </c>
      <c r="D7" s="31">
        <f>IF(SUMIFS(Data!$U:$U,Data!$A:$A,$B7,Data!$C:$C,D$1)=0,"",SUMIFS(Data!$U:$U,Data!$A:$A,$B7,Data!$C:$C,D$1))</f>
        <v>2.5006249999999999</v>
      </c>
      <c r="E7" s="31">
        <f>IF(SUMIFS(Data!$U:$U,Data!$A:$A,$B7,Data!$C:$C,E$1)=0,"",SUMIFS(Data!$U:$U,Data!$A:$A,$B7,Data!$C:$C,E$1))</f>
        <v>1.5</v>
      </c>
      <c r="F7" s="31" t="str">
        <f>IF(SUMIFS(Data!$U:$U,Data!$A:$A,$B7,Data!$C:$C,F$1)=0,"",SUMIFS(Data!$U:$U,Data!$A:$A,$B7,Data!$C:$C,F$1))</f>
        <v/>
      </c>
      <c r="G7" s="31">
        <f>IF(SUMIFS(Data!$U:$U,Data!$A:$A,$B7,Data!$C:$C,G$1)=0,"",SUMIFS(Data!$U:$U,Data!$A:$A,$B7,Data!$C:$C,G$1))</f>
        <v>2.9412500000000001</v>
      </c>
      <c r="H7" s="31">
        <f>IF(SUMIFS(Data!$U:$U,Data!$A:$A,$B7,Data!$C:$C,H$1)=0,"",SUMIFS(Data!$U:$U,Data!$A:$A,$B7,Data!$C:$C,H$1))</f>
        <v>2.4708333333333332</v>
      </c>
      <c r="I7" s="31">
        <f>IF(SUMIFS(Data!$U:$U,Data!$A:$A,$B7,Data!$C:$C,I$1)=0,"",SUMIFS(Data!$U:$U,Data!$A:$A,$B7,Data!$C:$C,I$1))</f>
        <v>3.1317499999999998</v>
      </c>
      <c r="J7" s="31">
        <f>IF(SUMIFS(Data!$U:$U,Data!$A:$A,$B7,Data!$C:$C,J$1)=0,"",SUMIFS(Data!$U:$U,Data!$A:$A,$B7,Data!$C:$C,J$1))</f>
        <v>3.3162500000000001</v>
      </c>
      <c r="K7" s="31">
        <f>IF(SUMIFS(Data!$U:$U,Data!$A:$A,$B7,Data!$C:$C,K$1)=0,"",SUMIFS(Data!$U:$U,Data!$A:$A,$B7,Data!$C:$C,K$1))</f>
        <v>2.9922499999999999</v>
      </c>
      <c r="L7" s="31">
        <f>IF(SUMIFS(Data!$U:$U,Data!$A:$A,$B7,Data!$C:$C,L$1)=0,"",SUMIFS(Data!$U:$U,Data!$A:$A,$B7,Data!$C:$C,L$1))</f>
        <v>3.5674999999999999</v>
      </c>
      <c r="M7" s="31">
        <f>IF(SUMIFS(Data!$U:$U,Data!$A:$A,$B7,Data!$C:$C,M$1)=0,"",SUMIFS(Data!$U:$U,Data!$A:$A,$B7,Data!$C:$C,M$1))</f>
        <v>4.55</v>
      </c>
      <c r="N7" s="31">
        <f>IF(SUMIFS(Data!$U:$U,Data!$A:$A,$B7,Data!$C:$C,N$1)=0,"",SUMIFS(Data!$U:$U,Data!$A:$A,$B7,Data!$C:$C,N$1))</f>
        <v>3.4229583333333338</v>
      </c>
      <c r="O7" s="31">
        <f>IF(SUMIFS(Data!$U:$U,Data!$A:$A,$B7,Data!$C:$C,O$1)=0,"",SUMIFS(Data!$U:$U,Data!$A:$A,$B7,Data!$C:$C,O$1))</f>
        <v>3.8658333333333332</v>
      </c>
      <c r="P7" s="31">
        <f>IF(SUMIFS(Data!$U:$U,Data!$A:$A,$B7,Data!$C:$C,P$1)=0,"",SUMIFS(Data!$U:$U,Data!$A:$A,$B7,Data!$C:$C,P$1))</f>
        <v>3.6256249999999999</v>
      </c>
      <c r="Q7" s="31">
        <f>IF(SUMIFS(Data!$U:$U,Data!$A:$A,$B7,Data!$C:$C,Q$1)=0,"",SUMIFS(Data!$U:$U,Data!$A:$A,$B7,Data!$C:$C,Q$1))</f>
        <v>3.1262499999999998</v>
      </c>
      <c r="R7" s="31">
        <f>VLOOKUP(B7,'#ligaSYR'!$B:$R,17,0)</f>
        <v>4</v>
      </c>
      <c r="S7" s="31">
        <f>SUM(C7:R7)</f>
        <v>47.283041666666662</v>
      </c>
      <c r="T7" s="31">
        <f>SUMIFS(Data!D:D,Data!A:A,B7)</f>
        <v>153.13</v>
      </c>
    </row>
    <row r="8" spans="1:22" ht="13" x14ac:dyDescent="0.3">
      <c r="A8" s="79">
        <v>7</v>
      </c>
      <c r="B8" s="30" t="s">
        <v>351</v>
      </c>
      <c r="C8" s="31">
        <f>IF(SUMIFS(Data!$U:$U,Data!$A:$A,$B8,Data!$C:$C,C$1)=0,"",SUMIFS(Data!$U:$U,Data!$A:$A,$B8,Data!$C:$C,C$1))</f>
        <v>2.6887499999999998</v>
      </c>
      <c r="D8" s="31" t="str">
        <f>IF(SUMIFS(Data!$U:$U,Data!$A:$A,$B8,Data!$C:$C,D$1)=0,"",SUMIFS(Data!$U:$U,Data!$A:$A,$B8,Data!$C:$C,D$1))</f>
        <v/>
      </c>
      <c r="E8" s="31">
        <f>IF(SUMIFS(Data!$U:$U,Data!$A:$A,$B8,Data!$C:$C,E$1)=0,"",SUMIFS(Data!$U:$U,Data!$A:$A,$B8,Data!$C:$C,E$1))</f>
        <v>2.9849999999999999</v>
      </c>
      <c r="F8" s="31">
        <f>IF(SUMIFS(Data!$U:$U,Data!$A:$A,$B8,Data!$C:$C,F$1)=0,"",SUMIFS(Data!$U:$U,Data!$A:$A,$B8,Data!$C:$C,F$1))</f>
        <v>3.375</v>
      </c>
      <c r="G8" s="31">
        <f>IF(SUMIFS(Data!$U:$U,Data!$A:$A,$B8,Data!$C:$C,G$1)=0,"",SUMIFS(Data!$U:$U,Data!$A:$A,$B8,Data!$C:$C,G$1))</f>
        <v>3.2512500000000002</v>
      </c>
      <c r="H8" s="31">
        <f>IF(SUMIFS(Data!$U:$U,Data!$A:$A,$B8,Data!$C:$C,H$1)=0,"",SUMIFS(Data!$U:$U,Data!$A:$A,$B8,Data!$C:$C,H$1))</f>
        <v>3.0637499999999998</v>
      </c>
      <c r="I8" s="31">
        <f>IF(SUMIFS(Data!$U:$U,Data!$A:$A,$B8,Data!$C:$C,I$1)=0,"",SUMIFS(Data!$U:$U,Data!$A:$A,$B8,Data!$C:$C,I$1))</f>
        <v>3.1875</v>
      </c>
      <c r="J8" s="31">
        <f>IF(SUMIFS(Data!$U:$U,Data!$A:$A,$B8,Data!$C:$C,J$1)=0,"",SUMIFS(Data!$U:$U,Data!$A:$A,$B8,Data!$C:$C,J$1))</f>
        <v>2.6437499999999998</v>
      </c>
      <c r="K8" s="31">
        <f>IF(SUMIFS(Data!$U:$U,Data!$A:$A,$B8,Data!$C:$C,K$1)=0,"",SUMIFS(Data!$U:$U,Data!$A:$A,$B8,Data!$C:$C,K$1))</f>
        <v>2.8756249999999999</v>
      </c>
      <c r="L8" s="31">
        <f>IF(SUMIFS(Data!$U:$U,Data!$A:$A,$B8,Data!$C:$C,L$1)=0,"",SUMIFS(Data!$U:$U,Data!$A:$A,$B8,Data!$C:$C,L$1))</f>
        <v>3.6583333333333332</v>
      </c>
      <c r="M8" s="31">
        <f>IF(SUMIFS(Data!$U:$U,Data!$A:$A,$B8,Data!$C:$C,M$1)=0,"",SUMIFS(Data!$U:$U,Data!$A:$A,$B8,Data!$C:$C,M$1))</f>
        <v>3.75</v>
      </c>
      <c r="N8" s="31">
        <f>IF(SUMIFS(Data!$U:$U,Data!$A:$A,$B8,Data!$C:$C,N$1)=0,"",SUMIFS(Data!$U:$U,Data!$A:$A,$B8,Data!$C:$C,N$1))</f>
        <v>2.0631249999999999</v>
      </c>
      <c r="O8" s="31">
        <f>IF(SUMIFS(Data!$U:$U,Data!$A:$A,$B8,Data!$C:$C,O$1)=0,"",SUMIFS(Data!$U:$U,Data!$A:$A,$B8,Data!$C:$C,O$1))</f>
        <v>3.26</v>
      </c>
      <c r="P8" s="31">
        <f>IF(SUMIFS(Data!$U:$U,Data!$A:$A,$B8,Data!$C:$C,P$1)=0,"",SUMIFS(Data!$U:$U,Data!$A:$A,$B8,Data!$C:$C,P$1))</f>
        <v>2.2255000000000003</v>
      </c>
      <c r="Q8" s="31">
        <f>IF(SUMIFS(Data!$U:$U,Data!$A:$A,$B8,Data!$C:$C,Q$1)=0,"",SUMIFS(Data!$U:$U,Data!$A:$A,$B8,Data!$C:$C,Q$1))</f>
        <v>2.5056250000000002</v>
      </c>
      <c r="R8" s="31">
        <f>VLOOKUP(B8,'#ligaSYR'!$B:$R,17,0)</f>
        <v>5</v>
      </c>
      <c r="S8" s="31">
        <f>SUM(C8:R8)</f>
        <v>46.533208333333327</v>
      </c>
      <c r="T8" s="31">
        <f>SUMIFS(Data!D:D,Data!A:A,B8)</f>
        <v>198.39000000000001</v>
      </c>
    </row>
    <row r="9" spans="1:22" ht="13" x14ac:dyDescent="0.3">
      <c r="A9" s="79">
        <v>8</v>
      </c>
      <c r="B9" s="30" t="s">
        <v>387</v>
      </c>
      <c r="C9" s="31" t="str">
        <f>IF(SUMIFS(Data!$U:$U,Data!$A:$A,$B9,Data!$C:$C,C$1)=0,"",SUMIFS(Data!$U:$U,Data!$A:$A,$B9,Data!$C:$C,C$1))</f>
        <v/>
      </c>
      <c r="D9" s="31" t="str">
        <f>IF(SUMIFS(Data!$U:$U,Data!$A:$A,$B9,Data!$C:$C,D$1)=0,"",SUMIFS(Data!$U:$U,Data!$A:$A,$B9,Data!$C:$C,D$1))</f>
        <v/>
      </c>
      <c r="E9" s="31">
        <f>IF(SUMIFS(Data!$U:$U,Data!$A:$A,$B9,Data!$C:$C,E$1)=0,"",SUMIFS(Data!$U:$U,Data!$A:$A,$B9,Data!$C:$C,E$1))</f>
        <v>3.50725</v>
      </c>
      <c r="F9" s="31">
        <f>IF(SUMIFS(Data!$U:$U,Data!$A:$A,$B9,Data!$C:$C,F$1)=0,"",SUMIFS(Data!$U:$U,Data!$A:$A,$B9,Data!$C:$C,F$1))</f>
        <v>2.4693749999999999</v>
      </c>
      <c r="G9" s="31">
        <f>IF(SUMIFS(Data!$U:$U,Data!$A:$A,$B9,Data!$C:$C,G$1)=0,"",SUMIFS(Data!$U:$U,Data!$A:$A,$B9,Data!$C:$C,G$1))</f>
        <v>2.6256249999999999</v>
      </c>
      <c r="H9" s="31">
        <f>IF(SUMIFS(Data!$U:$U,Data!$A:$A,$B9,Data!$C:$C,H$1)=0,"",SUMIFS(Data!$U:$U,Data!$A:$A,$B9,Data!$C:$C,H$1))</f>
        <v>3.3131249999999999</v>
      </c>
      <c r="I9" s="31">
        <f>IF(SUMIFS(Data!$U:$U,Data!$A:$A,$B9,Data!$C:$C,I$1)=0,"",SUMIFS(Data!$U:$U,Data!$A:$A,$B9,Data!$C:$C,I$1))</f>
        <v>3.7294999999999998</v>
      </c>
      <c r="J9" s="31">
        <f>IF(SUMIFS(Data!$U:$U,Data!$A:$A,$B9,Data!$C:$C,J$1)=0,"",SUMIFS(Data!$U:$U,Data!$A:$A,$B9,Data!$C:$C,J$1))</f>
        <v>2.4381249999999999</v>
      </c>
      <c r="K9" s="31">
        <f>IF(SUMIFS(Data!$U:$U,Data!$A:$A,$B9,Data!$C:$C,K$1)=0,"",SUMIFS(Data!$U:$U,Data!$A:$A,$B9,Data!$C:$C,K$1))</f>
        <v>3.25</v>
      </c>
      <c r="L9" s="31">
        <f>IF(SUMIFS(Data!$U:$U,Data!$A:$A,$B9,Data!$C:$C,L$1)=0,"",SUMIFS(Data!$U:$U,Data!$A:$A,$B9,Data!$C:$C,L$1))</f>
        <v>3.4375</v>
      </c>
      <c r="M9" s="31">
        <f>IF(SUMIFS(Data!$U:$U,Data!$A:$A,$B9,Data!$C:$C,M$1)=0,"",SUMIFS(Data!$U:$U,Data!$A:$A,$B9,Data!$C:$C,M$1))</f>
        <v>2.961875</v>
      </c>
      <c r="N9" s="31">
        <f>IF(SUMIFS(Data!$U:$U,Data!$A:$A,$B9,Data!$C:$C,N$1)=0,"",SUMIFS(Data!$U:$U,Data!$A:$A,$B9,Data!$C:$C,N$1))</f>
        <v>3.2506250000000003</v>
      </c>
      <c r="O9" s="31">
        <f>IF(SUMIFS(Data!$U:$U,Data!$A:$A,$B9,Data!$C:$C,O$1)=0,"",SUMIFS(Data!$U:$U,Data!$A:$A,$B9,Data!$C:$C,O$1))</f>
        <v>3.8125</v>
      </c>
      <c r="P9" s="31">
        <f>IF(SUMIFS(Data!$U:$U,Data!$A:$A,$B9,Data!$C:$C,P$1)=0,"",SUMIFS(Data!$U:$U,Data!$A:$A,$B9,Data!$C:$C,P$1))</f>
        <v>2.125</v>
      </c>
      <c r="Q9" s="31">
        <f>IF(SUMIFS(Data!$U:$U,Data!$A:$A,$B9,Data!$C:$C,Q$1)=0,"",SUMIFS(Data!$U:$U,Data!$A:$A,$B9,Data!$C:$C,Q$1))</f>
        <v>2.5637499999999998</v>
      </c>
      <c r="R9" s="31">
        <f>VLOOKUP(B9,'#ligaSYR'!$B:$R,17,0)</f>
        <v>4</v>
      </c>
      <c r="S9" s="31">
        <f>SUM(C9:R9)</f>
        <v>43.484249999999996</v>
      </c>
      <c r="T9" s="31">
        <f>SUMIFS(Data!D:D,Data!A:A,B9)</f>
        <v>175</v>
      </c>
    </row>
    <row r="10" spans="1:22" ht="13" x14ac:dyDescent="0.3">
      <c r="A10" s="79">
        <v>9</v>
      </c>
      <c r="B10" s="30" t="s">
        <v>345</v>
      </c>
      <c r="C10" s="31">
        <f>IF(SUMIFS(Data!$U:$U,Data!$A:$A,$B10,Data!$C:$C,C$1)=0,"",SUMIFS(Data!$U:$U,Data!$A:$A,$B10,Data!$C:$C,C$1))</f>
        <v>1.9381249999999999</v>
      </c>
      <c r="D10" s="31">
        <f>IF(SUMIFS(Data!$U:$U,Data!$A:$A,$B10,Data!$C:$C,D$1)=0,"",SUMIFS(Data!$U:$U,Data!$A:$A,$B10,Data!$C:$C,D$1))</f>
        <v>2.292583333333333</v>
      </c>
      <c r="E10" s="31">
        <f>IF(SUMIFS(Data!$U:$U,Data!$A:$A,$B10,Data!$C:$C,E$1)=0,"",SUMIFS(Data!$U:$U,Data!$A:$A,$B10,Data!$C:$C,E$1))</f>
        <v>3.046875</v>
      </c>
      <c r="F10" s="31">
        <f>IF(SUMIFS(Data!$U:$U,Data!$A:$A,$B10,Data!$C:$C,F$1)=0,"",SUMIFS(Data!$U:$U,Data!$A:$A,$B10,Data!$C:$C,F$1))</f>
        <v>1.8787500000000001</v>
      </c>
      <c r="G10" s="31">
        <f>IF(SUMIFS(Data!$U:$U,Data!$A:$A,$B10,Data!$C:$C,G$1)=0,"",SUMIFS(Data!$U:$U,Data!$A:$A,$B10,Data!$C:$C,G$1))</f>
        <v>2.3142499999999999</v>
      </c>
      <c r="H10" s="31">
        <f>IF(SUMIFS(Data!$U:$U,Data!$A:$A,$B10,Data!$C:$C,H$1)=0,"",SUMIFS(Data!$U:$U,Data!$A:$A,$B10,Data!$C:$C,H$1))</f>
        <v>2.6256249999999999</v>
      </c>
      <c r="I10" s="31">
        <f>IF(SUMIFS(Data!$U:$U,Data!$A:$A,$B10,Data!$C:$C,I$1)=0,"",SUMIFS(Data!$U:$U,Data!$A:$A,$B10,Data!$C:$C,I$1))</f>
        <v>2.375</v>
      </c>
      <c r="J10" s="31">
        <f>IF(SUMIFS(Data!$U:$U,Data!$A:$A,$B10,Data!$C:$C,J$1)=0,"",SUMIFS(Data!$U:$U,Data!$A:$A,$B10,Data!$C:$C,J$1))</f>
        <v>2.9381249999999999</v>
      </c>
      <c r="K10" s="31">
        <f>IF(SUMIFS(Data!$U:$U,Data!$A:$A,$B10,Data!$C:$C,K$1)=0,"",SUMIFS(Data!$U:$U,Data!$A:$A,$B10,Data!$C:$C,K$1))</f>
        <v>3.3</v>
      </c>
      <c r="L10" s="31">
        <f>IF(SUMIFS(Data!$U:$U,Data!$A:$A,$B10,Data!$C:$C,L$1)=0,"",SUMIFS(Data!$U:$U,Data!$A:$A,$B10,Data!$C:$C,L$1))</f>
        <v>1.5</v>
      </c>
      <c r="M10" s="31">
        <f>IF(SUMIFS(Data!$U:$U,Data!$A:$A,$B10,Data!$C:$C,M$1)=0,"",SUMIFS(Data!$U:$U,Data!$A:$A,$B10,Data!$C:$C,M$1))</f>
        <v>2.4169999999999998</v>
      </c>
      <c r="N10" s="31">
        <f>IF(SUMIFS(Data!$U:$U,Data!$A:$A,$B10,Data!$C:$C,N$1)=0,"",SUMIFS(Data!$U:$U,Data!$A:$A,$B10,Data!$C:$C,N$1))</f>
        <v>2.7506249999999999</v>
      </c>
      <c r="O10" s="31">
        <f>IF(SUMIFS(Data!$U:$U,Data!$A:$A,$B10,Data!$C:$C,O$1)=0,"",SUMIFS(Data!$U:$U,Data!$A:$A,$B10,Data!$C:$C,O$1))</f>
        <v>2.9935</v>
      </c>
      <c r="P10" s="31">
        <f>IF(SUMIFS(Data!$U:$U,Data!$A:$A,$B10,Data!$C:$C,P$1)=0,"",SUMIFS(Data!$U:$U,Data!$A:$A,$B10,Data!$C:$C,P$1))</f>
        <v>2.0649999999999999</v>
      </c>
      <c r="Q10" s="31">
        <f>IF(SUMIFS(Data!$U:$U,Data!$A:$A,$B10,Data!$C:$C,Q$1)=0,"",SUMIFS(Data!$U:$U,Data!$A:$A,$B10,Data!$C:$C,Q$1))</f>
        <v>2.5041666666666669</v>
      </c>
      <c r="R10" s="31">
        <f>VLOOKUP(B10,'#ligaSYR'!$B:$R,17,0)</f>
        <v>5</v>
      </c>
      <c r="S10" s="31">
        <f>SUM(C10:R10)</f>
        <v>41.939624999999992</v>
      </c>
      <c r="T10" s="31">
        <f>SUMIFS(Data!D:D,Data!A:A,B10)</f>
        <v>145.96</v>
      </c>
    </row>
    <row r="11" spans="1:22" ht="13" x14ac:dyDescent="0.3">
      <c r="A11" s="79">
        <v>10</v>
      </c>
      <c r="B11" s="30" t="s">
        <v>116</v>
      </c>
      <c r="C11" s="31">
        <f>IF(SUMIFS(Data!$U:$U,Data!$A:$A,$B11,Data!$C:$C,C$1)=0,"",SUMIFS(Data!$U:$U,Data!$A:$A,$B11,Data!$C:$C,C$1))</f>
        <v>2.1875</v>
      </c>
      <c r="D11" s="31">
        <f>IF(SUMIFS(Data!$U:$U,Data!$A:$A,$B11,Data!$C:$C,D$1)=0,"",SUMIFS(Data!$U:$U,Data!$A:$A,$B11,Data!$C:$C,D$1))</f>
        <v>3.1176666666666666</v>
      </c>
      <c r="E11" s="31">
        <f>IF(SUMIFS(Data!$U:$U,Data!$A:$A,$B11,Data!$C:$C,E$1)=0,"",SUMIFS(Data!$U:$U,Data!$A:$A,$B11,Data!$C:$C,E$1))</f>
        <v>3.2389583333333332</v>
      </c>
      <c r="F11" s="31">
        <f>IF(SUMIFS(Data!$U:$U,Data!$A:$A,$B11,Data!$C:$C,F$1)=0,"",SUMIFS(Data!$U:$U,Data!$A:$A,$B11,Data!$C:$C,F$1))</f>
        <v>1.5</v>
      </c>
      <c r="G11" s="31">
        <f>IF(SUMIFS(Data!$U:$U,Data!$A:$A,$B11,Data!$C:$C,G$1)=0,"",SUMIFS(Data!$U:$U,Data!$A:$A,$B11,Data!$C:$C,G$1))</f>
        <v>3.1893750000000001</v>
      </c>
      <c r="H11" s="31">
        <f>IF(SUMIFS(Data!$U:$U,Data!$A:$A,$B11,Data!$C:$C,H$1)=0,"",SUMIFS(Data!$U:$U,Data!$A:$A,$B11,Data!$C:$C,H$1))</f>
        <v>2.7919999999999998</v>
      </c>
      <c r="I11" s="31">
        <f>IF(SUMIFS(Data!$U:$U,Data!$A:$A,$B11,Data!$C:$C,I$1)=0,"",SUMIFS(Data!$U:$U,Data!$A:$A,$B11,Data!$C:$C,I$1))</f>
        <v>2.1875</v>
      </c>
      <c r="J11" s="31">
        <f>IF(SUMIFS(Data!$U:$U,Data!$A:$A,$B11,Data!$C:$C,J$1)=0,"",SUMIFS(Data!$U:$U,Data!$A:$A,$B11,Data!$C:$C,J$1))</f>
        <v>3.19</v>
      </c>
      <c r="K11" s="31">
        <f>IF(SUMIFS(Data!$U:$U,Data!$A:$A,$B11,Data!$C:$C,K$1)=0,"",SUMIFS(Data!$U:$U,Data!$A:$A,$B11,Data!$C:$C,K$1))</f>
        <v>2.53125</v>
      </c>
      <c r="L11" s="31" t="str">
        <f>IF(SUMIFS(Data!$U:$U,Data!$A:$A,$B11,Data!$C:$C,L$1)=0,"",SUMIFS(Data!$U:$U,Data!$A:$A,$B11,Data!$C:$C,L$1))</f>
        <v/>
      </c>
      <c r="M11" s="31">
        <f>IF(SUMIFS(Data!$U:$U,Data!$A:$A,$B11,Data!$C:$C,M$1)=0,"",SUMIFS(Data!$U:$U,Data!$A:$A,$B11,Data!$C:$C,M$1))</f>
        <v>2.5649999999999999</v>
      </c>
      <c r="N11" s="31">
        <f>IF(SUMIFS(Data!$U:$U,Data!$A:$A,$B11,Data!$C:$C,N$1)=0,"",SUMIFS(Data!$U:$U,Data!$A:$A,$B11,Data!$C:$C,N$1))</f>
        <v>2.19</v>
      </c>
      <c r="O11" s="31">
        <f>IF(SUMIFS(Data!$U:$U,Data!$A:$A,$B11,Data!$C:$C,O$1)=0,"",SUMIFS(Data!$U:$U,Data!$A:$A,$B11,Data!$C:$C,O$1))</f>
        <v>3.8860833333333331</v>
      </c>
      <c r="P11" s="31">
        <f>IF(SUMIFS(Data!$U:$U,Data!$A:$A,$B11,Data!$C:$C,P$1)=0,"",SUMIFS(Data!$U:$U,Data!$A:$A,$B11,Data!$C:$C,P$1))</f>
        <v>2.1306250000000002</v>
      </c>
      <c r="Q11" s="31">
        <f>IF(SUMIFS(Data!$U:$U,Data!$A:$A,$B11,Data!$C:$C,Q$1)=0,"",SUMIFS(Data!$U:$U,Data!$A:$A,$B11,Data!$C:$C,Q$1))</f>
        <v>2.5</v>
      </c>
      <c r="R11" s="31">
        <f>VLOOKUP(B11,'#ligaSYR'!$B:$R,17,0)</f>
        <v>4</v>
      </c>
      <c r="S11" s="31">
        <f>SUM(C11:R11)</f>
        <v>41.205958333333342</v>
      </c>
      <c r="T11" s="31">
        <f>SUMIFS(Data!D:D,Data!A:A,B11)</f>
        <v>116.60000000000002</v>
      </c>
    </row>
    <row r="12" spans="1:22" ht="13" x14ac:dyDescent="0.3">
      <c r="A12" s="79">
        <v>11</v>
      </c>
      <c r="B12" s="30" t="s">
        <v>355</v>
      </c>
      <c r="C12" s="31">
        <f>IF(SUMIFS(Data!$U:$U,Data!$A:$A,$B12,Data!$C:$C,C$1)=0,"",SUMIFS(Data!$U:$U,Data!$A:$A,$B12,Data!$C:$C,C$1))</f>
        <v>2.3337500000000002</v>
      </c>
      <c r="D12" s="31">
        <f>IF(SUMIFS(Data!$U:$U,Data!$A:$A,$B12,Data!$C:$C,D$1)=0,"",SUMIFS(Data!$U:$U,Data!$A:$A,$B12,Data!$C:$C,D$1))</f>
        <v>1.5562499999999999</v>
      </c>
      <c r="E12" s="31">
        <f>IF(SUMIFS(Data!$U:$U,Data!$A:$A,$B12,Data!$C:$C,E$1)=0,"",SUMIFS(Data!$U:$U,Data!$A:$A,$B12,Data!$C:$C,E$1))</f>
        <v>2.6225000000000001</v>
      </c>
      <c r="F12" s="31">
        <f>IF(SUMIFS(Data!$U:$U,Data!$A:$A,$B12,Data!$C:$C,F$1)=0,"",SUMIFS(Data!$U:$U,Data!$A:$A,$B12,Data!$C:$C,F$1))</f>
        <v>2.75875</v>
      </c>
      <c r="G12" s="31">
        <f>IF(SUMIFS(Data!$U:$U,Data!$A:$A,$B12,Data!$C:$C,G$1)=0,"",SUMIFS(Data!$U:$U,Data!$A:$A,$B12,Data!$C:$C,G$1))</f>
        <v>2.6262499999999998</v>
      </c>
      <c r="H12" s="31">
        <f>IF(SUMIFS(Data!$U:$U,Data!$A:$A,$B12,Data!$C:$C,H$1)=0,"",SUMIFS(Data!$U:$U,Data!$A:$A,$B12,Data!$C:$C,H$1))</f>
        <v>2.7662499999999999</v>
      </c>
      <c r="I12" s="31">
        <f>IF(SUMIFS(Data!$U:$U,Data!$A:$A,$B12,Data!$C:$C,I$1)=0,"",SUMIFS(Data!$U:$U,Data!$A:$A,$B12,Data!$C:$C,I$1))</f>
        <v>3.5</v>
      </c>
      <c r="J12" s="31">
        <f>IF(SUMIFS(Data!$U:$U,Data!$A:$A,$B12,Data!$C:$C,J$1)=0,"",SUMIFS(Data!$U:$U,Data!$A:$A,$B12,Data!$C:$C,J$1))</f>
        <v>1.9381249999999999</v>
      </c>
      <c r="K12" s="31">
        <f>IF(SUMIFS(Data!$U:$U,Data!$A:$A,$B12,Data!$C:$C,K$1)=0,"",SUMIFS(Data!$U:$U,Data!$A:$A,$B12,Data!$C:$C,K$1))</f>
        <v>2.4587500000000002</v>
      </c>
      <c r="L12" s="31">
        <f>IF(SUMIFS(Data!$U:$U,Data!$A:$A,$B12,Data!$C:$C,L$1)=0,"",SUMIFS(Data!$U:$U,Data!$A:$A,$B12,Data!$C:$C,L$1))</f>
        <v>1.8879999999999999</v>
      </c>
      <c r="M12" s="31">
        <f>IF(SUMIFS(Data!$U:$U,Data!$A:$A,$B12,Data!$C:$C,M$1)=0,"",SUMIFS(Data!$U:$U,Data!$A:$A,$B12,Data!$C:$C,M$1))</f>
        <v>2.6425000000000001</v>
      </c>
      <c r="N12" s="31">
        <f>IF(SUMIFS(Data!$U:$U,Data!$A:$A,$B12,Data!$C:$C,N$1)=0,"",SUMIFS(Data!$U:$U,Data!$A:$A,$B12,Data!$C:$C,N$1))</f>
        <v>2.1225000000000001</v>
      </c>
      <c r="O12" s="31">
        <f>IF(SUMIFS(Data!$U:$U,Data!$A:$A,$B12,Data!$C:$C,O$1)=0,"",SUMIFS(Data!$U:$U,Data!$A:$A,$B12,Data!$C:$C,O$1))</f>
        <v>2.3712499999999999</v>
      </c>
      <c r="P12" s="31">
        <f>IF(SUMIFS(Data!$U:$U,Data!$A:$A,$B12,Data!$C:$C,P$1)=0,"",SUMIFS(Data!$U:$U,Data!$A:$A,$B12,Data!$C:$C,P$1))</f>
        <v>2.42625</v>
      </c>
      <c r="Q12" s="31">
        <f>IF(SUMIFS(Data!$U:$U,Data!$A:$A,$B12,Data!$C:$C,Q$1)=0,"",SUMIFS(Data!$U:$U,Data!$A:$A,$B12,Data!$C:$C,Q$1))</f>
        <v>1.93875</v>
      </c>
      <c r="R12" s="31">
        <f>VLOOKUP(B12,'#ligaSYR'!$B:$R,17,0)</f>
        <v>5</v>
      </c>
      <c r="S12" s="31">
        <f>SUM(C12:R12)</f>
        <v>40.949874999999999</v>
      </c>
      <c r="T12" s="31">
        <f>SUMIFS(Data!D:D,Data!A:A,B12)</f>
        <v>118.7</v>
      </c>
    </row>
    <row r="13" spans="1:22" ht="13" x14ac:dyDescent="0.3">
      <c r="A13" s="79">
        <v>12</v>
      </c>
      <c r="B13" s="30" t="s">
        <v>136</v>
      </c>
      <c r="C13" s="31">
        <f>IF(SUMIFS(Data!$U:$U,Data!$A:$A,$B13,Data!$C:$C,C$1)=0,"",SUMIFS(Data!$U:$U,Data!$A:$A,$B13,Data!$C:$C,C$1))</f>
        <v>2.2146666666666666</v>
      </c>
      <c r="D13" s="31">
        <f>IF(SUMIFS(Data!$U:$U,Data!$A:$A,$B13,Data!$C:$C,D$1)=0,"",SUMIFS(Data!$U:$U,Data!$A:$A,$B13,Data!$C:$C,D$1))</f>
        <v>1.4481250000000001</v>
      </c>
      <c r="E13" s="31">
        <f>IF(SUMIFS(Data!$U:$U,Data!$A:$A,$B13,Data!$C:$C,E$1)=0,"",SUMIFS(Data!$U:$U,Data!$A:$A,$B13,Data!$C:$C,E$1))</f>
        <v>2.4634166666666664</v>
      </c>
      <c r="F13" s="31">
        <f>IF(SUMIFS(Data!$U:$U,Data!$A:$A,$B13,Data!$C:$C,F$1)=0,"",SUMIFS(Data!$U:$U,Data!$A:$A,$B13,Data!$C:$C,F$1))</f>
        <v>3.5974999999999997</v>
      </c>
      <c r="G13" s="31">
        <f>IF(SUMIFS(Data!$U:$U,Data!$A:$A,$B13,Data!$C:$C,G$1)=0,"",SUMIFS(Data!$U:$U,Data!$A:$A,$B13,Data!$C:$C,G$1))</f>
        <v>2.7286666666666664</v>
      </c>
      <c r="H13" s="31">
        <f>IF(SUMIFS(Data!$U:$U,Data!$A:$A,$B13,Data!$C:$C,H$1)=0,"",SUMIFS(Data!$U:$U,Data!$A:$A,$B13,Data!$C:$C,H$1))</f>
        <v>3.2862916666666671</v>
      </c>
      <c r="I13" s="31">
        <f>IF(SUMIFS(Data!$U:$U,Data!$A:$A,$B13,Data!$C:$C,I$1)=0,"",SUMIFS(Data!$U:$U,Data!$A:$A,$B13,Data!$C:$C,I$1))</f>
        <v>2.9849166666666664</v>
      </c>
      <c r="J13" s="31">
        <f>IF(SUMIFS(Data!$U:$U,Data!$A:$A,$B13,Data!$C:$C,J$1)=0,"",SUMIFS(Data!$U:$U,Data!$A:$A,$B13,Data!$C:$C,J$1))</f>
        <v>2.1881249999999999</v>
      </c>
      <c r="K13" s="31">
        <f>IF(SUMIFS(Data!$U:$U,Data!$A:$A,$B13,Data!$C:$C,K$1)=0,"",SUMIFS(Data!$U:$U,Data!$A:$A,$B13,Data!$C:$C,K$1))</f>
        <v>3.5561666666666669</v>
      </c>
      <c r="L13" s="31">
        <f>IF(SUMIFS(Data!$U:$U,Data!$A:$A,$B13,Data!$C:$C,L$1)=0,"",SUMIFS(Data!$U:$U,Data!$A:$A,$B13,Data!$C:$C,L$1))</f>
        <v>3.8823333333333334</v>
      </c>
      <c r="M13" s="31">
        <f>IF(SUMIFS(Data!$U:$U,Data!$A:$A,$B13,Data!$C:$C,M$1)=0,"",SUMIFS(Data!$U:$U,Data!$A:$A,$B13,Data!$C:$C,M$1))</f>
        <v>2.0443750000000001</v>
      </c>
      <c r="N13" s="31">
        <f>IF(SUMIFS(Data!$U:$U,Data!$A:$A,$B13,Data!$C:$C,N$1)=0,"",SUMIFS(Data!$U:$U,Data!$A:$A,$B13,Data!$C:$C,N$1))</f>
        <v>3.1891250000000002</v>
      </c>
      <c r="O13" s="31">
        <f>IF(SUMIFS(Data!$U:$U,Data!$A:$A,$B13,Data!$C:$C,O$1)=0,"",SUMIFS(Data!$U:$U,Data!$A:$A,$B13,Data!$C:$C,O$1))</f>
        <v>3.2444583333333337</v>
      </c>
      <c r="P13" s="31">
        <f>IF(SUMIFS(Data!$U:$U,Data!$A:$A,$B13,Data!$C:$C,P$1)=0,"",SUMIFS(Data!$U:$U,Data!$A:$A,$B13,Data!$C:$C,P$1))</f>
        <v>1.5</v>
      </c>
      <c r="Q13" s="31" t="str">
        <f>IF(SUMIFS(Data!$U:$U,Data!$A:$A,$B13,Data!$C:$C,Q$1)=0,"",SUMIFS(Data!$U:$U,Data!$A:$A,$B13,Data!$C:$C,Q$1))</f>
        <v/>
      </c>
      <c r="R13" s="31">
        <f>VLOOKUP(B13,'#ligaSYR'!$B:$R,17,0)</f>
        <v>2</v>
      </c>
      <c r="S13" s="31">
        <f>SUM(C13:R13)</f>
        <v>40.328166666666668</v>
      </c>
      <c r="T13" s="31">
        <f>SUMIFS(Data!D:D,Data!A:A,B13)</f>
        <v>181.97</v>
      </c>
    </row>
    <row r="14" spans="1:22" s="101" customFormat="1" ht="13" x14ac:dyDescent="0.3">
      <c r="A14" s="79">
        <v>13</v>
      </c>
      <c r="B14" s="30" t="s">
        <v>177</v>
      </c>
      <c r="C14" s="31">
        <f>IF(SUMIFS(Data!$U:$U,Data!$A:$A,$B14,Data!$C:$C,C$1)=0,"",SUMIFS(Data!$U:$U,Data!$A:$A,$B14,Data!$C:$C,C$1))</f>
        <v>1.878125</v>
      </c>
      <c r="D14" s="31">
        <f>IF(SUMIFS(Data!$U:$U,Data!$A:$A,$B14,Data!$C:$C,D$1)=0,"",SUMIFS(Data!$U:$U,Data!$A:$A,$B14,Data!$C:$C,D$1))</f>
        <v>2.1912500000000001</v>
      </c>
      <c r="E14" s="31">
        <f>IF(SUMIFS(Data!$U:$U,Data!$A:$A,$B14,Data!$C:$C,E$1)=0,"",SUMIFS(Data!$U:$U,Data!$A:$A,$B14,Data!$C:$C,E$1))</f>
        <v>2.1524999999999999</v>
      </c>
      <c r="F14" s="31">
        <f>IF(SUMIFS(Data!$U:$U,Data!$A:$A,$B14,Data!$C:$C,F$1)=0,"",SUMIFS(Data!$U:$U,Data!$A:$A,$B14,Data!$C:$C,F$1))</f>
        <v>2.0637499999999998</v>
      </c>
      <c r="G14" s="31">
        <f>IF(SUMIFS(Data!$U:$U,Data!$A:$A,$B14,Data!$C:$C,G$1)=0,"",SUMIFS(Data!$U:$U,Data!$A:$A,$B14,Data!$C:$C,G$1))</f>
        <v>2.0756250000000001</v>
      </c>
      <c r="H14" s="31">
        <f>IF(SUMIFS(Data!$U:$U,Data!$A:$A,$B14,Data!$C:$C,H$1)=0,"",SUMIFS(Data!$U:$U,Data!$A:$A,$B14,Data!$C:$C,H$1))</f>
        <v>3.5</v>
      </c>
      <c r="I14" s="31">
        <f>IF(SUMIFS(Data!$U:$U,Data!$A:$A,$B14,Data!$C:$C,I$1)=0,"",SUMIFS(Data!$U:$U,Data!$A:$A,$B14,Data!$C:$C,I$1))</f>
        <v>2.3306249999999999</v>
      </c>
      <c r="J14" s="31">
        <f>IF(SUMIFS(Data!$U:$U,Data!$A:$A,$B14,Data!$C:$C,J$1)=0,"",SUMIFS(Data!$U:$U,Data!$A:$A,$B14,Data!$C:$C,J$1))</f>
        <v>2.3149999999999999</v>
      </c>
      <c r="K14" s="31">
        <f>IF(SUMIFS(Data!$U:$U,Data!$A:$A,$B14,Data!$C:$C,K$1)=0,"",SUMIFS(Data!$U:$U,Data!$A:$A,$B14,Data!$C:$C,K$1))</f>
        <v>2.3262499999999999</v>
      </c>
      <c r="L14" s="31">
        <f>IF(SUMIFS(Data!$U:$U,Data!$A:$A,$B14,Data!$C:$C,L$1)=0,"",SUMIFS(Data!$U:$U,Data!$A:$A,$B14,Data!$C:$C,L$1))</f>
        <v>2.1881249999999999</v>
      </c>
      <c r="M14" s="31">
        <f>IF(SUMIFS(Data!$U:$U,Data!$A:$A,$B14,Data!$C:$C,M$1)=0,"",SUMIFS(Data!$U:$U,Data!$A:$A,$B14,Data!$C:$C,M$1))</f>
        <v>2.2625000000000002</v>
      </c>
      <c r="N14" s="31">
        <f>IF(SUMIFS(Data!$U:$U,Data!$A:$A,$B14,Data!$C:$C,N$1)=0,"",SUMIFS(Data!$U:$U,Data!$A:$A,$B14,Data!$C:$C,N$1))</f>
        <v>2.1262499999999998</v>
      </c>
      <c r="O14" s="31">
        <f>IF(SUMIFS(Data!$U:$U,Data!$A:$A,$B14,Data!$C:$C,O$1)=0,"",SUMIFS(Data!$U:$U,Data!$A:$A,$B14,Data!$C:$C,O$1))</f>
        <v>3.6</v>
      </c>
      <c r="P14" s="31">
        <f>IF(SUMIFS(Data!$U:$U,Data!$A:$A,$B14,Data!$C:$C,P$1)=0,"",SUMIFS(Data!$U:$U,Data!$A:$A,$B14,Data!$C:$C,P$1))</f>
        <v>2.0756250000000001</v>
      </c>
      <c r="Q14" s="31">
        <f>IF(SUMIFS(Data!$U:$U,Data!$A:$A,$B14,Data!$C:$C,Q$1)=0,"",SUMIFS(Data!$U:$U,Data!$A:$A,$B14,Data!$C:$C,Q$1))</f>
        <v>1.975625</v>
      </c>
      <c r="R14" s="31">
        <f>VLOOKUP(B14,'#ligaSYR'!$B:$R,17,0)</f>
        <v>5</v>
      </c>
      <c r="S14" s="31">
        <f>SUM(C14:R14)</f>
        <v>40.061250000000001</v>
      </c>
      <c r="T14" s="31">
        <f>SUMIFS(Data!D:D,Data!A:A,B14)</f>
        <v>143.67000000000002</v>
      </c>
    </row>
    <row r="15" spans="1:22" s="101" customFormat="1" ht="13" x14ac:dyDescent="0.3">
      <c r="A15" s="79">
        <v>14</v>
      </c>
      <c r="B15" s="30" t="s">
        <v>291</v>
      </c>
      <c r="C15" s="31">
        <f>IF(SUMIFS(Data!$U:$U,Data!$A:$A,$B15,Data!$C:$C,C$1)=0,"",SUMIFS(Data!$U:$U,Data!$A:$A,$B15,Data!$C:$C,C$1))</f>
        <v>2.125</v>
      </c>
      <c r="D15" s="31">
        <f>IF(SUMIFS(Data!$U:$U,Data!$A:$A,$B15,Data!$C:$C,D$1)=0,"",SUMIFS(Data!$U:$U,Data!$A:$A,$B15,Data!$C:$C,D$1))</f>
        <v>1.875</v>
      </c>
      <c r="E15" s="31">
        <f>IF(SUMIFS(Data!$U:$U,Data!$A:$A,$B15,Data!$C:$C,E$1)=0,"",SUMIFS(Data!$U:$U,Data!$A:$A,$B15,Data!$C:$C,E$1))</f>
        <v>3.4416666666666669</v>
      </c>
      <c r="F15" s="31">
        <f>IF(SUMIFS(Data!$U:$U,Data!$A:$A,$B15,Data!$C:$C,F$1)=0,"",SUMIFS(Data!$U:$U,Data!$A:$A,$B15,Data!$C:$C,F$1))</f>
        <v>1.5</v>
      </c>
      <c r="G15" s="31">
        <f>IF(SUMIFS(Data!$U:$U,Data!$A:$A,$B15,Data!$C:$C,G$1)=0,"",SUMIFS(Data!$U:$U,Data!$A:$A,$B15,Data!$C:$C,G$1))</f>
        <v>3.8418333333333332</v>
      </c>
      <c r="H15" s="31">
        <f>IF(SUMIFS(Data!$U:$U,Data!$A:$A,$B15,Data!$C:$C,H$1)=0,"",SUMIFS(Data!$U:$U,Data!$A:$A,$B15,Data!$C:$C,H$1))</f>
        <v>3.2562083333333334</v>
      </c>
      <c r="I15" s="31">
        <f>IF(SUMIFS(Data!$U:$U,Data!$A:$A,$B15,Data!$C:$C,I$1)=0,"",SUMIFS(Data!$U:$U,Data!$A:$A,$B15,Data!$C:$C,I$1))</f>
        <v>1.5</v>
      </c>
      <c r="J15" s="31">
        <f>IF(SUMIFS(Data!$U:$U,Data!$A:$A,$B15,Data!$C:$C,J$1)=0,"",SUMIFS(Data!$U:$U,Data!$A:$A,$B15,Data!$C:$C,J$1))</f>
        <v>2.3050000000000002</v>
      </c>
      <c r="K15" s="31">
        <f>IF(SUMIFS(Data!$U:$U,Data!$A:$A,$B15,Data!$C:$C,K$1)=0,"",SUMIFS(Data!$U:$U,Data!$A:$A,$B15,Data!$C:$C,K$1))</f>
        <v>2.6120833333333335</v>
      </c>
      <c r="L15" s="31">
        <f>IF(SUMIFS(Data!$U:$U,Data!$A:$A,$B15,Data!$C:$C,L$1)=0,"",SUMIFS(Data!$U:$U,Data!$A:$A,$B15,Data!$C:$C,L$1))</f>
        <v>3.3125</v>
      </c>
      <c r="M15" s="31">
        <f>IF(SUMIFS(Data!$U:$U,Data!$A:$A,$B15,Data!$C:$C,M$1)=0,"",SUMIFS(Data!$U:$U,Data!$A:$A,$B15,Data!$C:$C,M$1))</f>
        <v>1.9375</v>
      </c>
      <c r="N15" s="31">
        <f>IF(SUMIFS(Data!$U:$U,Data!$A:$A,$B15,Data!$C:$C,N$1)=0,"",SUMIFS(Data!$U:$U,Data!$A:$A,$B15,Data!$C:$C,N$1))</f>
        <v>2.4187500000000002</v>
      </c>
      <c r="O15" s="31">
        <f>IF(SUMIFS(Data!$U:$U,Data!$A:$A,$B15,Data!$C:$C,O$1)=0,"",SUMIFS(Data!$U:$U,Data!$A:$A,$B15,Data!$C:$C,O$1))</f>
        <v>2.0562499999999999</v>
      </c>
      <c r="P15" s="31">
        <f>IF(SUMIFS(Data!$U:$U,Data!$A:$A,$B15,Data!$C:$C,P$1)=0,"",SUMIFS(Data!$U:$U,Data!$A:$A,$B15,Data!$C:$C,P$1))</f>
        <v>1.875</v>
      </c>
      <c r="Q15" s="31">
        <f>IF(SUMIFS(Data!$U:$U,Data!$A:$A,$B15,Data!$C:$C,Q$1)=0,"",SUMIFS(Data!$U:$U,Data!$A:$A,$B15,Data!$C:$C,Q$1))</f>
        <v>2.5243333333333333</v>
      </c>
      <c r="R15" s="31">
        <f>VLOOKUP(B15,'#ligaSYR'!$B:$R,17,0)</f>
        <v>3</v>
      </c>
      <c r="S15" s="31">
        <f>SUM(C15:R15)</f>
        <v>39.581125</v>
      </c>
      <c r="T15" s="31">
        <f>SUMIFS(Data!D:D,Data!A:A,B15)</f>
        <v>194.78999999999996</v>
      </c>
    </row>
    <row r="16" spans="1:22" s="101" customFormat="1" ht="13" x14ac:dyDescent="0.3">
      <c r="A16" s="79">
        <v>15</v>
      </c>
      <c r="B16" s="30" t="s">
        <v>170</v>
      </c>
      <c r="C16" s="31">
        <f>IF(SUMIFS(Data!$U:$U,Data!$A:$A,$B16,Data!$C:$C,C$1)=0,"",SUMIFS(Data!$U:$U,Data!$A:$A,$B16,Data!$C:$C,C$1))</f>
        <v>2.6306250000000002</v>
      </c>
      <c r="D16" s="31">
        <f>IF(SUMIFS(Data!$U:$U,Data!$A:$A,$B16,Data!$C:$C,D$1)=0,"",SUMIFS(Data!$U:$U,Data!$A:$A,$B16,Data!$C:$C,D$1))</f>
        <v>2.7362500000000001</v>
      </c>
      <c r="E16" s="31">
        <f>IF(SUMIFS(Data!$U:$U,Data!$A:$A,$B16,Data!$C:$C,E$1)=0,"",SUMIFS(Data!$U:$U,Data!$A:$A,$B16,Data!$C:$C,E$1))</f>
        <v>1.3599999999999999</v>
      </c>
      <c r="F16" s="31">
        <f>IF(SUMIFS(Data!$U:$U,Data!$A:$A,$B16,Data!$C:$C,F$1)=0,"",SUMIFS(Data!$U:$U,Data!$A:$A,$B16,Data!$C:$C,F$1))</f>
        <v>2.8462499999999999</v>
      </c>
      <c r="G16" s="31">
        <f>IF(SUMIFS(Data!$U:$U,Data!$A:$A,$B16,Data!$C:$C,G$1)=0,"",SUMIFS(Data!$U:$U,Data!$A:$A,$B16,Data!$C:$C,G$1))</f>
        <v>3.3125</v>
      </c>
      <c r="H16" s="31" t="str">
        <f>IF(SUMIFS(Data!$U:$U,Data!$A:$A,$B16,Data!$C:$C,H$1)=0,"",SUMIFS(Data!$U:$U,Data!$A:$A,$B16,Data!$C:$C,H$1))</f>
        <v/>
      </c>
      <c r="I16" s="31">
        <f>IF(SUMIFS(Data!$U:$U,Data!$A:$A,$B16,Data!$C:$C,I$1)=0,"",SUMIFS(Data!$U:$U,Data!$A:$A,$B16,Data!$C:$C,I$1))</f>
        <v>2.6906249999999998</v>
      </c>
      <c r="J16" s="31">
        <f>IF(SUMIFS(Data!$U:$U,Data!$A:$A,$B16,Data!$C:$C,J$1)=0,"",SUMIFS(Data!$U:$U,Data!$A:$A,$B16,Data!$C:$C,J$1))</f>
        <v>3.1238333333333332</v>
      </c>
      <c r="K16" s="31" t="str">
        <f>IF(SUMIFS(Data!$U:$U,Data!$A:$A,$B16,Data!$C:$C,K$1)=0,"",SUMIFS(Data!$U:$U,Data!$A:$A,$B16,Data!$C:$C,K$1))</f>
        <v/>
      </c>
      <c r="L16" s="31">
        <f>IF(SUMIFS(Data!$U:$U,Data!$A:$A,$B16,Data!$C:$C,L$1)=0,"",SUMIFS(Data!$U:$U,Data!$A:$A,$B16,Data!$C:$C,L$1))</f>
        <v>3.605</v>
      </c>
      <c r="M16" s="31" t="str">
        <f>IF(SUMIFS(Data!$U:$U,Data!$A:$A,$B16,Data!$C:$C,M$1)=0,"",SUMIFS(Data!$U:$U,Data!$A:$A,$B16,Data!$C:$C,M$1))</f>
        <v/>
      </c>
      <c r="N16" s="31">
        <f>IF(SUMIFS(Data!$U:$U,Data!$A:$A,$B16,Data!$C:$C,N$1)=0,"",SUMIFS(Data!$U:$U,Data!$A:$A,$B16,Data!$C:$C,N$1))</f>
        <v>3.7221666666666668</v>
      </c>
      <c r="O16" s="31">
        <f>IF(SUMIFS(Data!$U:$U,Data!$A:$A,$B16,Data!$C:$C,O$1)=0,"",SUMIFS(Data!$U:$U,Data!$A:$A,$B16,Data!$C:$C,O$1))</f>
        <v>3.4806249999999999</v>
      </c>
      <c r="P16" s="31">
        <f>IF(SUMIFS(Data!$U:$U,Data!$A:$A,$B16,Data!$C:$C,P$1)=0,"",SUMIFS(Data!$U:$U,Data!$A:$A,$B16,Data!$C:$C,P$1))</f>
        <v>2.14</v>
      </c>
      <c r="Q16" s="31">
        <f>IF(SUMIFS(Data!$U:$U,Data!$A:$A,$B16,Data!$C:$C,Q$1)=0,"",SUMIFS(Data!$U:$U,Data!$A:$A,$B16,Data!$C:$C,Q$1))</f>
        <v>2.5681250000000002</v>
      </c>
      <c r="R16" s="31">
        <f>VLOOKUP(B16,'#ligaSYR'!$B:$R,17,0)</f>
        <v>4</v>
      </c>
      <c r="S16" s="31">
        <f>SUM(C16:R16)</f>
        <v>38.216000000000001</v>
      </c>
      <c r="T16" s="31">
        <f>SUMIFS(Data!D:D,Data!A:A,B16)</f>
        <v>183.00000000000003</v>
      </c>
    </row>
    <row r="17" spans="1:20" ht="13" x14ac:dyDescent="0.3">
      <c r="A17" s="79">
        <v>16</v>
      </c>
      <c r="B17" s="30" t="s">
        <v>64</v>
      </c>
      <c r="C17" s="31">
        <f>IF(SUMIFS(Data!$U:$U,Data!$A:$A,$B17,Data!$C:$C,C$1)=0,"",SUMIFS(Data!$U:$U,Data!$A:$A,$B17,Data!$C:$C,C$1))</f>
        <v>2.2112499999999997</v>
      </c>
      <c r="D17" s="31">
        <f>IF(SUMIFS(Data!$U:$U,Data!$A:$A,$B17,Data!$C:$C,D$1)=0,"",SUMIFS(Data!$U:$U,Data!$A:$A,$B17,Data!$C:$C,D$1))</f>
        <v>1.7</v>
      </c>
      <c r="E17" s="31">
        <f>IF(SUMIFS(Data!$U:$U,Data!$A:$A,$B17,Data!$C:$C,E$1)=0,"",SUMIFS(Data!$U:$U,Data!$A:$A,$B17,Data!$C:$C,E$1))</f>
        <v>2.2068750000000001</v>
      </c>
      <c r="F17" s="31">
        <f>IF(SUMIFS(Data!$U:$U,Data!$A:$A,$B17,Data!$C:$C,F$1)=0,"",SUMIFS(Data!$U:$U,Data!$A:$A,$B17,Data!$C:$C,F$1))</f>
        <v>2.2149999999999999</v>
      </c>
      <c r="G17" s="31">
        <f>IF(SUMIFS(Data!$U:$U,Data!$A:$A,$B17,Data!$C:$C,G$1)=0,"",SUMIFS(Data!$U:$U,Data!$A:$A,$B17,Data!$C:$C,G$1))</f>
        <v>2.024375</v>
      </c>
      <c r="H17" s="31">
        <f>IF(SUMIFS(Data!$U:$U,Data!$A:$A,$B17,Data!$C:$C,H$1)=0,"",SUMIFS(Data!$U:$U,Data!$A:$A,$B17,Data!$C:$C,H$1))</f>
        <v>2.3312499999999998</v>
      </c>
      <c r="I17" s="31">
        <f>IF(SUMIFS(Data!$U:$U,Data!$A:$A,$B17,Data!$C:$C,I$1)=0,"",SUMIFS(Data!$U:$U,Data!$A:$A,$B17,Data!$C:$C,I$1))</f>
        <v>2.6375000000000002</v>
      </c>
      <c r="J17" s="31">
        <f>IF(SUMIFS(Data!$U:$U,Data!$A:$A,$B17,Data!$C:$C,J$1)=0,"",SUMIFS(Data!$U:$U,Data!$A:$A,$B17,Data!$C:$C,J$1))</f>
        <v>1.9618749999999998</v>
      </c>
      <c r="K17" s="31">
        <f>IF(SUMIFS(Data!$U:$U,Data!$A:$A,$B17,Data!$C:$C,K$1)=0,"",SUMIFS(Data!$U:$U,Data!$A:$A,$B17,Data!$C:$C,K$1))</f>
        <v>2.4031250000000002</v>
      </c>
      <c r="L17" s="31">
        <f>IF(SUMIFS(Data!$U:$U,Data!$A:$A,$B17,Data!$C:$C,L$1)=0,"",SUMIFS(Data!$U:$U,Data!$A:$A,$B17,Data!$C:$C,L$1))</f>
        <v>2.42625</v>
      </c>
      <c r="M17" s="31">
        <f>IF(SUMIFS(Data!$U:$U,Data!$A:$A,$B17,Data!$C:$C,M$1)=0,"",SUMIFS(Data!$U:$U,Data!$A:$A,$B17,Data!$C:$C,M$1))</f>
        <v>1.9025000000000001</v>
      </c>
      <c r="N17" s="31">
        <f>IF(SUMIFS(Data!$U:$U,Data!$A:$A,$B17,Data!$C:$C,N$1)=0,"",SUMIFS(Data!$U:$U,Data!$A:$A,$B17,Data!$C:$C,N$1))</f>
        <v>2.4562499999999998</v>
      </c>
      <c r="O17" s="31">
        <f>IF(SUMIFS(Data!$U:$U,Data!$A:$A,$B17,Data!$C:$C,O$1)=0,"",SUMIFS(Data!$U:$U,Data!$A:$A,$B17,Data!$C:$C,O$1))</f>
        <v>2.0499999999999998</v>
      </c>
      <c r="P17" s="31">
        <f>IF(SUMIFS(Data!$U:$U,Data!$A:$A,$B17,Data!$C:$C,P$1)=0,"",SUMIFS(Data!$U:$U,Data!$A:$A,$B17,Data!$C:$C,P$1))</f>
        <v>1.903125</v>
      </c>
      <c r="Q17" s="31">
        <f>IF(SUMIFS(Data!$U:$U,Data!$A:$A,$B17,Data!$C:$C,Q$1)=0,"",SUMIFS(Data!$U:$U,Data!$A:$A,$B17,Data!$C:$C,Q$1))</f>
        <v>1.8968749999999999</v>
      </c>
      <c r="R17" s="31">
        <f>VLOOKUP(B17,'#ligaSYR'!$B:$R,17,0)</f>
        <v>3</v>
      </c>
      <c r="S17" s="31">
        <f>SUM(C17:R17)</f>
        <v>35.326249999999995</v>
      </c>
      <c r="T17" s="31">
        <f>SUMIFS(Data!D:D,Data!A:A,B17)</f>
        <v>122.39999999999999</v>
      </c>
    </row>
    <row r="18" spans="1:20" ht="13" x14ac:dyDescent="0.3">
      <c r="A18" s="79">
        <v>17</v>
      </c>
      <c r="B18" s="30" t="s">
        <v>45</v>
      </c>
      <c r="C18" s="31" t="str">
        <f>IF(SUMIFS(Data!$U:$U,Data!$A:$A,$B18,Data!$C:$C,C$1)=0,"",SUMIFS(Data!$U:$U,Data!$A:$A,$B18,Data!$C:$C,C$1))</f>
        <v/>
      </c>
      <c r="D18" s="31">
        <f>IF(SUMIFS(Data!$U:$U,Data!$A:$A,$B18,Data!$C:$C,D$1)=0,"",SUMIFS(Data!$U:$U,Data!$A:$A,$B18,Data!$C:$C,D$1))</f>
        <v>2.308416666666667</v>
      </c>
      <c r="E18" s="31">
        <f>IF(SUMIFS(Data!$U:$U,Data!$A:$A,$B18,Data!$C:$C,E$1)=0,"",SUMIFS(Data!$U:$U,Data!$A:$A,$B18,Data!$C:$C,E$1))</f>
        <v>3.9518333333333335</v>
      </c>
      <c r="F18" s="31">
        <f>IF(SUMIFS(Data!$U:$U,Data!$A:$A,$B18,Data!$C:$C,F$1)=0,"",SUMIFS(Data!$U:$U,Data!$A:$A,$B18,Data!$C:$C,F$1))</f>
        <v>2.84375</v>
      </c>
      <c r="G18" s="31">
        <f>IF(SUMIFS(Data!$U:$U,Data!$A:$A,$B18,Data!$C:$C,G$1)=0,"",SUMIFS(Data!$U:$U,Data!$A:$A,$B18,Data!$C:$C,G$1))</f>
        <v>2.3337500000000002</v>
      </c>
      <c r="H18" s="31">
        <f>IF(SUMIFS(Data!$U:$U,Data!$A:$A,$B18,Data!$C:$C,H$1)=0,"",SUMIFS(Data!$U:$U,Data!$A:$A,$B18,Data!$C:$C,H$1))</f>
        <v>2.4624999999999999</v>
      </c>
      <c r="I18" s="31" t="str">
        <f>IF(SUMIFS(Data!$U:$U,Data!$A:$A,$B18,Data!$C:$C,I$1)=0,"",SUMIFS(Data!$U:$U,Data!$A:$A,$B18,Data!$C:$C,I$1))</f>
        <v/>
      </c>
      <c r="J18" s="31">
        <f>IF(SUMIFS(Data!$U:$U,Data!$A:$A,$B18,Data!$C:$C,J$1)=0,"",SUMIFS(Data!$U:$U,Data!$A:$A,$B18,Data!$C:$C,J$1))</f>
        <v>2.4493749999999999</v>
      </c>
      <c r="K18" s="31">
        <f>IF(SUMIFS(Data!$U:$U,Data!$A:$A,$B18,Data!$C:$C,K$1)=0,"",SUMIFS(Data!$U:$U,Data!$A:$A,$B18,Data!$C:$C,K$1))</f>
        <v>1.8812500000000001</v>
      </c>
      <c r="L18" s="31">
        <f>IF(SUMIFS(Data!$U:$U,Data!$A:$A,$B18,Data!$C:$C,L$1)=0,"",SUMIFS(Data!$U:$U,Data!$A:$A,$B18,Data!$C:$C,L$1))</f>
        <v>2.44625</v>
      </c>
      <c r="M18" s="31">
        <f>IF(SUMIFS(Data!$U:$U,Data!$A:$A,$B18,Data!$C:$C,M$1)=0,"",SUMIFS(Data!$U:$U,Data!$A:$A,$B18,Data!$C:$C,M$1))</f>
        <v>2.7637499999999999</v>
      </c>
      <c r="N18" s="31">
        <f>IF(SUMIFS(Data!$U:$U,Data!$A:$A,$B18,Data!$C:$C,N$1)=0,"",SUMIFS(Data!$U:$U,Data!$A:$A,$B18,Data!$C:$C,N$1))</f>
        <v>3.6875</v>
      </c>
      <c r="O18" s="31" t="str">
        <f>IF(SUMIFS(Data!$U:$U,Data!$A:$A,$B18,Data!$C:$C,O$1)=0,"",SUMIFS(Data!$U:$U,Data!$A:$A,$B18,Data!$C:$C,O$1))</f>
        <v/>
      </c>
      <c r="P18" s="31">
        <f>IF(SUMIFS(Data!$U:$U,Data!$A:$A,$B18,Data!$C:$C,P$1)=0,"",SUMIFS(Data!$U:$U,Data!$A:$A,$B18,Data!$C:$C,P$1))</f>
        <v>1.5662500000000001</v>
      </c>
      <c r="Q18" s="31">
        <f>IF(SUMIFS(Data!$U:$U,Data!$A:$A,$B18,Data!$C:$C,Q$1)=0,"",SUMIFS(Data!$U:$U,Data!$A:$A,$B18,Data!$C:$C,Q$1))</f>
        <v>1.756875</v>
      </c>
      <c r="R18" s="31">
        <f>VLOOKUP(B18,'#ligaSYR'!$B:$R,17,0)</f>
        <v>4</v>
      </c>
      <c r="S18" s="31">
        <f>SUM(C18:R18)</f>
        <v>34.45150000000001</v>
      </c>
      <c r="T18" s="31">
        <f>SUMIFS(Data!D:D,Data!A:A,B18)</f>
        <v>124.5</v>
      </c>
    </row>
    <row r="19" spans="1:20" ht="13" x14ac:dyDescent="0.3">
      <c r="A19" s="79">
        <v>18</v>
      </c>
      <c r="B19" s="30" t="s">
        <v>303</v>
      </c>
      <c r="C19" s="31">
        <f>IF(SUMIFS(Data!$U:$U,Data!$A:$A,$B19,Data!$C:$C,C$1)=0,"",SUMIFS(Data!$U:$U,Data!$A:$A,$B19,Data!$C:$C,C$1))</f>
        <v>1.2750000000000001</v>
      </c>
      <c r="D19" s="31">
        <f>IF(SUMIFS(Data!$U:$U,Data!$A:$A,$B19,Data!$C:$C,D$1)=0,"",SUMIFS(Data!$U:$U,Data!$A:$A,$B19,Data!$C:$C,D$1))</f>
        <v>1.3496666666666666</v>
      </c>
      <c r="E19" s="31">
        <f>IF(SUMIFS(Data!$U:$U,Data!$A:$A,$B19,Data!$C:$C,E$1)=0,"",SUMIFS(Data!$U:$U,Data!$A:$A,$B19,Data!$C:$C,E$1))</f>
        <v>1.9197500000000001</v>
      </c>
      <c r="F19" s="31">
        <f>IF(SUMIFS(Data!$U:$U,Data!$A:$A,$B19,Data!$C:$C,F$1)=0,"",SUMIFS(Data!$U:$U,Data!$A:$A,$B19,Data!$C:$C,F$1))</f>
        <v>2.0075000000000003</v>
      </c>
      <c r="G19" s="31">
        <f>IF(SUMIFS(Data!$U:$U,Data!$A:$A,$B19,Data!$C:$C,G$1)=0,"",SUMIFS(Data!$U:$U,Data!$A:$A,$B19,Data!$C:$C,G$1))</f>
        <v>1.4325000000000001</v>
      </c>
      <c r="H19" s="31">
        <f>IF(SUMIFS(Data!$U:$U,Data!$A:$A,$B19,Data!$C:$C,H$1)=0,"",SUMIFS(Data!$U:$U,Data!$A:$A,$B19,Data!$C:$C,H$1))</f>
        <v>1.9024583333333331</v>
      </c>
      <c r="I19" s="31">
        <f>IF(SUMIFS(Data!$U:$U,Data!$A:$A,$B19,Data!$C:$C,I$1)=0,"",SUMIFS(Data!$U:$U,Data!$A:$A,$B19,Data!$C:$C,I$1))</f>
        <v>2.3323333333333331</v>
      </c>
      <c r="J19" s="31">
        <f>IF(SUMIFS(Data!$U:$U,Data!$A:$A,$B19,Data!$C:$C,J$1)=0,"",SUMIFS(Data!$U:$U,Data!$A:$A,$B19,Data!$C:$C,J$1))</f>
        <v>1.6831666666666667</v>
      </c>
      <c r="K19" s="31">
        <f>IF(SUMIFS(Data!$U:$U,Data!$A:$A,$B19,Data!$C:$C,K$1)=0,"",SUMIFS(Data!$U:$U,Data!$A:$A,$B19,Data!$C:$C,K$1))</f>
        <v>3.5426666666666664</v>
      </c>
      <c r="L19" s="31">
        <f>IF(SUMIFS(Data!$U:$U,Data!$A:$A,$B19,Data!$C:$C,L$1)=0,"",SUMIFS(Data!$U:$U,Data!$A:$A,$B19,Data!$C:$C,L$1))</f>
        <v>2.2573333333333334</v>
      </c>
      <c r="M19" s="31">
        <f>IF(SUMIFS(Data!$U:$U,Data!$A:$A,$B19,Data!$C:$C,M$1)=0,"",SUMIFS(Data!$U:$U,Data!$A:$A,$B19,Data!$C:$C,M$1))</f>
        <v>1.4734166666666666</v>
      </c>
      <c r="N19" s="31">
        <f>IF(SUMIFS(Data!$U:$U,Data!$A:$A,$B19,Data!$C:$C,N$1)=0,"",SUMIFS(Data!$U:$U,Data!$A:$A,$B19,Data!$C:$C,N$1))</f>
        <v>1.7987500000000001</v>
      </c>
      <c r="O19" s="31">
        <f>IF(SUMIFS(Data!$U:$U,Data!$A:$A,$B19,Data!$C:$C,O$1)=0,"",SUMIFS(Data!$U:$U,Data!$A:$A,$B19,Data!$C:$C,O$1))</f>
        <v>3.0567916666666668</v>
      </c>
      <c r="P19" s="31">
        <f>IF(SUMIFS(Data!$U:$U,Data!$A:$A,$B19,Data!$C:$C,P$1)=0,"",SUMIFS(Data!$U:$U,Data!$A:$A,$B19,Data!$C:$C,P$1))</f>
        <v>1.4506250000000001</v>
      </c>
      <c r="Q19" s="31">
        <f>IF(SUMIFS(Data!$U:$U,Data!$A:$A,$B19,Data!$C:$C,Q$1)=0,"",SUMIFS(Data!$U:$U,Data!$A:$A,$B19,Data!$C:$C,Q$1))</f>
        <v>1.9046666666666667</v>
      </c>
      <c r="R19" s="31">
        <f>VLOOKUP(B19,'#ligaSYR'!$B:$R,17,0)</f>
        <v>5</v>
      </c>
      <c r="S19" s="31">
        <f>SUM(C19:R19)</f>
        <v>34.386624999999995</v>
      </c>
      <c r="T19" s="31">
        <f>SUMIFS(Data!D:D,Data!A:A,B19)</f>
        <v>172.75</v>
      </c>
    </row>
    <row r="20" spans="1:20" ht="13" x14ac:dyDescent="0.3">
      <c r="A20" s="79">
        <v>19</v>
      </c>
      <c r="B20" s="30" t="s">
        <v>431</v>
      </c>
      <c r="C20" s="31" t="str">
        <f>IF(SUMIFS(Data!$U:$U,Data!$A:$A,$B20,Data!$C:$C,C$1)=0,"",SUMIFS(Data!$U:$U,Data!$A:$A,$B20,Data!$C:$C,C$1))</f>
        <v/>
      </c>
      <c r="D20" s="31" t="str">
        <f>IF(SUMIFS(Data!$U:$U,Data!$A:$A,$B20,Data!$C:$C,D$1)=0,"",SUMIFS(Data!$U:$U,Data!$A:$A,$B20,Data!$C:$C,D$1))</f>
        <v/>
      </c>
      <c r="E20" s="31" t="str">
        <f>IF(SUMIFS(Data!$U:$U,Data!$A:$A,$B20,Data!$C:$C,E$1)=0,"",SUMIFS(Data!$U:$U,Data!$A:$A,$B20,Data!$C:$C,E$1))</f>
        <v/>
      </c>
      <c r="F20" s="31" t="str">
        <f>IF(SUMIFS(Data!$U:$U,Data!$A:$A,$B20,Data!$C:$C,F$1)=0,"",SUMIFS(Data!$U:$U,Data!$A:$A,$B20,Data!$C:$C,F$1))</f>
        <v/>
      </c>
      <c r="G20" s="31">
        <f>IF(SUMIFS(Data!$U:$U,Data!$A:$A,$B20,Data!$C:$C,G$1)=0,"",SUMIFS(Data!$U:$U,Data!$A:$A,$B20,Data!$C:$C,G$1))</f>
        <v>2.15</v>
      </c>
      <c r="H20" s="31">
        <f>IF(SUMIFS(Data!$U:$U,Data!$A:$A,$B20,Data!$C:$C,H$1)=0,"",SUMIFS(Data!$U:$U,Data!$A:$A,$B20,Data!$C:$C,H$1))</f>
        <v>2.6993749999999999</v>
      </c>
      <c r="I20" s="31">
        <f>IF(SUMIFS(Data!$U:$U,Data!$A:$A,$B20,Data!$C:$C,I$1)=0,"",SUMIFS(Data!$U:$U,Data!$A:$A,$B20,Data!$C:$C,I$1))</f>
        <v>3.4394166666666668</v>
      </c>
      <c r="J20" s="31">
        <f>IF(SUMIFS(Data!$U:$U,Data!$A:$A,$B20,Data!$C:$C,J$1)=0,"",SUMIFS(Data!$U:$U,Data!$A:$A,$B20,Data!$C:$C,J$1))</f>
        <v>2.4659166666666668</v>
      </c>
      <c r="K20" s="31">
        <f>IF(SUMIFS(Data!$U:$U,Data!$A:$A,$B20,Data!$C:$C,K$1)=0,"",SUMIFS(Data!$U:$U,Data!$A:$A,$B20,Data!$C:$C,K$1))</f>
        <v>2.5887499999999997</v>
      </c>
      <c r="L20" s="31">
        <f>IF(SUMIFS(Data!$U:$U,Data!$A:$A,$B20,Data!$C:$C,L$1)=0,"",SUMIFS(Data!$U:$U,Data!$A:$A,$B20,Data!$C:$C,L$1))</f>
        <v>3.7124999999999999</v>
      </c>
      <c r="M20" s="31">
        <f>IF(SUMIFS(Data!$U:$U,Data!$A:$A,$B20,Data!$C:$C,M$1)=0,"",SUMIFS(Data!$U:$U,Data!$A:$A,$B20,Data!$C:$C,M$1))</f>
        <v>2.0643750000000001</v>
      </c>
      <c r="N20" s="31">
        <f>IF(SUMIFS(Data!$U:$U,Data!$A:$A,$B20,Data!$C:$C,N$1)=0,"",SUMIFS(Data!$U:$U,Data!$A:$A,$B20,Data!$C:$C,N$1))</f>
        <v>3.0187499999999998</v>
      </c>
      <c r="O20" s="31">
        <f>IF(SUMIFS(Data!$U:$U,Data!$A:$A,$B20,Data!$C:$C,O$1)=0,"",SUMIFS(Data!$U:$U,Data!$A:$A,$B20,Data!$C:$C,O$1))</f>
        <v>2.5733333333333333</v>
      </c>
      <c r="P20" s="31">
        <f>IF(SUMIFS(Data!$U:$U,Data!$A:$A,$B20,Data!$C:$C,P$1)=0,"",SUMIFS(Data!$U:$U,Data!$A:$A,$B20,Data!$C:$C,P$1))</f>
        <v>2.4</v>
      </c>
      <c r="Q20" s="31">
        <f>IF(SUMIFS(Data!$U:$U,Data!$A:$A,$B20,Data!$C:$C,Q$1)=0,"",SUMIFS(Data!$U:$U,Data!$A:$A,$B20,Data!$C:$C,Q$1))</f>
        <v>2.6599999999999997</v>
      </c>
      <c r="R20" s="31">
        <f>VLOOKUP(B20,'#ligaSYR'!$B:$R,17,0)</f>
        <v>2</v>
      </c>
      <c r="S20" s="31">
        <f>SUM(C20:R20)</f>
        <v>31.772416666666668</v>
      </c>
      <c r="T20" s="31">
        <f>SUMIFS(Data!D:D,Data!A:A,B20)</f>
        <v>94.56</v>
      </c>
    </row>
    <row r="21" spans="1:20" ht="13" x14ac:dyDescent="0.3">
      <c r="A21" s="79">
        <v>20</v>
      </c>
      <c r="B21" s="30" t="s">
        <v>383</v>
      </c>
      <c r="C21" s="31" t="str">
        <f>IF(SUMIFS(Data!$U:$U,Data!$A:$A,$B21,Data!$C:$C,C$1)=0,"",SUMIFS(Data!$U:$U,Data!$A:$A,$B21,Data!$C:$C,C$1))</f>
        <v/>
      </c>
      <c r="D21" s="31">
        <f>IF(SUMIFS(Data!$U:$U,Data!$A:$A,$B21,Data!$C:$C,D$1)=0,"",SUMIFS(Data!$U:$U,Data!$A:$A,$B21,Data!$C:$C,D$1))</f>
        <v>2.36</v>
      </c>
      <c r="E21" s="31">
        <f>IF(SUMIFS(Data!$U:$U,Data!$A:$A,$B21,Data!$C:$C,E$1)=0,"",SUMIFS(Data!$U:$U,Data!$A:$A,$B21,Data!$C:$C,E$1))</f>
        <v>2.5362499999999999</v>
      </c>
      <c r="F21" s="31">
        <f>IF(SUMIFS(Data!$U:$U,Data!$A:$A,$B21,Data!$C:$C,F$1)=0,"",SUMIFS(Data!$U:$U,Data!$A:$A,$B21,Data!$C:$C,F$1))</f>
        <v>1.5</v>
      </c>
      <c r="G21" s="31">
        <f>IF(SUMIFS(Data!$U:$U,Data!$A:$A,$B21,Data!$C:$C,G$1)=0,"",SUMIFS(Data!$U:$U,Data!$A:$A,$B21,Data!$C:$C,G$1))</f>
        <v>1.6875</v>
      </c>
      <c r="H21" s="31">
        <f>IF(SUMIFS(Data!$U:$U,Data!$A:$A,$B21,Data!$C:$C,H$1)=0,"",SUMIFS(Data!$U:$U,Data!$A:$A,$B21,Data!$C:$C,H$1))</f>
        <v>1.940625</v>
      </c>
      <c r="I21" s="31">
        <f>IF(SUMIFS(Data!$U:$U,Data!$A:$A,$B21,Data!$C:$C,I$1)=0,"",SUMIFS(Data!$U:$U,Data!$A:$A,$B21,Data!$C:$C,I$1))</f>
        <v>2.0637499999999998</v>
      </c>
      <c r="J21" s="31">
        <f>IF(SUMIFS(Data!$U:$U,Data!$A:$A,$B21,Data!$C:$C,J$1)=0,"",SUMIFS(Data!$U:$U,Data!$A:$A,$B21,Data!$C:$C,J$1))</f>
        <v>2.5825</v>
      </c>
      <c r="K21" s="31">
        <f>IF(SUMIFS(Data!$U:$U,Data!$A:$A,$B21,Data!$C:$C,K$1)=0,"",SUMIFS(Data!$U:$U,Data!$A:$A,$B21,Data!$C:$C,K$1))</f>
        <v>2.3149999999999999</v>
      </c>
      <c r="L21" s="31">
        <f>IF(SUMIFS(Data!$U:$U,Data!$A:$A,$B21,Data!$C:$C,L$1)=0,"",SUMIFS(Data!$U:$U,Data!$A:$A,$B21,Data!$C:$C,L$1))</f>
        <v>3.411</v>
      </c>
      <c r="M21" s="31">
        <f>IF(SUMIFS(Data!$U:$U,Data!$A:$A,$B21,Data!$C:$C,M$1)=0,"",SUMIFS(Data!$U:$U,Data!$A:$A,$B21,Data!$C:$C,M$1))</f>
        <v>2.69</v>
      </c>
      <c r="N21" s="31">
        <f>IF(SUMIFS(Data!$U:$U,Data!$A:$A,$B21,Data!$C:$C,N$1)=0,"",SUMIFS(Data!$U:$U,Data!$A:$A,$B21,Data!$C:$C,N$1))</f>
        <v>1.5</v>
      </c>
      <c r="O21" s="31" t="str">
        <f>IF(SUMIFS(Data!$U:$U,Data!$A:$A,$B21,Data!$C:$C,O$1)=0,"",SUMIFS(Data!$U:$U,Data!$A:$A,$B21,Data!$C:$C,O$1))</f>
        <v/>
      </c>
      <c r="P21" s="31">
        <f>IF(SUMIFS(Data!$U:$U,Data!$A:$A,$B21,Data!$C:$C,P$1)=0,"",SUMIFS(Data!$U:$U,Data!$A:$A,$B21,Data!$C:$C,P$1))</f>
        <v>1.5631249999999999</v>
      </c>
      <c r="Q21" s="31">
        <f>IF(SUMIFS(Data!$U:$U,Data!$A:$A,$B21,Data!$C:$C,Q$1)=0,"",SUMIFS(Data!$U:$U,Data!$A:$A,$B21,Data!$C:$C,Q$1))</f>
        <v>1.3462499999999999</v>
      </c>
      <c r="R21" s="31">
        <f>VLOOKUP(B21,'#ligaSYR'!$B:$R,17,0)</f>
        <v>4</v>
      </c>
      <c r="S21" s="31">
        <f>SUM(C21:R21)</f>
        <v>31.496000000000006</v>
      </c>
      <c r="T21" s="31">
        <f>SUMIFS(Data!D:D,Data!A:A,B21)</f>
        <v>138.20000000000002</v>
      </c>
    </row>
    <row r="22" spans="1:20" ht="13" x14ac:dyDescent="0.3">
      <c r="A22" s="79">
        <v>21</v>
      </c>
      <c r="B22" s="30" t="s">
        <v>100</v>
      </c>
      <c r="C22" s="31">
        <f>IF(SUMIFS(Data!$U:$U,Data!$A:$A,$B22,Data!$C:$C,C$1)=0,"",SUMIFS(Data!$U:$U,Data!$A:$A,$B22,Data!$C:$C,C$1))</f>
        <v>2.7512499999999998</v>
      </c>
      <c r="D22" s="31">
        <f>IF(SUMIFS(Data!$U:$U,Data!$A:$A,$B22,Data!$C:$C,D$1)=0,"",SUMIFS(Data!$U:$U,Data!$A:$A,$B22,Data!$C:$C,D$1))</f>
        <v>1.5</v>
      </c>
      <c r="E22" s="31">
        <f>IF(SUMIFS(Data!$U:$U,Data!$A:$A,$B22,Data!$C:$C,E$1)=0,"",SUMIFS(Data!$U:$U,Data!$A:$A,$B22,Data!$C:$C,E$1))</f>
        <v>2.2524999999999999</v>
      </c>
      <c r="F22" s="31" t="str">
        <f>IF(SUMIFS(Data!$U:$U,Data!$A:$A,$B22,Data!$C:$C,F$1)=0,"",SUMIFS(Data!$U:$U,Data!$A:$A,$B22,Data!$C:$C,F$1))</f>
        <v/>
      </c>
      <c r="G22" s="31">
        <f>IF(SUMIFS(Data!$U:$U,Data!$A:$A,$B22,Data!$C:$C,G$1)=0,"",SUMIFS(Data!$U:$U,Data!$A:$A,$B22,Data!$C:$C,G$1))</f>
        <v>2.5587499999999999</v>
      </c>
      <c r="H22" s="31">
        <f>IF(SUMIFS(Data!$U:$U,Data!$A:$A,$B22,Data!$C:$C,H$1)=0,"",SUMIFS(Data!$U:$U,Data!$A:$A,$B22,Data!$C:$C,H$1))</f>
        <v>1.87625</v>
      </c>
      <c r="I22" s="31">
        <f>IF(SUMIFS(Data!$U:$U,Data!$A:$A,$B22,Data!$C:$C,I$1)=0,"",SUMIFS(Data!$U:$U,Data!$A:$A,$B22,Data!$C:$C,I$1))</f>
        <v>1.1743333333333332</v>
      </c>
      <c r="J22" s="31">
        <f>IF(SUMIFS(Data!$U:$U,Data!$A:$A,$B22,Data!$C:$C,J$1)=0,"",SUMIFS(Data!$U:$U,Data!$A:$A,$B22,Data!$C:$C,J$1))</f>
        <v>2.2562500000000001</v>
      </c>
      <c r="K22" s="31">
        <f>IF(SUMIFS(Data!$U:$U,Data!$A:$A,$B22,Data!$C:$C,K$1)=0,"",SUMIFS(Data!$U:$U,Data!$A:$A,$B22,Data!$C:$C,K$1))</f>
        <v>2.6887499999999998</v>
      </c>
      <c r="L22" s="31">
        <f>IF(SUMIFS(Data!$U:$U,Data!$A:$A,$B22,Data!$C:$C,L$1)=0,"",SUMIFS(Data!$U:$U,Data!$A:$A,$B22,Data!$C:$C,L$1))</f>
        <v>2.2512499999999998</v>
      </c>
      <c r="M22" s="31">
        <f>IF(SUMIFS(Data!$U:$U,Data!$A:$A,$B22,Data!$C:$C,M$1)=0,"",SUMIFS(Data!$U:$U,Data!$A:$A,$B22,Data!$C:$C,M$1))</f>
        <v>2.4381249999999999</v>
      </c>
      <c r="N22" s="31">
        <f>IF(SUMIFS(Data!$U:$U,Data!$A:$A,$B22,Data!$C:$C,N$1)=0,"",SUMIFS(Data!$U:$U,Data!$A:$A,$B22,Data!$C:$C,N$1))</f>
        <v>2.3768750000000001</v>
      </c>
      <c r="O22" s="31" t="str">
        <f>IF(SUMIFS(Data!$U:$U,Data!$A:$A,$B22,Data!$C:$C,O$1)=0,"",SUMIFS(Data!$U:$U,Data!$A:$A,$B22,Data!$C:$C,O$1))</f>
        <v/>
      </c>
      <c r="P22" s="31">
        <f>IF(SUMIFS(Data!$U:$U,Data!$A:$A,$B22,Data!$C:$C,P$1)=0,"",SUMIFS(Data!$U:$U,Data!$A:$A,$B22,Data!$C:$C,P$1))</f>
        <v>2.1262499999999998</v>
      </c>
      <c r="Q22" s="31">
        <f>IF(SUMIFS(Data!$U:$U,Data!$A:$A,$B22,Data!$C:$C,Q$1)=0,"",SUMIFS(Data!$U:$U,Data!$A:$A,$B22,Data!$C:$C,Q$1))</f>
        <v>1.81375</v>
      </c>
      <c r="R22" s="31">
        <f>VLOOKUP(B22,'#ligaSYR'!$B:$R,17,0)</f>
        <v>3</v>
      </c>
      <c r="S22" s="31">
        <f>SUM(C22:R22)</f>
        <v>31.06433333333333</v>
      </c>
      <c r="T22" s="31">
        <f>SUMIFS(Data!D:D,Data!A:A,B22)</f>
        <v>125.74</v>
      </c>
    </row>
    <row r="23" spans="1:20" ht="13" x14ac:dyDescent="0.3">
      <c r="A23" s="79">
        <v>22</v>
      </c>
      <c r="B23" s="30" t="s">
        <v>292</v>
      </c>
      <c r="C23" s="31">
        <f>IF(SUMIFS(Data!$U:$U,Data!$A:$A,$B23,Data!$C:$C,C$1)=0,"",SUMIFS(Data!$U:$U,Data!$A:$A,$B23,Data!$C:$C,C$1))</f>
        <v>2.214</v>
      </c>
      <c r="D23" s="31">
        <f>IF(SUMIFS(Data!$U:$U,Data!$A:$A,$B23,Data!$C:$C,D$1)=0,"",SUMIFS(Data!$U:$U,Data!$A:$A,$B23,Data!$C:$C,D$1))</f>
        <v>1.110625</v>
      </c>
      <c r="E23" s="31">
        <f>IF(SUMIFS(Data!$U:$U,Data!$A:$A,$B23,Data!$C:$C,E$1)=0,"",SUMIFS(Data!$U:$U,Data!$A:$A,$B23,Data!$C:$C,E$1))</f>
        <v>1.2521249999999999</v>
      </c>
      <c r="F23" s="31">
        <f>IF(SUMIFS(Data!$U:$U,Data!$A:$A,$B23,Data!$C:$C,F$1)=0,"",SUMIFS(Data!$U:$U,Data!$A:$A,$B23,Data!$C:$C,F$1))</f>
        <v>1.7995000000000001</v>
      </c>
      <c r="G23" s="31">
        <f>IF(SUMIFS(Data!$U:$U,Data!$A:$A,$B23,Data!$C:$C,G$1)=0,"",SUMIFS(Data!$U:$U,Data!$A:$A,$B23,Data!$C:$C,G$1))</f>
        <v>1.5479166666666666</v>
      </c>
      <c r="H23" s="31">
        <f>IF(SUMIFS(Data!$U:$U,Data!$A:$A,$B23,Data!$C:$C,H$1)=0,"",SUMIFS(Data!$U:$U,Data!$A:$A,$B23,Data!$C:$C,H$1))</f>
        <v>1.6941249999999999</v>
      </c>
      <c r="I23" s="31">
        <f>IF(SUMIFS(Data!$U:$U,Data!$A:$A,$B23,Data!$C:$C,I$1)=0,"",SUMIFS(Data!$U:$U,Data!$A:$A,$B23,Data!$C:$C,I$1))</f>
        <v>1.9905833333333334</v>
      </c>
      <c r="J23" s="31">
        <f>IF(SUMIFS(Data!$U:$U,Data!$A:$A,$B23,Data!$C:$C,J$1)=0,"",SUMIFS(Data!$U:$U,Data!$A:$A,$B23,Data!$C:$C,J$1))</f>
        <v>1.4720833333333334</v>
      </c>
      <c r="K23" s="31">
        <f>IF(SUMIFS(Data!$U:$U,Data!$A:$A,$B23,Data!$C:$C,K$1)=0,"",SUMIFS(Data!$U:$U,Data!$A:$A,$B23,Data!$C:$C,K$1))</f>
        <v>2.4135</v>
      </c>
      <c r="L23" s="31">
        <f>IF(SUMIFS(Data!$U:$U,Data!$A:$A,$B23,Data!$C:$C,L$1)=0,"",SUMIFS(Data!$U:$U,Data!$A:$A,$B23,Data!$C:$C,L$1))</f>
        <v>3.2878333333333334</v>
      </c>
      <c r="M23" s="31">
        <f>IF(SUMIFS(Data!$U:$U,Data!$A:$A,$B23,Data!$C:$C,M$1)=0,"",SUMIFS(Data!$U:$U,Data!$A:$A,$B23,Data!$C:$C,M$1))</f>
        <v>1.2924166666666668</v>
      </c>
      <c r="N23" s="31">
        <f>IF(SUMIFS(Data!$U:$U,Data!$A:$A,$B23,Data!$C:$C,N$1)=0,"",SUMIFS(Data!$U:$U,Data!$A:$A,$B23,Data!$C:$C,N$1))</f>
        <v>1.4237500000000001</v>
      </c>
      <c r="O23" s="31">
        <f>IF(SUMIFS(Data!$U:$U,Data!$A:$A,$B23,Data!$C:$C,O$1)=0,"",SUMIFS(Data!$U:$U,Data!$A:$A,$B23,Data!$C:$C,O$1))</f>
        <v>3</v>
      </c>
      <c r="P23" s="31" t="str">
        <f>IF(SUMIFS(Data!$U:$U,Data!$A:$A,$B23,Data!$C:$C,P$1)=0,"",SUMIFS(Data!$U:$U,Data!$A:$A,$B23,Data!$C:$C,P$1))</f>
        <v/>
      </c>
      <c r="Q23" s="31">
        <f>IF(SUMIFS(Data!$U:$U,Data!$A:$A,$B23,Data!$C:$C,Q$1)=0,"",SUMIFS(Data!$U:$U,Data!$A:$A,$B23,Data!$C:$C,Q$1))</f>
        <v>1.9808333333333332</v>
      </c>
      <c r="R23" s="31">
        <f>VLOOKUP(B23,'#ligaSYR'!$B:$R,17,0)</f>
        <v>3</v>
      </c>
      <c r="S23" s="31">
        <f>SUM(C23:R23)</f>
        <v>29.479291666666665</v>
      </c>
      <c r="T23" s="31">
        <f>SUMIFS(Data!D:D,Data!A:A,B23)</f>
        <v>198.53000000000003</v>
      </c>
    </row>
    <row r="24" spans="1:20" ht="13" x14ac:dyDescent="0.3">
      <c r="A24" s="79">
        <v>23</v>
      </c>
      <c r="B24" s="30" t="s">
        <v>241</v>
      </c>
      <c r="C24" s="31">
        <f>IF(SUMIFS(Data!$U:$U,Data!$A:$A,$B24,Data!$C:$C,C$1)=0,"",SUMIFS(Data!$U:$U,Data!$A:$A,$B24,Data!$C:$C,C$1))</f>
        <v>1.37625</v>
      </c>
      <c r="D24" s="31">
        <f>IF(SUMIFS(Data!$U:$U,Data!$A:$A,$B24,Data!$C:$C,D$1)=0,"",SUMIFS(Data!$U:$U,Data!$A:$A,$B24,Data!$C:$C,D$1))</f>
        <v>2.3762499999999998</v>
      </c>
      <c r="E24" s="31">
        <f>IF(SUMIFS(Data!$U:$U,Data!$A:$A,$B24,Data!$C:$C,E$1)=0,"",SUMIFS(Data!$U:$U,Data!$A:$A,$B24,Data!$C:$C,E$1))</f>
        <v>1.9228333333333334</v>
      </c>
      <c r="F24" s="31">
        <f>IF(SUMIFS(Data!$U:$U,Data!$A:$A,$B24,Data!$C:$C,F$1)=0,"",SUMIFS(Data!$U:$U,Data!$A:$A,$B24,Data!$C:$C,F$1))</f>
        <v>1.8393333333333335</v>
      </c>
      <c r="G24" s="31">
        <f>IF(SUMIFS(Data!$U:$U,Data!$A:$A,$B24,Data!$C:$C,G$1)=0,"",SUMIFS(Data!$U:$U,Data!$A:$A,$B24,Data!$C:$C,G$1))</f>
        <v>1.5</v>
      </c>
      <c r="H24" s="31">
        <f>IF(SUMIFS(Data!$U:$U,Data!$A:$A,$B24,Data!$C:$C,H$1)=0,"",SUMIFS(Data!$U:$U,Data!$A:$A,$B24,Data!$C:$C,H$1))</f>
        <v>1.3812500000000001</v>
      </c>
      <c r="I24" s="31" t="str">
        <f>IF(SUMIFS(Data!$U:$U,Data!$A:$A,$B24,Data!$C:$C,I$1)=0,"",SUMIFS(Data!$U:$U,Data!$A:$A,$B24,Data!$C:$C,I$1))</f>
        <v/>
      </c>
      <c r="J24" s="31" t="str">
        <f>IF(SUMIFS(Data!$U:$U,Data!$A:$A,$B24,Data!$C:$C,J$1)=0,"",SUMIFS(Data!$U:$U,Data!$A:$A,$B24,Data!$C:$C,J$1))</f>
        <v/>
      </c>
      <c r="K24" s="31">
        <f>IF(SUMIFS(Data!$U:$U,Data!$A:$A,$B24,Data!$C:$C,K$1)=0,"",SUMIFS(Data!$U:$U,Data!$A:$A,$B24,Data!$C:$C,K$1))</f>
        <v>2.5006249999999999</v>
      </c>
      <c r="L24" s="31">
        <f>IF(SUMIFS(Data!$U:$U,Data!$A:$A,$B24,Data!$C:$C,L$1)=0,"",SUMIFS(Data!$U:$U,Data!$A:$A,$B24,Data!$C:$C,L$1))</f>
        <v>2.3787500000000001</v>
      </c>
      <c r="M24" s="31">
        <f>IF(SUMIFS(Data!$U:$U,Data!$A:$A,$B24,Data!$C:$C,M$1)=0,"",SUMIFS(Data!$U:$U,Data!$A:$A,$B24,Data!$C:$C,M$1))</f>
        <v>1.6881249999999999</v>
      </c>
      <c r="N24" s="31">
        <f>IF(SUMIFS(Data!$U:$U,Data!$A:$A,$B24,Data!$C:$C,N$1)=0,"",SUMIFS(Data!$U:$U,Data!$A:$A,$B24,Data!$C:$C,N$1))</f>
        <v>2.09375</v>
      </c>
      <c r="O24" s="31">
        <f>IF(SUMIFS(Data!$U:$U,Data!$A:$A,$B24,Data!$C:$C,O$1)=0,"",SUMIFS(Data!$U:$U,Data!$A:$A,$B24,Data!$C:$C,O$1))</f>
        <v>2.5030833333333335</v>
      </c>
      <c r="P24" s="31">
        <f>IF(SUMIFS(Data!$U:$U,Data!$A:$A,$B24,Data!$C:$C,P$1)=0,"",SUMIFS(Data!$U:$U,Data!$A:$A,$B24,Data!$C:$C,P$1))</f>
        <v>2.71875</v>
      </c>
      <c r="Q24" s="31">
        <f>IF(SUMIFS(Data!$U:$U,Data!$A:$A,$B24,Data!$C:$C,Q$1)=0,"",SUMIFS(Data!$U:$U,Data!$A:$A,$B24,Data!$C:$C,Q$1))</f>
        <v>2.1757083333333331</v>
      </c>
      <c r="R24" s="31">
        <f>VLOOKUP(B24,'#ligaSYR'!$B:$R,17,0)</f>
        <v>3</v>
      </c>
      <c r="S24" s="31">
        <f>SUM(C24:R24)</f>
        <v>29.454708333333333</v>
      </c>
      <c r="T24" s="31">
        <f>SUMIFS(Data!D:D,Data!A:A,B24)</f>
        <v>67.760000000000005</v>
      </c>
    </row>
    <row r="25" spans="1:20" ht="13" x14ac:dyDescent="0.3">
      <c r="A25" s="79">
        <v>24</v>
      </c>
      <c r="B25" s="30" t="s">
        <v>370</v>
      </c>
      <c r="C25" s="31">
        <f>IF(SUMIFS(Data!$U:$U,Data!$A:$A,$B25,Data!$C:$C,C$1)=0,"",SUMIFS(Data!$U:$U,Data!$A:$A,$B25,Data!$C:$C,C$1))</f>
        <v>2.316875</v>
      </c>
      <c r="D25" s="31">
        <f>IF(SUMIFS(Data!$U:$U,Data!$A:$A,$B25,Data!$C:$C,D$1)=0,"",SUMIFS(Data!$U:$U,Data!$A:$A,$B25,Data!$C:$C,D$1))</f>
        <v>2.5012499999999998</v>
      </c>
      <c r="E25" s="31">
        <f>IF(SUMIFS(Data!$U:$U,Data!$A:$A,$B25,Data!$C:$C,E$1)=0,"",SUMIFS(Data!$U:$U,Data!$A:$A,$B25,Data!$C:$C,E$1))</f>
        <v>2.00875</v>
      </c>
      <c r="F25" s="31" t="str">
        <f>IF(SUMIFS(Data!$U:$U,Data!$A:$A,$B25,Data!$C:$C,F$1)=0,"",SUMIFS(Data!$U:$U,Data!$A:$A,$B25,Data!$C:$C,F$1))</f>
        <v/>
      </c>
      <c r="G25" s="31" t="str">
        <f>IF(SUMIFS(Data!$U:$U,Data!$A:$A,$B25,Data!$C:$C,G$1)=0,"",SUMIFS(Data!$U:$U,Data!$A:$A,$B25,Data!$C:$C,G$1))</f>
        <v/>
      </c>
      <c r="H25" s="31">
        <f>IF(SUMIFS(Data!$U:$U,Data!$A:$A,$B25,Data!$C:$C,H$1)=0,"",SUMIFS(Data!$U:$U,Data!$A:$A,$B25,Data!$C:$C,H$1))</f>
        <v>3.0681250000000002</v>
      </c>
      <c r="I25" s="31">
        <f>IF(SUMIFS(Data!$U:$U,Data!$A:$A,$B25,Data!$C:$C,I$1)=0,"",SUMIFS(Data!$U:$U,Data!$A:$A,$B25,Data!$C:$C,I$1))</f>
        <v>2.831</v>
      </c>
      <c r="J25" s="31">
        <f>IF(SUMIFS(Data!$U:$U,Data!$A:$A,$B25,Data!$C:$C,J$1)=0,"",SUMIFS(Data!$U:$U,Data!$A:$A,$B25,Data!$C:$C,J$1))</f>
        <v>1.5</v>
      </c>
      <c r="K25" s="31">
        <f>IF(SUMIFS(Data!$U:$U,Data!$A:$A,$B25,Data!$C:$C,K$1)=0,"",SUMIFS(Data!$U:$U,Data!$A:$A,$B25,Data!$C:$C,K$1))</f>
        <v>2.645</v>
      </c>
      <c r="L25" s="31">
        <f>IF(SUMIFS(Data!$U:$U,Data!$A:$A,$B25,Data!$C:$C,L$1)=0,"",SUMIFS(Data!$U:$U,Data!$A:$A,$B25,Data!$C:$C,L$1))</f>
        <v>2.0175000000000001</v>
      </c>
      <c r="M25" s="31">
        <f>IF(SUMIFS(Data!$U:$U,Data!$A:$A,$B25,Data!$C:$C,M$1)=0,"",SUMIFS(Data!$U:$U,Data!$A:$A,$B25,Data!$C:$C,M$1))</f>
        <v>2.0681250000000002</v>
      </c>
      <c r="N25" s="31">
        <f>IF(SUMIFS(Data!$U:$U,Data!$A:$A,$B25,Data!$C:$C,N$1)=0,"",SUMIFS(Data!$U:$U,Data!$A:$A,$B25,Data!$C:$C,N$1))</f>
        <v>2.3781249999999998</v>
      </c>
      <c r="O25" s="31">
        <f>IF(SUMIFS(Data!$U:$U,Data!$A:$A,$B25,Data!$C:$C,O$1)=0,"",SUMIFS(Data!$U:$U,Data!$A:$A,$B25,Data!$C:$C,O$1))</f>
        <v>2.4236666666666666</v>
      </c>
      <c r="P25" s="31" t="str">
        <f>IF(SUMIFS(Data!$U:$U,Data!$A:$A,$B25,Data!$C:$C,P$1)=0,"",SUMIFS(Data!$U:$U,Data!$A:$A,$B25,Data!$C:$C,P$1))</f>
        <v/>
      </c>
      <c r="Q25" s="31" t="str">
        <f>IF(SUMIFS(Data!$U:$U,Data!$A:$A,$B25,Data!$C:$C,Q$1)=0,"",SUMIFS(Data!$U:$U,Data!$A:$A,$B25,Data!$C:$C,Q$1))</f>
        <v/>
      </c>
      <c r="R25" s="31">
        <f>VLOOKUP(B25,'#ligaSYR'!$B:$R,17,0)</f>
        <v>3</v>
      </c>
      <c r="S25" s="31">
        <f>SUM(C25:R25)</f>
        <v>28.758416666666669</v>
      </c>
      <c r="T25" s="31">
        <f>SUMIFS(Data!D:D,Data!A:A,B25)</f>
        <v>98.219999999999985</v>
      </c>
    </row>
    <row r="26" spans="1:20" ht="13" x14ac:dyDescent="0.3">
      <c r="A26" s="79">
        <v>25</v>
      </c>
      <c r="B26" s="30" t="s">
        <v>396</v>
      </c>
      <c r="C26" s="31" t="str">
        <f>IF(SUMIFS(Data!$U:$U,Data!$A:$A,$B26,Data!$C:$C,C$1)=0,"",SUMIFS(Data!$U:$U,Data!$A:$A,$B26,Data!$C:$C,C$1))</f>
        <v/>
      </c>
      <c r="D26" s="31" t="str">
        <f>IF(SUMIFS(Data!$U:$U,Data!$A:$A,$B26,Data!$C:$C,D$1)=0,"",SUMIFS(Data!$U:$U,Data!$A:$A,$B26,Data!$C:$C,D$1))</f>
        <v/>
      </c>
      <c r="E26" s="31" t="str">
        <f>IF(SUMIFS(Data!$U:$U,Data!$A:$A,$B26,Data!$C:$C,E$1)=0,"",SUMIFS(Data!$U:$U,Data!$A:$A,$B26,Data!$C:$C,E$1))</f>
        <v/>
      </c>
      <c r="F26" s="31">
        <f>IF(SUMIFS(Data!$U:$U,Data!$A:$A,$B26,Data!$C:$C,F$1)=0,"",SUMIFS(Data!$U:$U,Data!$A:$A,$B26,Data!$C:$C,F$1))</f>
        <v>3.1894166666666668</v>
      </c>
      <c r="G26" s="31">
        <f>IF(SUMIFS(Data!$U:$U,Data!$A:$A,$B26,Data!$C:$C,G$1)=0,"",SUMIFS(Data!$U:$U,Data!$A:$A,$B26,Data!$C:$C,G$1))</f>
        <v>2.1654999999999998</v>
      </c>
      <c r="H26" s="31">
        <f>IF(SUMIFS(Data!$U:$U,Data!$A:$A,$B26,Data!$C:$C,H$1)=0,"",SUMIFS(Data!$U:$U,Data!$A:$A,$B26,Data!$C:$C,H$1))</f>
        <v>2.7687499999999998</v>
      </c>
      <c r="I26" s="31">
        <f>IF(SUMIFS(Data!$U:$U,Data!$A:$A,$B26,Data!$C:$C,I$1)=0,"",SUMIFS(Data!$U:$U,Data!$A:$A,$B26,Data!$C:$C,I$1))</f>
        <v>2.875</v>
      </c>
      <c r="J26" s="31">
        <f>IF(SUMIFS(Data!$U:$U,Data!$A:$A,$B26,Data!$C:$C,J$1)=0,"",SUMIFS(Data!$U:$U,Data!$A:$A,$B26,Data!$C:$C,J$1))</f>
        <v>1.5075000000000001</v>
      </c>
      <c r="K26" s="31">
        <f>IF(SUMIFS(Data!$U:$U,Data!$A:$A,$B26,Data!$C:$C,K$1)=0,"",SUMIFS(Data!$U:$U,Data!$A:$A,$B26,Data!$C:$C,K$1))</f>
        <v>2.3962500000000002</v>
      </c>
      <c r="L26" s="31">
        <f>IF(SUMIFS(Data!$U:$U,Data!$A:$A,$B26,Data!$C:$C,L$1)=0,"",SUMIFS(Data!$U:$U,Data!$A:$A,$B26,Data!$C:$C,L$1))</f>
        <v>1.2631250000000001</v>
      </c>
      <c r="M26" s="31">
        <f>IF(SUMIFS(Data!$U:$U,Data!$A:$A,$B26,Data!$C:$C,M$1)=0,"",SUMIFS(Data!$U:$U,Data!$A:$A,$B26,Data!$C:$C,M$1))</f>
        <v>1.5925</v>
      </c>
      <c r="N26" s="31">
        <f>IF(SUMIFS(Data!$U:$U,Data!$A:$A,$B26,Data!$C:$C,N$1)=0,"",SUMIFS(Data!$U:$U,Data!$A:$A,$B26,Data!$C:$C,N$1))</f>
        <v>2.140625</v>
      </c>
      <c r="O26" s="31" t="str">
        <f>IF(SUMIFS(Data!$U:$U,Data!$A:$A,$B26,Data!$C:$C,O$1)=0,"",SUMIFS(Data!$U:$U,Data!$A:$A,$B26,Data!$C:$C,O$1))</f>
        <v/>
      </c>
      <c r="P26" s="31">
        <f>IF(SUMIFS(Data!$U:$U,Data!$A:$A,$B26,Data!$C:$C,P$1)=0,"",SUMIFS(Data!$U:$U,Data!$A:$A,$B26,Data!$C:$C,P$1))</f>
        <v>2.0912500000000001</v>
      </c>
      <c r="Q26" s="31">
        <f>IF(SUMIFS(Data!$U:$U,Data!$A:$A,$B26,Data!$C:$C,Q$1)=0,"",SUMIFS(Data!$U:$U,Data!$A:$A,$B26,Data!$C:$C,Q$1))</f>
        <v>1.6825000000000001</v>
      </c>
      <c r="R26" s="31">
        <f>VLOOKUP(B26,'#ligaSYR'!$B:$R,17,0)</f>
        <v>3</v>
      </c>
      <c r="S26" s="31">
        <f>SUM(C26:R26)</f>
        <v>26.672416666666667</v>
      </c>
      <c r="T26" s="31">
        <f>SUMIFS(Data!D:D,Data!A:A,B26)</f>
        <v>102.18999999999998</v>
      </c>
    </row>
    <row r="27" spans="1:20" ht="13" x14ac:dyDescent="0.3">
      <c r="A27" s="79">
        <v>26</v>
      </c>
      <c r="B27" s="30" t="s">
        <v>390</v>
      </c>
      <c r="C27" s="31" t="str">
        <f>IF(SUMIFS(Data!$U:$U,Data!$A:$A,$B27,Data!$C:$C,C$1)=0,"",SUMIFS(Data!$U:$U,Data!$A:$A,$B27,Data!$C:$C,C$1))</f>
        <v/>
      </c>
      <c r="D27" s="31" t="str">
        <f>IF(SUMIFS(Data!$U:$U,Data!$A:$A,$B27,Data!$C:$C,D$1)=0,"",SUMIFS(Data!$U:$U,Data!$A:$A,$B27,Data!$C:$C,D$1))</f>
        <v/>
      </c>
      <c r="E27" s="31">
        <f>IF(SUMIFS(Data!$U:$U,Data!$A:$A,$B27,Data!$C:$C,E$1)=0,"",SUMIFS(Data!$U:$U,Data!$A:$A,$B27,Data!$C:$C,E$1))</f>
        <v>2.6398333333333333</v>
      </c>
      <c r="F27" s="31">
        <f>IF(SUMIFS(Data!$U:$U,Data!$A:$A,$B27,Data!$C:$C,F$1)=0,"",SUMIFS(Data!$U:$U,Data!$A:$A,$B27,Data!$C:$C,F$1))</f>
        <v>2.30125</v>
      </c>
      <c r="G27" s="31">
        <f>IF(SUMIFS(Data!$U:$U,Data!$A:$A,$B27,Data!$C:$C,G$1)=0,"",SUMIFS(Data!$U:$U,Data!$A:$A,$B27,Data!$C:$C,G$1))</f>
        <v>2.5887500000000001</v>
      </c>
      <c r="H27" s="31" t="str">
        <f>IF(SUMIFS(Data!$U:$U,Data!$A:$A,$B27,Data!$C:$C,H$1)=0,"",SUMIFS(Data!$U:$U,Data!$A:$A,$B27,Data!$C:$C,H$1))</f>
        <v/>
      </c>
      <c r="I27" s="31">
        <f>IF(SUMIFS(Data!$U:$U,Data!$A:$A,$B27,Data!$C:$C,I$1)=0,"",SUMIFS(Data!$U:$U,Data!$A:$A,$B27,Data!$C:$C,I$1))</f>
        <v>2.3712499999999999</v>
      </c>
      <c r="J27" s="31">
        <f>IF(SUMIFS(Data!$U:$U,Data!$A:$A,$B27,Data!$C:$C,J$1)=0,"",SUMIFS(Data!$U:$U,Data!$A:$A,$B27,Data!$C:$C,J$1))</f>
        <v>2.53125</v>
      </c>
      <c r="K27" s="31" t="str">
        <f>IF(SUMIFS(Data!$U:$U,Data!$A:$A,$B27,Data!$C:$C,K$1)=0,"",SUMIFS(Data!$U:$U,Data!$A:$A,$B27,Data!$C:$C,K$1))</f>
        <v/>
      </c>
      <c r="L27" s="31" t="str">
        <f>IF(SUMIFS(Data!$U:$U,Data!$A:$A,$B27,Data!$C:$C,L$1)=0,"",SUMIFS(Data!$U:$U,Data!$A:$A,$B27,Data!$C:$C,L$1))</f>
        <v/>
      </c>
      <c r="M27" s="31">
        <f>IF(SUMIFS(Data!$U:$U,Data!$A:$A,$B27,Data!$C:$C,M$1)=0,"",SUMIFS(Data!$U:$U,Data!$A:$A,$B27,Data!$C:$C,M$1))</f>
        <v>2.4656250000000002</v>
      </c>
      <c r="N27" s="31" t="str">
        <f>IF(SUMIFS(Data!$U:$U,Data!$A:$A,$B27,Data!$C:$C,N$1)=0,"",SUMIFS(Data!$U:$U,Data!$A:$A,$B27,Data!$C:$C,N$1))</f>
        <v/>
      </c>
      <c r="O27" s="31">
        <f>IF(SUMIFS(Data!$U:$U,Data!$A:$A,$B27,Data!$C:$C,O$1)=0,"",SUMIFS(Data!$U:$U,Data!$A:$A,$B27,Data!$C:$C,O$1))</f>
        <v>2.9525833333333331</v>
      </c>
      <c r="P27" s="31">
        <f>IF(SUMIFS(Data!$U:$U,Data!$A:$A,$B27,Data!$C:$C,P$1)=0,"",SUMIFS(Data!$U:$U,Data!$A:$A,$B27,Data!$C:$C,P$1))</f>
        <v>3.1389166666666664</v>
      </c>
      <c r="Q27" s="31">
        <f>IF(SUMIFS(Data!$U:$U,Data!$A:$A,$B27,Data!$C:$C,Q$1)=0,"",SUMIFS(Data!$U:$U,Data!$A:$A,$B27,Data!$C:$C,Q$1))</f>
        <v>2.40625</v>
      </c>
      <c r="R27" s="31">
        <f>VLOOKUP(B27,'#ligaSYR'!$B:$R,17,0)</f>
        <v>1</v>
      </c>
      <c r="S27" s="31">
        <f>SUM(C27:R27)</f>
        <v>24.395708333333332</v>
      </c>
      <c r="T27" s="31">
        <f>SUMIFS(Data!D:D,Data!A:A,B27)</f>
        <v>89.52</v>
      </c>
    </row>
    <row r="28" spans="1:20" ht="13" x14ac:dyDescent="0.3">
      <c r="A28" s="79">
        <v>27</v>
      </c>
      <c r="B28" s="30" t="s">
        <v>398</v>
      </c>
      <c r="C28" s="31" t="str">
        <f>IF(SUMIFS(Data!$U:$U,Data!$A:$A,$B28,Data!$C:$C,C$1)=0,"",SUMIFS(Data!$U:$U,Data!$A:$A,$B28,Data!$C:$C,C$1))</f>
        <v/>
      </c>
      <c r="D28" s="31" t="str">
        <f>IF(SUMIFS(Data!$U:$U,Data!$A:$A,$B28,Data!$C:$C,D$1)=0,"",SUMIFS(Data!$U:$U,Data!$A:$A,$B28,Data!$C:$C,D$1))</f>
        <v/>
      </c>
      <c r="E28" s="31">
        <f>IF(SUMIFS(Data!$U:$U,Data!$A:$A,$B28,Data!$C:$C,E$1)=0,"",SUMIFS(Data!$U:$U,Data!$A:$A,$B28,Data!$C:$C,E$1))</f>
        <v>3.0536250000000003</v>
      </c>
      <c r="F28" s="31">
        <f>IF(SUMIFS(Data!$U:$U,Data!$A:$A,$B28,Data!$C:$C,F$1)=0,"",SUMIFS(Data!$U:$U,Data!$A:$A,$B28,Data!$C:$C,F$1))</f>
        <v>1.95875</v>
      </c>
      <c r="G28" s="31">
        <f>IF(SUMIFS(Data!$U:$U,Data!$A:$A,$B28,Data!$C:$C,G$1)=0,"",SUMIFS(Data!$U:$U,Data!$A:$A,$B28,Data!$C:$C,G$1))</f>
        <v>1.91</v>
      </c>
      <c r="H28" s="31">
        <f>IF(SUMIFS(Data!$U:$U,Data!$A:$A,$B28,Data!$C:$C,H$1)=0,"",SUMIFS(Data!$U:$U,Data!$A:$A,$B28,Data!$C:$C,H$1))</f>
        <v>2.0137499999999999</v>
      </c>
      <c r="I28" s="31" t="str">
        <f>IF(SUMIFS(Data!$U:$U,Data!$A:$A,$B28,Data!$C:$C,I$1)=0,"",SUMIFS(Data!$U:$U,Data!$A:$A,$B28,Data!$C:$C,I$1))</f>
        <v/>
      </c>
      <c r="J28" s="31">
        <f>IF(SUMIFS(Data!$U:$U,Data!$A:$A,$B28,Data!$C:$C,J$1)=0,"",SUMIFS(Data!$U:$U,Data!$A:$A,$B28,Data!$C:$C,J$1))</f>
        <v>1.5131250000000001</v>
      </c>
      <c r="K28" s="31">
        <f>IF(SUMIFS(Data!$U:$U,Data!$A:$A,$B28,Data!$C:$C,K$1)=0,"",SUMIFS(Data!$U:$U,Data!$A:$A,$B28,Data!$C:$C,K$1))</f>
        <v>2.0143750000000002</v>
      </c>
      <c r="L28" s="31" t="str">
        <f>IF(SUMIFS(Data!$U:$U,Data!$A:$A,$B28,Data!$C:$C,L$1)=0,"",SUMIFS(Data!$U:$U,Data!$A:$A,$B28,Data!$C:$C,L$1))</f>
        <v/>
      </c>
      <c r="M28" s="31" t="str">
        <f>IF(SUMIFS(Data!$U:$U,Data!$A:$A,$B28,Data!$C:$C,M$1)=0,"",SUMIFS(Data!$U:$U,Data!$A:$A,$B28,Data!$C:$C,M$1))</f>
        <v/>
      </c>
      <c r="N28" s="31" t="str">
        <f>IF(SUMIFS(Data!$U:$U,Data!$A:$A,$B28,Data!$C:$C,N$1)=0,"",SUMIFS(Data!$U:$U,Data!$A:$A,$B28,Data!$C:$C,N$1))</f>
        <v/>
      </c>
      <c r="O28" s="31" t="str">
        <f>IF(SUMIFS(Data!$U:$U,Data!$A:$A,$B28,Data!$C:$C,O$1)=0,"",SUMIFS(Data!$U:$U,Data!$A:$A,$B28,Data!$C:$C,O$1))</f>
        <v/>
      </c>
      <c r="P28" s="31" t="str">
        <f>IF(SUMIFS(Data!$U:$U,Data!$A:$A,$B28,Data!$C:$C,P$1)=0,"",SUMIFS(Data!$U:$U,Data!$A:$A,$B28,Data!$C:$C,P$1))</f>
        <v/>
      </c>
      <c r="Q28" s="31" t="str">
        <f>IF(SUMIFS(Data!$U:$U,Data!$A:$A,$B28,Data!$C:$C,Q$1)=0,"",SUMIFS(Data!$U:$U,Data!$A:$A,$B28,Data!$C:$C,Q$1))</f>
        <v/>
      </c>
      <c r="R28" s="31">
        <f>VLOOKUP(B28,'#ligaSYR'!$B:$R,17,0)</f>
        <v>0</v>
      </c>
      <c r="S28" s="31">
        <f>SUM(C28:R28)</f>
        <v>12.463625</v>
      </c>
      <c r="T28" s="31">
        <f>SUMIFS(Data!D:D,Data!A:A,B28)</f>
        <v>41.22</v>
      </c>
    </row>
    <row r="29" spans="1:20" ht="13" x14ac:dyDescent="0.3">
      <c r="A29" s="79">
        <v>28</v>
      </c>
      <c r="B29" s="30" t="s">
        <v>358</v>
      </c>
      <c r="C29" s="31">
        <f>IF(SUMIFS(Data!$U:$U,Data!$A:$A,$B29,Data!$C:$C,C$1)=0,"",SUMIFS(Data!$U:$U,Data!$A:$A,$B29,Data!$C:$C,C$1))</f>
        <v>3.1909999999999998</v>
      </c>
      <c r="D29" s="31">
        <f>IF(SUMIFS(Data!$U:$U,Data!$A:$A,$B29,Data!$C:$C,D$1)=0,"",SUMIFS(Data!$U:$U,Data!$A:$A,$B29,Data!$C:$C,D$1))</f>
        <v>1.5</v>
      </c>
      <c r="E29" s="31">
        <f>IF(SUMIFS(Data!$U:$U,Data!$A:$A,$B29,Data!$C:$C,E$1)=0,"",SUMIFS(Data!$U:$U,Data!$A:$A,$B29,Data!$C:$C,E$1))</f>
        <v>3.1998333333333333</v>
      </c>
      <c r="F29" s="31">
        <f>IF(SUMIFS(Data!$U:$U,Data!$A:$A,$B29,Data!$C:$C,F$1)=0,"",SUMIFS(Data!$U:$U,Data!$A:$A,$B29,Data!$C:$C,F$1))</f>
        <v>1.4728333333333334</v>
      </c>
      <c r="G29" s="31">
        <f>IF(SUMIFS(Data!$U:$U,Data!$A:$A,$B29,Data!$C:$C,G$1)=0,"",SUMIFS(Data!$U:$U,Data!$A:$A,$B29,Data!$C:$C,G$1))</f>
        <v>0.9395</v>
      </c>
      <c r="H29" s="31" t="str">
        <f>IF(SUMIFS(Data!$U:$U,Data!$A:$A,$B29,Data!$C:$C,H$1)=0,"",SUMIFS(Data!$U:$U,Data!$A:$A,$B29,Data!$C:$C,H$1))</f>
        <v/>
      </c>
      <c r="I29" s="31" t="str">
        <f>IF(SUMIFS(Data!$U:$U,Data!$A:$A,$B29,Data!$C:$C,I$1)=0,"",SUMIFS(Data!$U:$U,Data!$A:$A,$B29,Data!$C:$C,I$1))</f>
        <v/>
      </c>
      <c r="J29" s="31" t="str">
        <f>IF(SUMIFS(Data!$U:$U,Data!$A:$A,$B29,Data!$C:$C,J$1)=0,"",SUMIFS(Data!$U:$U,Data!$A:$A,$B29,Data!$C:$C,J$1))</f>
        <v/>
      </c>
      <c r="K29" s="31" t="str">
        <f>IF(SUMIFS(Data!$U:$U,Data!$A:$A,$B29,Data!$C:$C,K$1)=0,"",SUMIFS(Data!$U:$U,Data!$A:$A,$B29,Data!$C:$C,K$1))</f>
        <v/>
      </c>
      <c r="L29" s="31" t="str">
        <f>IF(SUMIFS(Data!$U:$U,Data!$A:$A,$B29,Data!$C:$C,L$1)=0,"",SUMIFS(Data!$U:$U,Data!$A:$A,$B29,Data!$C:$C,L$1))</f>
        <v/>
      </c>
      <c r="M29" s="31" t="str">
        <f>IF(SUMIFS(Data!$U:$U,Data!$A:$A,$B29,Data!$C:$C,M$1)=0,"",SUMIFS(Data!$U:$U,Data!$A:$A,$B29,Data!$C:$C,M$1))</f>
        <v/>
      </c>
      <c r="N29" s="31" t="str">
        <f>IF(SUMIFS(Data!$U:$U,Data!$A:$A,$B29,Data!$C:$C,N$1)=0,"",SUMIFS(Data!$U:$U,Data!$A:$A,$B29,Data!$C:$C,N$1))</f>
        <v/>
      </c>
      <c r="O29" s="31" t="str">
        <f>IF(SUMIFS(Data!$U:$U,Data!$A:$A,$B29,Data!$C:$C,O$1)=0,"",SUMIFS(Data!$U:$U,Data!$A:$A,$B29,Data!$C:$C,O$1))</f>
        <v/>
      </c>
      <c r="P29" s="31" t="str">
        <f>IF(SUMIFS(Data!$U:$U,Data!$A:$A,$B29,Data!$C:$C,P$1)=0,"",SUMIFS(Data!$U:$U,Data!$A:$A,$B29,Data!$C:$C,P$1))</f>
        <v/>
      </c>
      <c r="Q29" s="31" t="str">
        <f>IF(SUMIFS(Data!$U:$U,Data!$A:$A,$B29,Data!$C:$C,Q$1)=0,"",SUMIFS(Data!$U:$U,Data!$A:$A,$B29,Data!$C:$C,Q$1))</f>
        <v/>
      </c>
      <c r="R29" s="31">
        <f>VLOOKUP(B29,'#ligaSYR'!$B:$R,17,0)</f>
        <v>0</v>
      </c>
      <c r="S29" s="31">
        <f>SUM(C29:R29)</f>
        <v>10.303166666666668</v>
      </c>
      <c r="T29" s="31">
        <f>SUMIFS(Data!D:D,Data!A:A,B29)</f>
        <v>56.980000000000004</v>
      </c>
    </row>
    <row r="30" spans="1:20" ht="13" x14ac:dyDescent="0.3">
      <c r="A30" s="79">
        <v>29</v>
      </c>
      <c r="B30" s="30" t="s">
        <v>373</v>
      </c>
      <c r="C30" s="31">
        <f>IF(SUMIFS(Data!$U:$U,Data!$A:$A,$B30,Data!$C:$C,C$1)=0,"",SUMIFS(Data!$U:$U,Data!$A:$A,$B30,Data!$C:$C,C$1))</f>
        <v>1.7162500000000001</v>
      </c>
      <c r="D30" s="31">
        <f>IF(SUMIFS(Data!$U:$U,Data!$A:$A,$B30,Data!$C:$C,D$1)=0,"",SUMIFS(Data!$U:$U,Data!$A:$A,$B30,Data!$C:$C,D$1))</f>
        <v>2.9387499999999998</v>
      </c>
      <c r="E30" s="31">
        <f>IF(SUMIFS(Data!$U:$U,Data!$A:$A,$B30,Data!$C:$C,E$1)=0,"",SUMIFS(Data!$U:$U,Data!$A:$A,$B30,Data!$C:$C,E$1))</f>
        <v>3.223125</v>
      </c>
      <c r="F30" s="31">
        <f>IF(SUMIFS(Data!$U:$U,Data!$A:$A,$B30,Data!$C:$C,F$1)=0,"",SUMIFS(Data!$U:$U,Data!$A:$A,$B30,Data!$C:$C,F$1))</f>
        <v>1.9393750000000001</v>
      </c>
      <c r="G30" s="31" t="str">
        <f>IF(SUMIFS(Data!$U:$U,Data!$A:$A,$B30,Data!$C:$C,G$1)=0,"",SUMIFS(Data!$U:$U,Data!$A:$A,$B30,Data!$C:$C,G$1))</f>
        <v/>
      </c>
      <c r="H30" s="31" t="str">
        <f>IF(SUMIFS(Data!$U:$U,Data!$A:$A,$B30,Data!$C:$C,H$1)=0,"",SUMIFS(Data!$U:$U,Data!$A:$A,$B30,Data!$C:$C,H$1))</f>
        <v/>
      </c>
      <c r="I30" s="31" t="str">
        <f>IF(SUMIFS(Data!$U:$U,Data!$A:$A,$B30,Data!$C:$C,I$1)=0,"",SUMIFS(Data!$U:$U,Data!$A:$A,$B30,Data!$C:$C,I$1))</f>
        <v/>
      </c>
      <c r="J30" s="31" t="str">
        <f>IF(SUMIFS(Data!$U:$U,Data!$A:$A,$B30,Data!$C:$C,J$1)=0,"",SUMIFS(Data!$U:$U,Data!$A:$A,$B30,Data!$C:$C,J$1))</f>
        <v/>
      </c>
      <c r="K30" s="31" t="str">
        <f>IF(SUMIFS(Data!$U:$U,Data!$A:$A,$B30,Data!$C:$C,K$1)=0,"",SUMIFS(Data!$U:$U,Data!$A:$A,$B30,Data!$C:$C,K$1))</f>
        <v/>
      </c>
      <c r="L30" s="31" t="str">
        <f>IF(SUMIFS(Data!$U:$U,Data!$A:$A,$B30,Data!$C:$C,L$1)=0,"",SUMIFS(Data!$U:$U,Data!$A:$A,$B30,Data!$C:$C,L$1))</f>
        <v/>
      </c>
      <c r="M30" s="31" t="str">
        <f>IF(SUMIFS(Data!$U:$U,Data!$A:$A,$B30,Data!$C:$C,M$1)=0,"",SUMIFS(Data!$U:$U,Data!$A:$A,$B30,Data!$C:$C,M$1))</f>
        <v/>
      </c>
      <c r="N30" s="31" t="str">
        <f>IF(SUMIFS(Data!$U:$U,Data!$A:$A,$B30,Data!$C:$C,N$1)=0,"",SUMIFS(Data!$U:$U,Data!$A:$A,$B30,Data!$C:$C,N$1))</f>
        <v/>
      </c>
      <c r="O30" s="31" t="str">
        <f>IF(SUMIFS(Data!$U:$U,Data!$A:$A,$B30,Data!$C:$C,O$1)=0,"",SUMIFS(Data!$U:$U,Data!$A:$A,$B30,Data!$C:$C,O$1))</f>
        <v/>
      </c>
      <c r="P30" s="31" t="str">
        <f>IF(SUMIFS(Data!$U:$U,Data!$A:$A,$B30,Data!$C:$C,P$1)=0,"",SUMIFS(Data!$U:$U,Data!$A:$A,$B30,Data!$C:$C,P$1))</f>
        <v/>
      </c>
      <c r="Q30" s="31" t="str">
        <f>IF(SUMIFS(Data!$U:$U,Data!$A:$A,$B30,Data!$C:$C,Q$1)=0,"",SUMIFS(Data!$U:$U,Data!$A:$A,$B30,Data!$C:$C,Q$1))</f>
        <v/>
      </c>
      <c r="R30" s="31">
        <f>VLOOKUP(B30,'#ligaSYR'!$B:$R,17,0)</f>
        <v>0</v>
      </c>
      <c r="S30" s="31">
        <f>SUM(C30:R30)</f>
        <v>9.817499999999999</v>
      </c>
      <c r="T30" s="31">
        <f>SUMIFS(Data!D:D,Data!A:A,B30)</f>
        <v>22.080000000000002</v>
      </c>
    </row>
    <row r="31" spans="1:20" ht="13" x14ac:dyDescent="0.3">
      <c r="A31" s="79">
        <v>30</v>
      </c>
      <c r="B31" s="30" t="s">
        <v>350</v>
      </c>
      <c r="C31" s="31">
        <f>IF(SUMIFS(Data!$U:$U,Data!$A:$A,$B31,Data!$C:$C,C$1)=0,"",SUMIFS(Data!$U:$U,Data!$A:$A,$B31,Data!$C:$C,C$1))</f>
        <v>4.5971666666666664</v>
      </c>
      <c r="D31" s="31">
        <f>IF(SUMIFS(Data!$U:$U,Data!$A:$A,$B31,Data!$C:$C,D$1)=0,"",SUMIFS(Data!$U:$U,Data!$A:$A,$B31,Data!$C:$C,D$1))</f>
        <v>3.0674999999999999</v>
      </c>
      <c r="E31" s="31" t="str">
        <f>IF(SUMIFS(Data!$U:$U,Data!$A:$A,$B31,Data!$C:$C,E$1)=0,"",SUMIFS(Data!$U:$U,Data!$A:$A,$B31,Data!$C:$C,E$1))</f>
        <v/>
      </c>
      <c r="F31" s="31" t="str">
        <f>IF(SUMIFS(Data!$U:$U,Data!$A:$A,$B31,Data!$C:$C,F$1)=0,"",SUMIFS(Data!$U:$U,Data!$A:$A,$B31,Data!$C:$C,F$1))</f>
        <v/>
      </c>
      <c r="G31" s="31" t="str">
        <f>IF(SUMIFS(Data!$U:$U,Data!$A:$A,$B31,Data!$C:$C,G$1)=0,"",SUMIFS(Data!$U:$U,Data!$A:$A,$B31,Data!$C:$C,G$1))</f>
        <v/>
      </c>
      <c r="H31" s="31" t="str">
        <f>IF(SUMIFS(Data!$U:$U,Data!$A:$A,$B31,Data!$C:$C,H$1)=0,"",SUMIFS(Data!$U:$U,Data!$A:$A,$B31,Data!$C:$C,H$1))</f>
        <v/>
      </c>
      <c r="I31" s="31" t="str">
        <f>IF(SUMIFS(Data!$U:$U,Data!$A:$A,$B31,Data!$C:$C,I$1)=0,"",SUMIFS(Data!$U:$U,Data!$A:$A,$B31,Data!$C:$C,I$1))</f>
        <v/>
      </c>
      <c r="J31" s="31" t="str">
        <f>IF(SUMIFS(Data!$U:$U,Data!$A:$A,$B31,Data!$C:$C,J$1)=0,"",SUMIFS(Data!$U:$U,Data!$A:$A,$B31,Data!$C:$C,J$1))</f>
        <v/>
      </c>
      <c r="K31" s="31" t="str">
        <f>IF(SUMIFS(Data!$U:$U,Data!$A:$A,$B31,Data!$C:$C,K$1)=0,"",SUMIFS(Data!$U:$U,Data!$A:$A,$B31,Data!$C:$C,K$1))</f>
        <v/>
      </c>
      <c r="L31" s="31" t="str">
        <f>IF(SUMIFS(Data!$U:$U,Data!$A:$A,$B31,Data!$C:$C,L$1)=0,"",SUMIFS(Data!$U:$U,Data!$A:$A,$B31,Data!$C:$C,L$1))</f>
        <v/>
      </c>
      <c r="M31" s="31" t="str">
        <f>IF(SUMIFS(Data!$U:$U,Data!$A:$A,$B31,Data!$C:$C,M$1)=0,"",SUMIFS(Data!$U:$U,Data!$A:$A,$B31,Data!$C:$C,M$1))</f>
        <v/>
      </c>
      <c r="N31" s="31" t="str">
        <f>IF(SUMIFS(Data!$U:$U,Data!$A:$A,$B31,Data!$C:$C,N$1)=0,"",SUMIFS(Data!$U:$U,Data!$A:$A,$B31,Data!$C:$C,N$1))</f>
        <v/>
      </c>
      <c r="O31" s="31" t="str">
        <f>IF(SUMIFS(Data!$U:$U,Data!$A:$A,$B31,Data!$C:$C,O$1)=0,"",SUMIFS(Data!$U:$U,Data!$A:$A,$B31,Data!$C:$C,O$1))</f>
        <v/>
      </c>
      <c r="P31" s="31" t="str">
        <f>IF(SUMIFS(Data!$U:$U,Data!$A:$A,$B31,Data!$C:$C,P$1)=0,"",SUMIFS(Data!$U:$U,Data!$A:$A,$B31,Data!$C:$C,P$1))</f>
        <v/>
      </c>
      <c r="Q31" s="31" t="str">
        <f>IF(SUMIFS(Data!$U:$U,Data!$A:$A,$B31,Data!$C:$C,Q$1)=0,"",SUMIFS(Data!$U:$U,Data!$A:$A,$B31,Data!$C:$C,Q$1))</f>
        <v/>
      </c>
      <c r="R31" s="31">
        <f>VLOOKUP(B31,'#ligaSYR'!$B:$R,17,0)</f>
        <v>0</v>
      </c>
      <c r="S31" s="31">
        <f>SUM(C31:R31)</f>
        <v>7.6646666666666663</v>
      </c>
      <c r="T31" s="31">
        <f>SUMIFS(Data!D:D,Data!A:A,B31)</f>
        <v>37.58</v>
      </c>
    </row>
    <row r="32" spans="1:20" ht="13" x14ac:dyDescent="0.3">
      <c r="A32" s="79">
        <v>31</v>
      </c>
      <c r="B32" s="30" t="s">
        <v>363</v>
      </c>
      <c r="C32" s="31">
        <f>IF(SUMIFS(Data!$U:$U,Data!$A:$A,$B32,Data!$C:$C,C$1)=0,"",SUMIFS(Data!$U:$U,Data!$A:$A,$B32,Data!$C:$C,C$1))</f>
        <v>2.6287500000000001</v>
      </c>
      <c r="D32" s="31" t="str">
        <f>IF(SUMIFS(Data!$U:$U,Data!$A:$A,$B32,Data!$C:$C,D$1)=0,"",SUMIFS(Data!$U:$U,Data!$A:$A,$B32,Data!$C:$C,D$1))</f>
        <v/>
      </c>
      <c r="E32" s="31" t="str">
        <f>IF(SUMIFS(Data!$U:$U,Data!$A:$A,$B32,Data!$C:$C,E$1)=0,"",SUMIFS(Data!$U:$U,Data!$A:$A,$B32,Data!$C:$C,E$1))</f>
        <v/>
      </c>
      <c r="F32" s="31" t="str">
        <f>IF(SUMIFS(Data!$U:$U,Data!$A:$A,$B32,Data!$C:$C,F$1)=0,"",SUMIFS(Data!$U:$U,Data!$A:$A,$B32,Data!$C:$C,F$1))</f>
        <v/>
      </c>
      <c r="G32" s="31" t="str">
        <f>IF(SUMIFS(Data!$U:$U,Data!$A:$A,$B32,Data!$C:$C,G$1)=0,"",SUMIFS(Data!$U:$U,Data!$A:$A,$B32,Data!$C:$C,G$1))</f>
        <v/>
      </c>
      <c r="H32" s="31" t="str">
        <f>IF(SUMIFS(Data!$U:$U,Data!$A:$A,$B32,Data!$C:$C,H$1)=0,"",SUMIFS(Data!$U:$U,Data!$A:$A,$B32,Data!$C:$C,H$1))</f>
        <v/>
      </c>
      <c r="I32" s="31" t="str">
        <f>IF(SUMIFS(Data!$U:$U,Data!$A:$A,$B32,Data!$C:$C,I$1)=0,"",SUMIFS(Data!$U:$U,Data!$A:$A,$B32,Data!$C:$C,I$1))</f>
        <v/>
      </c>
      <c r="J32" s="31" t="str">
        <f>IF(SUMIFS(Data!$U:$U,Data!$A:$A,$B32,Data!$C:$C,J$1)=0,"",SUMIFS(Data!$U:$U,Data!$A:$A,$B32,Data!$C:$C,J$1))</f>
        <v/>
      </c>
      <c r="K32" s="31" t="str">
        <f>IF(SUMIFS(Data!$U:$U,Data!$A:$A,$B32,Data!$C:$C,K$1)=0,"",SUMIFS(Data!$U:$U,Data!$A:$A,$B32,Data!$C:$C,K$1))</f>
        <v/>
      </c>
      <c r="L32" s="31">
        <f>IF(SUMIFS(Data!$U:$U,Data!$A:$A,$B32,Data!$C:$C,L$1)=0,"",SUMIFS(Data!$U:$U,Data!$A:$A,$B32,Data!$C:$C,L$1))</f>
        <v>1.9375</v>
      </c>
      <c r="M32" s="31">
        <f>IF(SUMIFS(Data!$U:$U,Data!$A:$A,$B32,Data!$C:$C,M$1)=0,"",SUMIFS(Data!$U:$U,Data!$A:$A,$B32,Data!$C:$C,M$1))</f>
        <v>0.4375</v>
      </c>
      <c r="N32" s="31" t="str">
        <f>IF(SUMIFS(Data!$U:$U,Data!$A:$A,$B32,Data!$C:$C,N$1)=0,"",SUMIFS(Data!$U:$U,Data!$A:$A,$B32,Data!$C:$C,N$1))</f>
        <v/>
      </c>
      <c r="O32" s="31" t="str">
        <f>IF(SUMIFS(Data!$U:$U,Data!$A:$A,$B32,Data!$C:$C,O$1)=0,"",SUMIFS(Data!$U:$U,Data!$A:$A,$B32,Data!$C:$C,O$1))</f>
        <v/>
      </c>
      <c r="P32" s="31" t="str">
        <f>IF(SUMIFS(Data!$U:$U,Data!$A:$A,$B32,Data!$C:$C,P$1)=0,"",SUMIFS(Data!$U:$U,Data!$A:$A,$B32,Data!$C:$C,P$1))</f>
        <v/>
      </c>
      <c r="Q32" s="31" t="str">
        <f>IF(SUMIFS(Data!$U:$U,Data!$A:$A,$B32,Data!$C:$C,Q$1)=0,"",SUMIFS(Data!$U:$U,Data!$A:$A,$B32,Data!$C:$C,Q$1))</f>
        <v/>
      </c>
      <c r="R32" s="31">
        <f>VLOOKUP(B32,'#ligaSYR'!$B:$R,17,0)</f>
        <v>0</v>
      </c>
      <c r="S32" s="31">
        <f>SUM(C32:R32)</f>
        <v>5.0037500000000001</v>
      </c>
      <c r="T32" s="31">
        <f>SUMIFS(Data!D:D,Data!A:A,B32)</f>
        <v>29.62</v>
      </c>
    </row>
    <row r="33" spans="1:20" ht="13" x14ac:dyDescent="0.3">
      <c r="A33" s="79">
        <v>32</v>
      </c>
      <c r="B33" s="30" t="s">
        <v>338</v>
      </c>
      <c r="C33" s="31">
        <f>IF(SUMIFS(Data!$U:$U,Data!$A:$A,$B33,Data!$C:$C,C$1)=0,"",SUMIFS(Data!$U:$U,Data!$A:$A,$B33,Data!$C:$C,C$1))</f>
        <v>3.1065833333333335</v>
      </c>
      <c r="D33" s="31" t="str">
        <f>IF(SUMIFS(Data!$U:$U,Data!$A:$A,$B33,Data!$C:$C,D$1)=0,"",SUMIFS(Data!$U:$U,Data!$A:$A,$B33,Data!$C:$C,D$1))</f>
        <v/>
      </c>
      <c r="E33" s="31" t="str">
        <f>IF(SUMIFS(Data!$U:$U,Data!$A:$A,$B33,Data!$C:$C,E$1)=0,"",SUMIFS(Data!$U:$U,Data!$A:$A,$B33,Data!$C:$C,E$1))</f>
        <v/>
      </c>
      <c r="F33" s="31" t="str">
        <f>IF(SUMIFS(Data!$U:$U,Data!$A:$A,$B33,Data!$C:$C,F$1)=0,"",SUMIFS(Data!$U:$U,Data!$A:$A,$B33,Data!$C:$C,F$1))</f>
        <v/>
      </c>
      <c r="G33" s="31" t="str">
        <f>IF(SUMIFS(Data!$U:$U,Data!$A:$A,$B33,Data!$C:$C,G$1)=0,"",SUMIFS(Data!$U:$U,Data!$A:$A,$B33,Data!$C:$C,G$1))</f>
        <v/>
      </c>
      <c r="H33" s="31" t="str">
        <f>IF(SUMIFS(Data!$U:$U,Data!$A:$A,$B33,Data!$C:$C,H$1)=0,"",SUMIFS(Data!$U:$U,Data!$A:$A,$B33,Data!$C:$C,H$1))</f>
        <v/>
      </c>
      <c r="I33" s="31" t="str">
        <f>IF(SUMIFS(Data!$U:$U,Data!$A:$A,$B33,Data!$C:$C,I$1)=0,"",SUMIFS(Data!$U:$U,Data!$A:$A,$B33,Data!$C:$C,I$1))</f>
        <v/>
      </c>
      <c r="J33" s="31" t="str">
        <f>IF(SUMIFS(Data!$U:$U,Data!$A:$A,$B33,Data!$C:$C,J$1)=0,"",SUMIFS(Data!$U:$U,Data!$A:$A,$B33,Data!$C:$C,J$1))</f>
        <v/>
      </c>
      <c r="K33" s="31" t="str">
        <f>IF(SUMIFS(Data!$U:$U,Data!$A:$A,$B33,Data!$C:$C,K$1)=0,"",SUMIFS(Data!$U:$U,Data!$A:$A,$B33,Data!$C:$C,K$1))</f>
        <v/>
      </c>
      <c r="L33" s="31" t="str">
        <f>IF(SUMIFS(Data!$U:$U,Data!$A:$A,$B33,Data!$C:$C,L$1)=0,"",SUMIFS(Data!$U:$U,Data!$A:$A,$B33,Data!$C:$C,L$1))</f>
        <v/>
      </c>
      <c r="M33" s="31" t="str">
        <f>IF(SUMIFS(Data!$U:$U,Data!$A:$A,$B33,Data!$C:$C,M$1)=0,"",SUMIFS(Data!$U:$U,Data!$A:$A,$B33,Data!$C:$C,M$1))</f>
        <v/>
      </c>
      <c r="N33" s="31" t="str">
        <f>IF(SUMIFS(Data!$U:$U,Data!$A:$A,$B33,Data!$C:$C,N$1)=0,"",SUMIFS(Data!$U:$U,Data!$A:$A,$B33,Data!$C:$C,N$1))</f>
        <v/>
      </c>
      <c r="O33" s="31" t="str">
        <f>IF(SUMIFS(Data!$U:$U,Data!$A:$A,$B33,Data!$C:$C,O$1)=0,"",SUMIFS(Data!$U:$U,Data!$A:$A,$B33,Data!$C:$C,O$1))</f>
        <v/>
      </c>
      <c r="P33" s="31" t="str">
        <f>IF(SUMIFS(Data!$U:$U,Data!$A:$A,$B33,Data!$C:$C,P$1)=0,"",SUMIFS(Data!$U:$U,Data!$A:$A,$B33,Data!$C:$C,P$1))</f>
        <v/>
      </c>
      <c r="Q33" s="31" t="str">
        <f>IF(SUMIFS(Data!$U:$U,Data!$A:$A,$B33,Data!$C:$C,Q$1)=0,"",SUMIFS(Data!$U:$U,Data!$A:$A,$B33,Data!$C:$C,Q$1))</f>
        <v/>
      </c>
      <c r="R33" s="31">
        <f>VLOOKUP(B33,'#ligaSYR'!$B:$R,17,0)</f>
        <v>0</v>
      </c>
      <c r="S33" s="31">
        <f>SUM(C33:R33)</f>
        <v>3.1065833333333335</v>
      </c>
      <c r="T33" s="31">
        <f>SUMIFS(Data!D:D,Data!A:A,B33)</f>
        <v>13.59</v>
      </c>
    </row>
    <row r="34" spans="1:20" ht="13" x14ac:dyDescent="0.3">
      <c r="A34" s="79">
        <v>33</v>
      </c>
      <c r="B34" s="30" t="s">
        <v>385</v>
      </c>
      <c r="C34" s="31" t="str">
        <f>IF(SUMIFS(Data!$U:$U,Data!$A:$A,$B34,Data!$C:$C,C$1)=0,"",SUMIFS(Data!$U:$U,Data!$A:$A,$B34,Data!$C:$C,C$1))</f>
        <v/>
      </c>
      <c r="D34" s="31">
        <f>IF(SUMIFS(Data!$U:$U,Data!$A:$A,$B34,Data!$C:$C,D$1)=0,"",SUMIFS(Data!$U:$U,Data!$A:$A,$B34,Data!$C:$C,D$1))</f>
        <v>2.9387499999999998</v>
      </c>
      <c r="E34" s="31" t="str">
        <f>IF(SUMIFS(Data!$U:$U,Data!$A:$A,$B34,Data!$C:$C,E$1)=0,"",SUMIFS(Data!$U:$U,Data!$A:$A,$B34,Data!$C:$C,E$1))</f>
        <v/>
      </c>
      <c r="F34" s="31" t="str">
        <f>IF(SUMIFS(Data!$U:$U,Data!$A:$A,$B34,Data!$C:$C,F$1)=0,"",SUMIFS(Data!$U:$U,Data!$A:$A,$B34,Data!$C:$C,F$1))</f>
        <v/>
      </c>
      <c r="G34" s="31" t="str">
        <f>IF(SUMIFS(Data!$U:$U,Data!$A:$A,$B34,Data!$C:$C,G$1)=0,"",SUMIFS(Data!$U:$U,Data!$A:$A,$B34,Data!$C:$C,G$1))</f>
        <v/>
      </c>
      <c r="H34" s="31" t="str">
        <f>IF(SUMIFS(Data!$U:$U,Data!$A:$A,$B34,Data!$C:$C,H$1)=0,"",SUMIFS(Data!$U:$U,Data!$A:$A,$B34,Data!$C:$C,H$1))</f>
        <v/>
      </c>
      <c r="I34" s="31" t="str">
        <f>IF(SUMIFS(Data!$U:$U,Data!$A:$A,$B34,Data!$C:$C,I$1)=0,"",SUMIFS(Data!$U:$U,Data!$A:$A,$B34,Data!$C:$C,I$1))</f>
        <v/>
      </c>
      <c r="J34" s="31" t="str">
        <f>IF(SUMIFS(Data!$U:$U,Data!$A:$A,$B34,Data!$C:$C,J$1)=0,"",SUMIFS(Data!$U:$U,Data!$A:$A,$B34,Data!$C:$C,J$1))</f>
        <v/>
      </c>
      <c r="K34" s="31" t="str">
        <f>IF(SUMIFS(Data!$U:$U,Data!$A:$A,$B34,Data!$C:$C,K$1)=0,"",SUMIFS(Data!$U:$U,Data!$A:$A,$B34,Data!$C:$C,K$1))</f>
        <v/>
      </c>
      <c r="L34" s="31" t="str">
        <f>IF(SUMIFS(Data!$U:$U,Data!$A:$A,$B34,Data!$C:$C,L$1)=0,"",SUMIFS(Data!$U:$U,Data!$A:$A,$B34,Data!$C:$C,L$1))</f>
        <v/>
      </c>
      <c r="M34" s="31" t="str">
        <f>IF(SUMIFS(Data!$U:$U,Data!$A:$A,$B34,Data!$C:$C,M$1)=0,"",SUMIFS(Data!$U:$U,Data!$A:$A,$B34,Data!$C:$C,M$1))</f>
        <v/>
      </c>
      <c r="N34" s="31" t="str">
        <f>IF(SUMIFS(Data!$U:$U,Data!$A:$A,$B34,Data!$C:$C,N$1)=0,"",SUMIFS(Data!$U:$U,Data!$A:$A,$B34,Data!$C:$C,N$1))</f>
        <v/>
      </c>
      <c r="O34" s="31" t="str">
        <f>IF(SUMIFS(Data!$U:$U,Data!$A:$A,$B34,Data!$C:$C,O$1)=0,"",SUMIFS(Data!$U:$U,Data!$A:$A,$B34,Data!$C:$C,O$1))</f>
        <v/>
      </c>
      <c r="P34" s="31" t="str">
        <f>IF(SUMIFS(Data!$U:$U,Data!$A:$A,$B34,Data!$C:$C,P$1)=0,"",SUMIFS(Data!$U:$U,Data!$A:$A,$B34,Data!$C:$C,P$1))</f>
        <v/>
      </c>
      <c r="Q34" s="31" t="str">
        <f>IF(SUMIFS(Data!$U:$U,Data!$A:$A,$B34,Data!$C:$C,Q$1)=0,"",SUMIFS(Data!$U:$U,Data!$A:$A,$B34,Data!$C:$C,Q$1))</f>
        <v/>
      </c>
      <c r="R34" s="31">
        <f>VLOOKUP(B34,'#ligaSYR'!$B:$R,17,0)</f>
        <v>0</v>
      </c>
      <c r="S34" s="31">
        <f>SUM(C34:R34)</f>
        <v>2.9387499999999998</v>
      </c>
      <c r="T34" s="31">
        <f>SUMIFS(Data!D:D,Data!A:A,B34)</f>
        <v>10.02</v>
      </c>
    </row>
    <row r="35" spans="1:20" ht="13" x14ac:dyDescent="0.3">
      <c r="A35" s="79">
        <v>34</v>
      </c>
      <c r="B35" s="30" t="s">
        <v>304</v>
      </c>
      <c r="C35" s="31" t="str">
        <f>IF(SUMIFS(Data!$U:$U,Data!$A:$A,$B35,Data!$C:$C,C$1)=0,"",SUMIFS(Data!$U:$U,Data!$A:$A,$B35,Data!$C:$C,C$1))</f>
        <v/>
      </c>
      <c r="D35" s="31" t="str">
        <f>IF(SUMIFS(Data!$U:$U,Data!$A:$A,$B35,Data!$C:$C,D$1)=0,"",SUMIFS(Data!$U:$U,Data!$A:$A,$B35,Data!$C:$C,D$1))</f>
        <v/>
      </c>
      <c r="E35" s="31">
        <f>IF(SUMIFS(Data!$U:$U,Data!$A:$A,$B35,Data!$C:$C,E$1)=0,"",SUMIFS(Data!$U:$U,Data!$A:$A,$B35,Data!$C:$C,E$1))</f>
        <v>2.7250000000000001</v>
      </c>
      <c r="F35" s="31" t="str">
        <f>IF(SUMIFS(Data!$U:$U,Data!$A:$A,$B35,Data!$C:$C,F$1)=0,"",SUMIFS(Data!$U:$U,Data!$A:$A,$B35,Data!$C:$C,F$1))</f>
        <v/>
      </c>
      <c r="G35" s="31" t="str">
        <f>IF(SUMIFS(Data!$U:$U,Data!$A:$A,$B35,Data!$C:$C,G$1)=0,"",SUMIFS(Data!$U:$U,Data!$A:$A,$B35,Data!$C:$C,G$1))</f>
        <v/>
      </c>
      <c r="H35" s="31" t="str">
        <f>IF(SUMIFS(Data!$U:$U,Data!$A:$A,$B35,Data!$C:$C,H$1)=0,"",SUMIFS(Data!$U:$U,Data!$A:$A,$B35,Data!$C:$C,H$1))</f>
        <v/>
      </c>
      <c r="I35" s="31" t="str">
        <f>IF(SUMIFS(Data!$U:$U,Data!$A:$A,$B35,Data!$C:$C,I$1)=0,"",SUMIFS(Data!$U:$U,Data!$A:$A,$B35,Data!$C:$C,I$1))</f>
        <v/>
      </c>
      <c r="J35" s="31" t="str">
        <f>IF(SUMIFS(Data!$U:$U,Data!$A:$A,$B35,Data!$C:$C,J$1)=0,"",SUMIFS(Data!$U:$U,Data!$A:$A,$B35,Data!$C:$C,J$1))</f>
        <v/>
      </c>
      <c r="K35" s="31" t="str">
        <f>IF(SUMIFS(Data!$U:$U,Data!$A:$A,$B35,Data!$C:$C,K$1)=0,"",SUMIFS(Data!$U:$U,Data!$A:$A,$B35,Data!$C:$C,K$1))</f>
        <v/>
      </c>
      <c r="L35" s="31" t="str">
        <f>IF(SUMIFS(Data!$U:$U,Data!$A:$A,$B35,Data!$C:$C,L$1)=0,"",SUMIFS(Data!$U:$U,Data!$A:$A,$B35,Data!$C:$C,L$1))</f>
        <v/>
      </c>
      <c r="M35" s="31" t="str">
        <f>IF(SUMIFS(Data!$U:$U,Data!$A:$A,$B35,Data!$C:$C,M$1)=0,"",SUMIFS(Data!$U:$U,Data!$A:$A,$B35,Data!$C:$C,M$1))</f>
        <v/>
      </c>
      <c r="N35" s="31" t="str">
        <f>IF(SUMIFS(Data!$U:$U,Data!$A:$A,$B35,Data!$C:$C,N$1)=0,"",SUMIFS(Data!$U:$U,Data!$A:$A,$B35,Data!$C:$C,N$1))</f>
        <v/>
      </c>
      <c r="O35" s="31" t="str">
        <f>IF(SUMIFS(Data!$U:$U,Data!$A:$A,$B35,Data!$C:$C,O$1)=0,"",SUMIFS(Data!$U:$U,Data!$A:$A,$B35,Data!$C:$C,O$1))</f>
        <v/>
      </c>
      <c r="P35" s="31" t="str">
        <f>IF(SUMIFS(Data!$U:$U,Data!$A:$A,$B35,Data!$C:$C,P$1)=0,"",SUMIFS(Data!$U:$U,Data!$A:$A,$B35,Data!$C:$C,P$1))</f>
        <v/>
      </c>
      <c r="Q35" s="31" t="str">
        <f>IF(SUMIFS(Data!$U:$U,Data!$A:$A,$B35,Data!$C:$C,Q$1)=0,"",SUMIFS(Data!$U:$U,Data!$A:$A,$B35,Data!$C:$C,Q$1))</f>
        <v/>
      </c>
      <c r="R35" s="31">
        <f>VLOOKUP(B35,'#ligaSYR'!$B:$R,17,0)</f>
        <v>0</v>
      </c>
      <c r="S35" s="31">
        <f>SUM(C35:R35)</f>
        <v>2.7250000000000001</v>
      </c>
      <c r="T35" s="31">
        <f>SUMIFS(Data!D:D,Data!A:A,B35)</f>
        <v>24.25</v>
      </c>
    </row>
    <row r="36" spans="1:20" ht="13" x14ac:dyDescent="0.3">
      <c r="A36" s="79">
        <v>35</v>
      </c>
      <c r="B36" s="30" t="s">
        <v>371</v>
      </c>
      <c r="C36" s="31">
        <f>IF(SUMIFS(Data!$U:$U,Data!$A:$A,$B36,Data!$C:$C,C$1)=0,"",SUMIFS(Data!$U:$U,Data!$A:$A,$B36,Data!$C:$C,C$1))</f>
        <v>2</v>
      </c>
      <c r="D36" s="31" t="str">
        <f>IF(SUMIFS(Data!$U:$U,Data!$A:$A,$B36,Data!$C:$C,D$1)=0,"",SUMIFS(Data!$U:$U,Data!$A:$A,$B36,Data!$C:$C,D$1))</f>
        <v/>
      </c>
      <c r="E36" s="31" t="str">
        <f>IF(SUMIFS(Data!$U:$U,Data!$A:$A,$B36,Data!$C:$C,E$1)=0,"",SUMIFS(Data!$U:$U,Data!$A:$A,$B36,Data!$C:$C,E$1))</f>
        <v/>
      </c>
      <c r="F36" s="31" t="str">
        <f>IF(SUMIFS(Data!$U:$U,Data!$A:$A,$B36,Data!$C:$C,F$1)=0,"",SUMIFS(Data!$U:$U,Data!$A:$A,$B36,Data!$C:$C,F$1))</f>
        <v/>
      </c>
      <c r="G36" s="31" t="str">
        <f>IF(SUMIFS(Data!$U:$U,Data!$A:$A,$B36,Data!$C:$C,G$1)=0,"",SUMIFS(Data!$U:$U,Data!$A:$A,$B36,Data!$C:$C,G$1))</f>
        <v/>
      </c>
      <c r="H36" s="31" t="str">
        <f>IF(SUMIFS(Data!$U:$U,Data!$A:$A,$B36,Data!$C:$C,H$1)=0,"",SUMIFS(Data!$U:$U,Data!$A:$A,$B36,Data!$C:$C,H$1))</f>
        <v/>
      </c>
      <c r="I36" s="31" t="str">
        <f>IF(SUMIFS(Data!$U:$U,Data!$A:$A,$B36,Data!$C:$C,I$1)=0,"",SUMIFS(Data!$U:$U,Data!$A:$A,$B36,Data!$C:$C,I$1))</f>
        <v/>
      </c>
      <c r="J36" s="31" t="str">
        <f>IF(SUMIFS(Data!$U:$U,Data!$A:$A,$B36,Data!$C:$C,J$1)=0,"",SUMIFS(Data!$U:$U,Data!$A:$A,$B36,Data!$C:$C,J$1))</f>
        <v/>
      </c>
      <c r="K36" s="31" t="str">
        <f>IF(SUMIFS(Data!$U:$U,Data!$A:$A,$B36,Data!$C:$C,K$1)=0,"",SUMIFS(Data!$U:$U,Data!$A:$A,$B36,Data!$C:$C,K$1))</f>
        <v/>
      </c>
      <c r="L36" s="31" t="str">
        <f>IF(SUMIFS(Data!$U:$U,Data!$A:$A,$B36,Data!$C:$C,L$1)=0,"",SUMIFS(Data!$U:$U,Data!$A:$A,$B36,Data!$C:$C,L$1))</f>
        <v/>
      </c>
      <c r="M36" s="31" t="str">
        <f>IF(SUMIFS(Data!$U:$U,Data!$A:$A,$B36,Data!$C:$C,M$1)=0,"",SUMIFS(Data!$U:$U,Data!$A:$A,$B36,Data!$C:$C,M$1))</f>
        <v/>
      </c>
      <c r="N36" s="31" t="str">
        <f>IF(SUMIFS(Data!$U:$U,Data!$A:$A,$B36,Data!$C:$C,N$1)=0,"",SUMIFS(Data!$U:$U,Data!$A:$A,$B36,Data!$C:$C,N$1))</f>
        <v/>
      </c>
      <c r="O36" s="31" t="str">
        <f>IF(SUMIFS(Data!$U:$U,Data!$A:$A,$B36,Data!$C:$C,O$1)=0,"",SUMIFS(Data!$U:$U,Data!$A:$A,$B36,Data!$C:$C,O$1))</f>
        <v/>
      </c>
      <c r="P36" s="31" t="str">
        <f>IF(SUMIFS(Data!$U:$U,Data!$A:$A,$B36,Data!$C:$C,P$1)=0,"",SUMIFS(Data!$U:$U,Data!$A:$A,$B36,Data!$C:$C,P$1))</f>
        <v/>
      </c>
      <c r="Q36" s="31" t="str">
        <f>IF(SUMIFS(Data!$U:$U,Data!$A:$A,$B36,Data!$C:$C,Q$1)=0,"",SUMIFS(Data!$U:$U,Data!$A:$A,$B36,Data!$C:$C,Q$1))</f>
        <v/>
      </c>
      <c r="R36" s="31">
        <f>VLOOKUP(B36,'#ligaSYR'!$B:$R,17,0)</f>
        <v>0</v>
      </c>
      <c r="S36" s="31">
        <f>SUM(C36:R36)</f>
        <v>2</v>
      </c>
      <c r="T36" s="31">
        <f>SUMIFS(Data!D:D,Data!A:A,B36)</f>
        <v>10</v>
      </c>
    </row>
    <row r="37" spans="1:20" ht="13" x14ac:dyDescent="0.3">
      <c r="A37" s="79">
        <v>36</v>
      </c>
      <c r="B37" s="30" t="s">
        <v>367</v>
      </c>
      <c r="C37" s="31">
        <f>IF(SUMIFS(Data!$U:$U,Data!$A:$A,$B37,Data!$C:$C,C$1)=0,"",SUMIFS(Data!$U:$U,Data!$A:$A,$B37,Data!$C:$C,C$1))</f>
        <v>1.5625</v>
      </c>
      <c r="D37" s="31" t="str">
        <f>IF(SUMIFS(Data!$U:$U,Data!$A:$A,$B37,Data!$C:$C,D$1)=0,"",SUMIFS(Data!$U:$U,Data!$A:$A,$B37,Data!$C:$C,D$1))</f>
        <v/>
      </c>
      <c r="E37" s="31" t="str">
        <f>IF(SUMIFS(Data!$U:$U,Data!$A:$A,$B37,Data!$C:$C,E$1)=0,"",SUMIFS(Data!$U:$U,Data!$A:$A,$B37,Data!$C:$C,E$1))</f>
        <v/>
      </c>
      <c r="F37" s="31" t="str">
        <f>IF(SUMIFS(Data!$U:$U,Data!$A:$A,$B37,Data!$C:$C,F$1)=0,"",SUMIFS(Data!$U:$U,Data!$A:$A,$B37,Data!$C:$C,F$1))</f>
        <v/>
      </c>
      <c r="G37" s="31" t="str">
        <f>IF(SUMIFS(Data!$U:$U,Data!$A:$A,$B37,Data!$C:$C,G$1)=0,"",SUMIFS(Data!$U:$U,Data!$A:$A,$B37,Data!$C:$C,G$1))</f>
        <v/>
      </c>
      <c r="H37" s="31" t="str">
        <f>IF(SUMIFS(Data!$U:$U,Data!$A:$A,$B37,Data!$C:$C,H$1)=0,"",SUMIFS(Data!$U:$U,Data!$A:$A,$B37,Data!$C:$C,H$1))</f>
        <v/>
      </c>
      <c r="I37" s="31" t="str">
        <f>IF(SUMIFS(Data!$U:$U,Data!$A:$A,$B37,Data!$C:$C,I$1)=0,"",SUMIFS(Data!$U:$U,Data!$A:$A,$B37,Data!$C:$C,I$1))</f>
        <v/>
      </c>
      <c r="J37" s="31" t="str">
        <f>IF(SUMIFS(Data!$U:$U,Data!$A:$A,$B37,Data!$C:$C,J$1)=0,"",SUMIFS(Data!$U:$U,Data!$A:$A,$B37,Data!$C:$C,J$1))</f>
        <v/>
      </c>
      <c r="K37" s="31" t="str">
        <f>IF(SUMIFS(Data!$U:$U,Data!$A:$A,$B37,Data!$C:$C,K$1)=0,"",SUMIFS(Data!$U:$U,Data!$A:$A,$B37,Data!$C:$C,K$1))</f>
        <v/>
      </c>
      <c r="L37" s="31" t="str">
        <f>IF(SUMIFS(Data!$U:$U,Data!$A:$A,$B37,Data!$C:$C,L$1)=0,"",SUMIFS(Data!$U:$U,Data!$A:$A,$B37,Data!$C:$C,L$1))</f>
        <v/>
      </c>
      <c r="M37" s="31" t="str">
        <f>IF(SUMIFS(Data!$U:$U,Data!$A:$A,$B37,Data!$C:$C,M$1)=0,"",SUMIFS(Data!$U:$U,Data!$A:$A,$B37,Data!$C:$C,M$1))</f>
        <v/>
      </c>
      <c r="N37" s="31" t="str">
        <f>IF(SUMIFS(Data!$U:$U,Data!$A:$A,$B37,Data!$C:$C,N$1)=0,"",SUMIFS(Data!$U:$U,Data!$A:$A,$B37,Data!$C:$C,N$1))</f>
        <v/>
      </c>
      <c r="O37" s="31" t="str">
        <f>IF(SUMIFS(Data!$U:$U,Data!$A:$A,$B37,Data!$C:$C,O$1)=0,"",SUMIFS(Data!$U:$U,Data!$A:$A,$B37,Data!$C:$C,O$1))</f>
        <v/>
      </c>
      <c r="P37" s="31" t="str">
        <f>IF(SUMIFS(Data!$U:$U,Data!$A:$A,$B37,Data!$C:$C,P$1)=0,"",SUMIFS(Data!$U:$U,Data!$A:$A,$B37,Data!$C:$C,P$1))</f>
        <v/>
      </c>
      <c r="Q37" s="31" t="str">
        <f>IF(SUMIFS(Data!$U:$U,Data!$A:$A,$B37,Data!$C:$C,Q$1)=0,"",SUMIFS(Data!$U:$U,Data!$A:$A,$B37,Data!$C:$C,Q$1))</f>
        <v/>
      </c>
      <c r="R37" s="31">
        <f>VLOOKUP(B37,'#ligaSYR'!$B:$R,17,0)</f>
        <v>0</v>
      </c>
      <c r="S37" s="31">
        <f>SUM(C37:R37)</f>
        <v>1.5625</v>
      </c>
      <c r="T37" s="31">
        <f>SUMIFS(Data!D:D,Data!A:A,B37)</f>
        <v>5</v>
      </c>
    </row>
  </sheetData>
  <autoFilter ref="A1:T37" xr:uid="{00000000-0009-0000-0000-000007000000}">
    <sortState xmlns:xlrd2="http://schemas.microsoft.com/office/spreadsheetml/2017/richdata2" ref="A2:T37">
      <sortCondition descending="1" ref="S1:S37"/>
    </sortState>
  </autoFilter>
  <sortState xmlns:xlrd2="http://schemas.microsoft.com/office/spreadsheetml/2017/richdata2" ref="B2:T37">
    <sortCondition descending="1" ref="S2:S37"/>
    <sortCondition descending="1" ref="T2:T37"/>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Istoric</vt:lpstr>
      <vt:lpstr>Barem</vt:lpstr>
      <vt:lpstr>Regulament S16</vt:lpstr>
      <vt:lpstr>5 ani SYR</vt:lpstr>
      <vt:lpstr>Participanti</vt:lpstr>
      <vt:lpstr>Data</vt:lpstr>
      <vt:lpstr>#ligaSYR</vt:lpstr>
      <vt:lpstr>Open M</vt:lpstr>
      <vt:lpstr>Open F</vt:lpstr>
      <vt:lpstr>Prezente</vt:lpstr>
      <vt:lpstr>Debutanti</vt:lpstr>
      <vt:lpstr>Cataratorii</vt:lpstr>
      <vt:lpstr>Vitezistii</vt:lpstr>
      <vt:lpstr>Povestitorii</vt:lpstr>
      <vt:lpstr>Echipe</vt:lpstr>
      <vt:lpstr>Data_Echipe</vt:lpstr>
      <vt:lpstr>de alocat</vt:lpstr>
      <vt:lpstr>Premiu_ASC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2023-04-25T09:09:14Z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MSIP_Label_ad40dd0f-9293-401f-8d94-6b4375d1a5c3_Enabled">
    <vt:lpwstr>True</vt:lpwstr>
  </property>
  <property fmtid="{D5CDD505-2E9C-101B-9397-08002B2CF9AE}" pid="4" name="MSIP_Label_ad40dd0f-9293-401f-8d94-6b4375d1a5c3_SiteId">
    <vt:lpwstr>1ea4ca96-f2e9-4770-a86f-ee95d877c0d8</vt:lpwstr>
  </property>
  <property fmtid="{D5CDD505-2E9C-101B-9397-08002B2CF9AE}" pid="5" name="MSIP_Label_ad40dd0f-9293-401f-8d94-6b4375d1a5c3_Owner">
    <vt:lpwstr>gumirea@alphaleasing.ro</vt:lpwstr>
  </property>
  <property fmtid="{D5CDD505-2E9C-101B-9397-08002B2CF9AE}" pid="6" name="MSIP_Label_ad40dd0f-9293-401f-8d94-6b4375d1a5c3_SetDate">
    <vt:lpwstr>2020-10-12T20:23:00.2912110Z</vt:lpwstr>
  </property>
  <property fmtid="{D5CDD505-2E9C-101B-9397-08002B2CF9AE}" pid="7" name="MSIP_Label_ad40dd0f-9293-401f-8d94-6b4375d1a5c3_Name">
    <vt:lpwstr>PUBLIC</vt:lpwstr>
  </property>
  <property fmtid="{D5CDD505-2E9C-101B-9397-08002B2CF9AE}" pid="8" name="MSIP_Label_ad40dd0f-9293-401f-8d94-6b4375d1a5c3_Application">
    <vt:lpwstr>Microsoft Azure Information Protection</vt:lpwstr>
  </property>
  <property fmtid="{D5CDD505-2E9C-101B-9397-08002B2CF9AE}" pid="9" name="MSIP_Label_ad40dd0f-9293-401f-8d94-6b4375d1a5c3_ActionId">
    <vt:lpwstr>b3d4303b-4d3f-4518-920e-608d33b3774f</vt:lpwstr>
  </property>
  <property fmtid="{D5CDD505-2E9C-101B-9397-08002B2CF9AE}" pid="10" name="MSIP_Label_ad40dd0f-9293-401f-8d94-6b4375d1a5c3_Extended_MSFT_Method">
    <vt:lpwstr>Manual</vt:lpwstr>
  </property>
  <property fmtid="{D5CDD505-2E9C-101B-9397-08002B2CF9AE}" pid="11" name="MSIP_Label_899d74fd-a48c-4042-a2b4-34eef1184746_Enabled">
    <vt:lpwstr>True</vt:lpwstr>
  </property>
  <property fmtid="{D5CDD505-2E9C-101B-9397-08002B2CF9AE}" pid="12" name="MSIP_Label_899d74fd-a48c-4042-a2b4-34eef1184746_SiteId">
    <vt:lpwstr>1ea4ca96-f2e9-4770-a86f-ee95d877c0d8</vt:lpwstr>
  </property>
  <property fmtid="{D5CDD505-2E9C-101B-9397-08002B2CF9AE}" pid="13" name="MSIP_Label_899d74fd-a48c-4042-a2b4-34eef1184746_Owner">
    <vt:lpwstr>gumirea@alphaleasing.ro</vt:lpwstr>
  </property>
  <property fmtid="{D5CDD505-2E9C-101B-9397-08002B2CF9AE}" pid="14" name="MSIP_Label_899d74fd-a48c-4042-a2b4-34eef1184746_SetDate">
    <vt:lpwstr>2020-10-12T20:23:00.2912110Z</vt:lpwstr>
  </property>
  <property fmtid="{D5CDD505-2E9C-101B-9397-08002B2CF9AE}" pid="15" name="MSIP_Label_899d74fd-a48c-4042-a2b4-34eef1184746_Name">
    <vt:lpwstr>Fara Eticheta</vt:lpwstr>
  </property>
  <property fmtid="{D5CDD505-2E9C-101B-9397-08002B2CF9AE}" pid="16" name="MSIP_Label_899d74fd-a48c-4042-a2b4-34eef1184746_Application">
    <vt:lpwstr>Microsoft Azure Information Protection</vt:lpwstr>
  </property>
  <property fmtid="{D5CDD505-2E9C-101B-9397-08002B2CF9AE}" pid="17" name="MSIP_Label_899d74fd-a48c-4042-a2b4-34eef1184746_ActionId">
    <vt:lpwstr>b3d4303b-4d3f-4518-920e-608d33b3774f</vt:lpwstr>
  </property>
  <property fmtid="{D5CDD505-2E9C-101B-9397-08002B2CF9AE}" pid="18" name="MSIP_Label_899d74fd-a48c-4042-a2b4-34eef1184746_Parent">
    <vt:lpwstr>ad40dd0f-9293-401f-8d94-6b4375d1a5c3</vt:lpwstr>
  </property>
  <property fmtid="{D5CDD505-2E9C-101B-9397-08002B2CF9AE}" pid="19" name="MSIP_Label_899d74fd-a48c-4042-a2b4-34eef1184746_Extended_MSFT_Method">
    <vt:lpwstr>Manual</vt:lpwstr>
  </property>
  <property fmtid="{D5CDD505-2E9C-101B-9397-08002B2CF9AE}" pid="20" name="Sensitivity">
    <vt:lpwstr>PUBLIC Fara Eticheta</vt:lpwstr>
  </property>
  <property fmtid="{D5CDD505-2E9C-101B-9397-08002B2CF9AE}" pid="21" name="SV_HIDDEN_GRID_QUERY_LIST_4F35BF76-6C0D-4D9B-82B2-816C12CF3733">
    <vt:lpwstr>empty_477D106A-C0D6-4607-AEBD-E2C9D60EA279</vt:lpwstr>
  </property>
</Properties>
</file>